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Potter\Documents\Board Meetings 2025\March 14, 2025\"/>
    </mc:Choice>
  </mc:AlternateContent>
  <xr:revisionPtr revIDLastSave="0" documentId="8_{ABD542FF-B1CC-4CDE-9C4E-96F1B7B6E8DC}" xr6:coauthVersionLast="47" xr6:coauthVersionMax="47" xr10:uidLastSave="{00000000-0000-0000-0000-000000000000}"/>
  <bookViews>
    <workbookView xWindow="-28920" yWindow="-315" windowWidth="29040" windowHeight="15840" tabRatio="723" firstSheet="5" activeTab="5" xr2:uid="{986E2AB3-CFC3-4730-9D2F-FA792AE537E9}"/>
  </bookViews>
  <sheets>
    <sheet name="24-25" sheetId="1" r:id="rId1"/>
    <sheet name="25-26" sheetId="27" r:id="rId2"/>
    <sheet name="26-27" sheetId="29" r:id="rId3"/>
    <sheet name="27-28" sheetId="30" r:id="rId4"/>
    <sheet name="28-29" sheetId="31" r:id="rId5"/>
    <sheet name="5-Year" sheetId="32" r:id="rId6"/>
    <sheet name="School Economics (Lease)" sheetId="28" r:id="rId7"/>
    <sheet name="Avg" sheetId="12" r:id="rId8"/>
    <sheet name="Oct 1" sheetId="22" r:id="rId9"/>
    <sheet name="Funding" sheetId="15" r:id="rId10"/>
    <sheet name="Payroll" sheetId="26" r:id="rId11"/>
    <sheet name="Benefits" sheetId="13" r:id="rId12"/>
    <sheet name="Rent" sheetId="6" r:id="rId13"/>
    <sheet name="Start up note" sheetId="8" r:id="rId14"/>
    <sheet name="FFE" sheetId="5" r:id="rId15"/>
    <sheet name="SPED" sheetId="23" r:id="rId16"/>
    <sheet name="Ins." sheetId="17" r:id="rId17"/>
    <sheet name="Food" sheetId="24" r:id="rId18"/>
    <sheet name="Utilities" sheetId="25" r:id="rId19"/>
  </sheets>
  <externalReferences>
    <externalReference r:id="rId20"/>
  </externalReferences>
  <definedNames>
    <definedName name="_xlnm.Print_Area" localSheetId="0">'24-25'!$A$1:$H$223</definedName>
    <definedName name="_xlnm.Print_Area" localSheetId="1">'25-26'!$A$1:$H$223</definedName>
    <definedName name="_xlnm.Print_Area" localSheetId="2">'26-27'!$A$1:$H$223</definedName>
    <definedName name="_xlnm.Print_Area" localSheetId="3">'27-28'!$A$1:$H$223</definedName>
    <definedName name="_xlnm.Print_Area" localSheetId="4">'28-29'!$A$1:$H$223</definedName>
    <definedName name="_xlnm.Print_Area" localSheetId="5">'5-Year'!$A$1:$B$223</definedName>
    <definedName name="_xlnm.Print_Area" localSheetId="7">Avg!$A$1:$P$2</definedName>
    <definedName name="_xlnm.Print_Area" localSheetId="13">'Start up note'!$A$1:$T$62</definedName>
    <definedName name="_xlnm.Print_Titles" localSheetId="15">SPED!$A:$F,SPED!$4:$6</definedName>
    <definedName name="PrintRange">#REF!</definedName>
    <definedName name="QB_BASIS_4" localSheetId="15" hidden="1">SPED!#REF!</definedName>
    <definedName name="QB_COLUMN_11382200" localSheetId="15" hidden="1">SPED!#REF!</definedName>
    <definedName name="QB_COLUMN_11382201" localSheetId="15" hidden="1">SPED!#REF!</definedName>
    <definedName name="QB_COLUMN_11432200" localSheetId="15" hidden="1">SPED!#REF!</definedName>
    <definedName name="QB_COLUMN_11432201" localSheetId="15" hidden="1">SPED!#REF!</definedName>
    <definedName name="QB_COLUMN_11442200" localSheetId="15" hidden="1">SPED!#REF!</definedName>
    <definedName name="QB_COLUMN_11442201" localSheetId="15" hidden="1">SPED!#REF!</definedName>
    <definedName name="QB_COLUMN_11452200" localSheetId="15" hidden="1">SPED!#REF!</definedName>
    <definedName name="QB_COLUMN_11452201" localSheetId="15" hidden="1">SPED!#REF!</definedName>
    <definedName name="QB_COLUMN_11462200" localSheetId="15" hidden="1">SPED!#REF!</definedName>
    <definedName name="QB_COLUMN_11462201" localSheetId="15" hidden="1">SPED!#REF!</definedName>
    <definedName name="QB_COLUMN_11843101" localSheetId="15" hidden="1">SPED!#REF!</definedName>
    <definedName name="QB_COLUMN_12412200" localSheetId="15" hidden="1">SPED!#REF!</definedName>
    <definedName name="QB_COLUMN_12412201" localSheetId="15" hidden="1">SPED!#REF!</definedName>
    <definedName name="QB_COLUMN_12422200" localSheetId="15" hidden="1">SPED!#REF!</definedName>
    <definedName name="QB_COLUMN_12422201" localSheetId="15" hidden="1">SPED!#REF!</definedName>
    <definedName name="QB_COLUMN_124230" localSheetId="15" hidden="1">SPED!#REF!</definedName>
    <definedName name="QB_COLUMN_124231138" localSheetId="15" hidden="1">SPED!#REF!</definedName>
    <definedName name="QB_COLUMN_124231143" localSheetId="15" hidden="1">SPED!#REF!</definedName>
    <definedName name="QB_COLUMN_124231144" localSheetId="15" hidden="1">SPED!#REF!</definedName>
    <definedName name="QB_COLUMN_124231145" localSheetId="15" hidden="1">SPED!#REF!</definedName>
    <definedName name="QB_COLUMN_124231146" localSheetId="15" hidden="1">SPED!#REF!</definedName>
    <definedName name="QB_COLUMN_124231184" localSheetId="15" hidden="1">SPED!#REF!</definedName>
    <definedName name="QB_COLUMN_124231241" localSheetId="15" hidden="1">SPED!#REF!</definedName>
    <definedName name="QB_COLUMN_124231242" localSheetId="15" hidden="1">SPED!#REF!</definedName>
    <definedName name="QB_COLUMN_124231243" localSheetId="15" hidden="1">SPED!#REF!</definedName>
    <definedName name="QB_COLUMN_124231244" localSheetId="15" hidden="1">SPED!#REF!</definedName>
    <definedName name="QB_COLUMN_124231291" localSheetId="15" hidden="1">SPED!#REF!</definedName>
    <definedName name="QB_COLUMN_124231320" localSheetId="15" hidden="1">SPED!#REF!</definedName>
    <definedName name="QB_COLUMN_124231433" localSheetId="15" hidden="1">SPED!#REF!</definedName>
    <definedName name="QB_COLUMN_124231434" localSheetId="15" hidden="1">SPED!#REF!</definedName>
    <definedName name="QB_COLUMN_124231540" localSheetId="15" hidden="1">SPED!#REF!</definedName>
    <definedName name="QB_COLUMN_124231618" localSheetId="15" hidden="1">SPED!#REF!</definedName>
    <definedName name="QB_COLUMN_124231625" localSheetId="15" hidden="1">SPED!#REF!</definedName>
    <definedName name="QB_COLUMN_124231709" localSheetId="15" hidden="1">SPED!$J$6</definedName>
    <definedName name="QB_COLUMN_124231791" localSheetId="15" hidden="1">SPED!#REF!</definedName>
    <definedName name="QB_COLUMN_124231827" localSheetId="15" hidden="1">SPED!#REF!</definedName>
    <definedName name="QB_COLUMN_124231842" localSheetId="15" hidden="1">SPED!#REF!</definedName>
    <definedName name="QB_COLUMN_124231922" localSheetId="15" hidden="1">SPED!#REF!</definedName>
    <definedName name="QB_COLUMN_124231923" localSheetId="15" hidden="1">SPED!#REF!</definedName>
    <definedName name="QB_COLUMN_124231924" localSheetId="15" hidden="1">SPED!#REF!</definedName>
    <definedName name="QB_COLUMN_124231941" localSheetId="15" hidden="1">SPED!#REF!</definedName>
    <definedName name="QB_COLUMN_124231948" localSheetId="15" hidden="1">SPED!#REF!</definedName>
    <definedName name="QB_COLUMN_12423225" localSheetId="15" hidden="1">SPED!#REF!</definedName>
    <definedName name="QB_COLUMN_124236" localSheetId="15" hidden="1">SPED!#REF!</definedName>
    <definedName name="QB_COLUMN_12423798" localSheetId="15" hidden="1">SPED!#REF!</definedName>
    <definedName name="QB_COLUMN_12423801" localSheetId="15" hidden="1">SPED!#REF!</definedName>
    <definedName name="QB_COLUMN_12423802" localSheetId="15" hidden="1">SPED!#REF!</definedName>
    <definedName name="QB_COLUMN_12423803" localSheetId="15" hidden="1">SPED!#REF!</definedName>
    <definedName name="QB_COLUMN_12423804" localSheetId="15" hidden="1">SPED!#REF!</definedName>
    <definedName name="QB_COLUMN_12423805" localSheetId="15" hidden="1">SPED!#REF!</definedName>
    <definedName name="QB_COLUMN_12423806" localSheetId="15" hidden="1">SPED!#REF!</definedName>
    <definedName name="QB_COLUMN_12423849" localSheetId="15" hidden="1">SPED!#REF!</definedName>
    <definedName name="QB_COLUMN_12423850" localSheetId="15" hidden="1">SPED!#REF!</definedName>
    <definedName name="QB_COLUMN_12423851" localSheetId="15" hidden="1">SPED!#REF!</definedName>
    <definedName name="QB_COLUMN_12423852" localSheetId="15" hidden="1">SPED!#REF!</definedName>
    <definedName name="QB_COLUMN_12423853" localSheetId="15" hidden="1">SPED!#REF!</definedName>
    <definedName name="QB_COLUMN_12423854" localSheetId="15" hidden="1">SPED!#REF!</definedName>
    <definedName name="QB_COLUMN_12423859" localSheetId="15" hidden="1">SPED!#REF!</definedName>
    <definedName name="QB_COLUMN_12423860" localSheetId="15" hidden="1">SPED!#REF!</definedName>
    <definedName name="QB_COLUMN_124239" localSheetId="15" hidden="1">SPED!#REF!</definedName>
    <definedName name="QB_COLUMN_12432200" localSheetId="15" hidden="1">SPED!#REF!</definedName>
    <definedName name="QB_COLUMN_12432201" localSheetId="15" hidden="1">SPED!#REF!</definedName>
    <definedName name="QB_COLUMN_12442200" localSheetId="15" hidden="1">SPED!#REF!</definedName>
    <definedName name="QB_COLUMN_12442201" localSheetId="15" hidden="1">SPED!#REF!</definedName>
    <definedName name="QB_COLUMN_12913101" localSheetId="15" hidden="1">SPED!#REF!</definedName>
    <definedName name="QB_COLUMN_13202101" localSheetId="15" hidden="1">SPED!#REF!</definedName>
    <definedName name="QB_COLUMN_14332200" localSheetId="15" hidden="1">SPED!#REF!</definedName>
    <definedName name="QB_COLUMN_14332201" localSheetId="15" hidden="1">SPED!#REF!</definedName>
    <definedName name="QB_COLUMN_14342200" localSheetId="15" hidden="1">SPED!#REF!</definedName>
    <definedName name="QB_COLUMN_14342201" localSheetId="15" hidden="1">SPED!#REF!</definedName>
    <definedName name="QB_COLUMN_15402200" localSheetId="15" hidden="1">SPED!#REF!</definedName>
    <definedName name="QB_COLUMN_15402201" localSheetId="15" hidden="1">SPED!#REF!</definedName>
    <definedName name="QB_COLUMN_16182101" localSheetId="15" hidden="1">SPED!#REF!</definedName>
    <definedName name="QB_COLUMN_16252200" localSheetId="15" hidden="1">SPED!#REF!</definedName>
    <definedName name="QB_COLUMN_16252201" localSheetId="15" hidden="1">SPED!#REF!</definedName>
    <definedName name="QB_COLUMN_17092101" localSheetId="15" hidden="1">SPED!$G$5</definedName>
    <definedName name="QB_COLUMN_17912200" localSheetId="15" hidden="1">SPED!#REF!</definedName>
    <definedName name="QB_COLUMN_17912201" localSheetId="15" hidden="1">SPED!#REF!</definedName>
    <definedName name="QB_COLUMN_18272101" localSheetId="15" hidden="1">SPED!#REF!</definedName>
    <definedName name="QB_COLUMN_18422101" localSheetId="15" hidden="1">SPED!#REF!</definedName>
    <definedName name="QB_COLUMN_19222200" localSheetId="15" hidden="1">SPED!#REF!</definedName>
    <definedName name="QB_COLUMN_19222201" localSheetId="15" hidden="1">SPED!#REF!</definedName>
    <definedName name="QB_COLUMN_19232101" localSheetId="15" hidden="1">SPED!#REF!</definedName>
    <definedName name="QB_COLUMN_19242101" localSheetId="15" hidden="1">SPED!#REF!</definedName>
    <definedName name="QB_COLUMN_19412200" localSheetId="15" hidden="1">SPED!#REF!</definedName>
    <definedName name="QB_COLUMN_19412201" localSheetId="15" hidden="1">SPED!#REF!</definedName>
    <definedName name="QB_COLUMN_19482101" localSheetId="15" hidden="1">SPED!#REF!</definedName>
    <definedName name="QB_COLUMN_2252200" localSheetId="15" hidden="1">SPED!#REF!</definedName>
    <definedName name="QB_COLUMN_2252201" localSheetId="15" hidden="1">SPED!#REF!</definedName>
    <definedName name="QB_COLUMN_2253101" localSheetId="15" hidden="1">SPED!#REF!</definedName>
    <definedName name="QB_COLUMN_313011" localSheetId="15" hidden="1">SPED!#REF!</definedName>
    <definedName name="QB_COLUMN_59211138" localSheetId="15" hidden="1">SPED!#REF!</definedName>
    <definedName name="QB_COLUMN_59211143" localSheetId="15" hidden="1">SPED!#REF!</definedName>
    <definedName name="QB_COLUMN_59211144" localSheetId="15" hidden="1">SPED!#REF!</definedName>
    <definedName name="QB_COLUMN_59211145" localSheetId="15" hidden="1">SPED!#REF!</definedName>
    <definedName name="QB_COLUMN_59211146" localSheetId="15" hidden="1">SPED!#REF!</definedName>
    <definedName name="QB_COLUMN_59211241" localSheetId="15" hidden="1">SPED!#REF!</definedName>
    <definedName name="QB_COLUMN_59211242" localSheetId="15" hidden="1">SPED!#REF!</definedName>
    <definedName name="QB_COLUMN_59211243" localSheetId="15" hidden="1">SPED!#REF!</definedName>
    <definedName name="QB_COLUMN_59211244" localSheetId="15" hidden="1">SPED!#REF!</definedName>
    <definedName name="QB_COLUMN_59211320" localSheetId="15" hidden="1">SPED!#REF!</definedName>
    <definedName name="QB_COLUMN_59211433" localSheetId="15" hidden="1">SPED!#REF!</definedName>
    <definedName name="QB_COLUMN_59211434" localSheetId="15" hidden="1">SPED!#REF!</definedName>
    <definedName name="QB_COLUMN_59211540" localSheetId="15" hidden="1">SPED!#REF!</definedName>
    <definedName name="QB_COLUMN_59211618" localSheetId="15" hidden="1">SPED!#REF!</definedName>
    <definedName name="QB_COLUMN_59211625" localSheetId="15" hidden="1">SPED!#REF!</definedName>
    <definedName name="QB_COLUMN_59211709" localSheetId="15" hidden="1">SPED!$H$6</definedName>
    <definedName name="QB_COLUMN_59211791" localSheetId="15" hidden="1">SPED!#REF!</definedName>
    <definedName name="QB_COLUMN_59211827" localSheetId="15" hidden="1">SPED!#REF!</definedName>
    <definedName name="QB_COLUMN_59211842" localSheetId="15" hidden="1">SPED!#REF!</definedName>
    <definedName name="QB_COLUMN_59211922" localSheetId="15" hidden="1">SPED!#REF!</definedName>
    <definedName name="QB_COLUMN_59211923" localSheetId="15" hidden="1">SPED!#REF!</definedName>
    <definedName name="QB_COLUMN_59211924" localSheetId="15" hidden="1">SPED!#REF!</definedName>
    <definedName name="QB_COLUMN_59211941" localSheetId="15" hidden="1">SPED!#REF!</definedName>
    <definedName name="QB_COLUMN_59211948" localSheetId="15" hidden="1">SPED!#REF!</definedName>
    <definedName name="QB_COLUMN_5921225" localSheetId="15" hidden="1">SPED!#REF!</definedName>
    <definedName name="QB_COLUMN_59216" localSheetId="15" hidden="1">SPED!#REF!</definedName>
    <definedName name="QB_COLUMN_5921798" localSheetId="15" hidden="1">SPED!#REF!</definedName>
    <definedName name="QB_COLUMN_5921801" localSheetId="15" hidden="1">SPED!#REF!</definedName>
    <definedName name="QB_COLUMN_5921802" localSheetId="15" hidden="1">SPED!#REF!</definedName>
    <definedName name="QB_COLUMN_5921803" localSheetId="15" hidden="1">SPED!#REF!</definedName>
    <definedName name="QB_COLUMN_5921804" localSheetId="15" hidden="1">SPED!#REF!</definedName>
    <definedName name="QB_COLUMN_5921805" localSheetId="15" hidden="1">SPED!#REF!</definedName>
    <definedName name="QB_COLUMN_5921806" localSheetId="15" hidden="1">SPED!#REF!</definedName>
    <definedName name="QB_COLUMN_5921849" localSheetId="15" hidden="1">SPED!#REF!</definedName>
    <definedName name="QB_COLUMN_5921850" localSheetId="15" hidden="1">SPED!#REF!</definedName>
    <definedName name="QB_COLUMN_5921851" localSheetId="15" hidden="1">SPED!#REF!</definedName>
    <definedName name="QB_COLUMN_5921852" localSheetId="15" hidden="1">SPED!#REF!</definedName>
    <definedName name="QB_COLUMN_5921853" localSheetId="15" hidden="1">SPED!#REF!</definedName>
    <definedName name="QB_COLUMN_5921859" localSheetId="15" hidden="1">SPED!#REF!</definedName>
    <definedName name="QB_COLUMN_5921860" localSheetId="15" hidden="1">SPED!#REF!</definedName>
    <definedName name="QB_COLUMN_59219" localSheetId="15" hidden="1">SPED!#REF!</definedName>
    <definedName name="QB_COLUMN_59310" localSheetId="15" hidden="1">SPED!#REF!</definedName>
    <definedName name="QB_COLUMN_59311184" localSheetId="15" hidden="1">SPED!#REF!</definedName>
    <definedName name="QB_COLUMN_59311291" localSheetId="15" hidden="1">SPED!#REF!</definedName>
    <definedName name="QB_COLUMN_5931225" localSheetId="15" hidden="1">SPED!#REF!</definedName>
    <definedName name="QB_COLUMN_5931853" localSheetId="15" hidden="1">SPED!#REF!</definedName>
    <definedName name="QB_COLUMN_5931854" localSheetId="15" hidden="1">SPED!#REF!</definedName>
    <definedName name="QB_COLUMN_59319" localSheetId="15" hidden="1">SPED!#REF!</definedName>
    <definedName name="QB_COLUMN_62200" localSheetId="15" hidden="1">SPED!#REF!</definedName>
    <definedName name="QB_COLUMN_62201" localSheetId="15" hidden="1">SPED!#REF!</definedName>
    <definedName name="QB_COLUMN_64920" localSheetId="15" hidden="1">SPED!#REF!</definedName>
    <definedName name="QB_COLUMN_64921138" localSheetId="15" hidden="1">SPED!#REF!</definedName>
    <definedName name="QB_COLUMN_64921143" localSheetId="15" hidden="1">SPED!#REF!</definedName>
    <definedName name="QB_COLUMN_64921144" localSheetId="15" hidden="1">SPED!#REF!</definedName>
    <definedName name="QB_COLUMN_64921145" localSheetId="15" hidden="1">SPED!#REF!</definedName>
    <definedName name="QB_COLUMN_64921146" localSheetId="15" hidden="1">SPED!#REF!</definedName>
    <definedName name="QB_COLUMN_64921184" localSheetId="15" hidden="1">SPED!#REF!</definedName>
    <definedName name="QB_COLUMN_64921241" localSheetId="15" hidden="1">SPED!#REF!</definedName>
    <definedName name="QB_COLUMN_64921242" localSheetId="15" hidden="1">SPED!#REF!</definedName>
    <definedName name="QB_COLUMN_64921243" localSheetId="15" hidden="1">SPED!#REF!</definedName>
    <definedName name="QB_COLUMN_64921244" localSheetId="15" hidden="1">SPED!#REF!</definedName>
    <definedName name="QB_COLUMN_64921291" localSheetId="15" hidden="1">SPED!#REF!</definedName>
    <definedName name="QB_COLUMN_64921320" localSheetId="15" hidden="1">SPED!#REF!</definedName>
    <definedName name="QB_COLUMN_64921433" localSheetId="15" hidden="1">SPED!#REF!</definedName>
    <definedName name="QB_COLUMN_64921434" localSheetId="15" hidden="1">SPED!#REF!</definedName>
    <definedName name="QB_COLUMN_64921540" localSheetId="15" hidden="1">SPED!#REF!</definedName>
    <definedName name="QB_COLUMN_64921618" localSheetId="15" hidden="1">SPED!#REF!</definedName>
    <definedName name="QB_COLUMN_64921625" localSheetId="15" hidden="1">SPED!#REF!</definedName>
    <definedName name="QB_COLUMN_64921709" localSheetId="15" hidden="1">SPED!$I$6</definedName>
    <definedName name="QB_COLUMN_64921791" localSheetId="15" hidden="1">SPED!#REF!</definedName>
    <definedName name="QB_COLUMN_64921827" localSheetId="15" hidden="1">SPED!#REF!</definedName>
    <definedName name="QB_COLUMN_64921842" localSheetId="15" hidden="1">SPED!#REF!</definedName>
    <definedName name="QB_COLUMN_64921922" localSheetId="15" hidden="1">SPED!#REF!</definedName>
    <definedName name="QB_COLUMN_64921923" localSheetId="15" hidden="1">SPED!#REF!</definedName>
    <definedName name="QB_COLUMN_64921924" localSheetId="15" hidden="1">SPED!#REF!</definedName>
    <definedName name="QB_COLUMN_64921941" localSheetId="15" hidden="1">SPED!#REF!</definedName>
    <definedName name="QB_COLUMN_64921948" localSheetId="15" hidden="1">SPED!#REF!</definedName>
    <definedName name="QB_COLUMN_6492225" localSheetId="15" hidden="1">SPED!#REF!</definedName>
    <definedName name="QB_COLUMN_64926" localSheetId="15" hidden="1">SPED!#REF!</definedName>
    <definedName name="QB_COLUMN_6492798" localSheetId="15" hidden="1">SPED!#REF!</definedName>
    <definedName name="QB_COLUMN_6492801" localSheetId="15" hidden="1">SPED!#REF!</definedName>
    <definedName name="QB_COLUMN_6492802" localSheetId="15" hidden="1">SPED!#REF!</definedName>
    <definedName name="QB_COLUMN_6492803" localSheetId="15" hidden="1">SPED!#REF!</definedName>
    <definedName name="QB_COLUMN_6492804" localSheetId="15" hidden="1">SPED!#REF!</definedName>
    <definedName name="QB_COLUMN_6492805" localSheetId="15" hidden="1">SPED!#REF!</definedName>
    <definedName name="QB_COLUMN_6492806" localSheetId="15" hidden="1">SPED!#REF!</definedName>
    <definedName name="QB_COLUMN_6492849" localSheetId="15" hidden="1">SPED!#REF!</definedName>
    <definedName name="QB_COLUMN_6492850" localSheetId="15" hidden="1">SPED!#REF!</definedName>
    <definedName name="QB_COLUMN_6492851" localSheetId="15" hidden="1">SPED!#REF!</definedName>
    <definedName name="QB_COLUMN_6492852" localSheetId="15" hidden="1">SPED!#REF!</definedName>
    <definedName name="QB_COLUMN_6492853" localSheetId="15" hidden="1">SPED!#REF!</definedName>
    <definedName name="QB_COLUMN_6492854" localSheetId="15" hidden="1">SPED!#REF!</definedName>
    <definedName name="QB_COLUMN_6492859" localSheetId="15" hidden="1">SPED!#REF!</definedName>
    <definedName name="QB_COLUMN_6492860" localSheetId="15" hidden="1">SPED!#REF!</definedName>
    <definedName name="QB_COLUMN_64929" localSheetId="15" hidden="1">SPED!#REF!</definedName>
    <definedName name="QB_COLUMN_7982200" localSheetId="15" hidden="1">SPED!#REF!</definedName>
    <definedName name="QB_COLUMN_7982201" localSheetId="15" hidden="1">SPED!#REF!</definedName>
    <definedName name="QB_COLUMN_8012200" localSheetId="15" hidden="1">SPED!#REF!</definedName>
    <definedName name="QB_COLUMN_8012201" localSheetId="15" hidden="1">SPED!#REF!</definedName>
    <definedName name="QB_COLUMN_8022200" localSheetId="15" hidden="1">SPED!#REF!</definedName>
    <definedName name="QB_COLUMN_8022201" localSheetId="15" hidden="1">SPED!#REF!</definedName>
    <definedName name="QB_COLUMN_8032200" localSheetId="15" hidden="1">SPED!#REF!</definedName>
    <definedName name="QB_COLUMN_8032201" localSheetId="15" hidden="1">SPED!#REF!</definedName>
    <definedName name="QB_COLUMN_8042200" localSheetId="15" hidden="1">SPED!#REF!</definedName>
    <definedName name="QB_COLUMN_8042201" localSheetId="15" hidden="1">SPED!#REF!</definedName>
    <definedName name="QB_COLUMN_8052200" localSheetId="15" hidden="1">SPED!#REF!</definedName>
    <definedName name="QB_COLUMN_8052201" localSheetId="15" hidden="1">SPED!#REF!</definedName>
    <definedName name="QB_COLUMN_8062200" localSheetId="15" hidden="1">SPED!#REF!</definedName>
    <definedName name="QB_COLUMN_8062201" localSheetId="15" hidden="1">SPED!#REF!</definedName>
    <definedName name="QB_COLUMN_8492200" localSheetId="15" hidden="1">SPED!#REF!</definedName>
    <definedName name="QB_COLUMN_8492201" localSheetId="15" hidden="1">SPED!#REF!</definedName>
    <definedName name="QB_COLUMN_8502200" localSheetId="15" hidden="1">SPED!#REF!</definedName>
    <definedName name="QB_COLUMN_8502201" localSheetId="15" hidden="1">SPED!#REF!</definedName>
    <definedName name="QB_COLUMN_8512200" localSheetId="15" hidden="1">SPED!#REF!</definedName>
    <definedName name="QB_COLUMN_8512201" localSheetId="15" hidden="1">SPED!#REF!</definedName>
    <definedName name="QB_COLUMN_8522200" localSheetId="15" hidden="1">SPED!#REF!</definedName>
    <definedName name="QB_COLUMN_8522201" localSheetId="15" hidden="1">SPED!#REF!</definedName>
    <definedName name="QB_COLUMN_8532200" localSheetId="15" hidden="1">SPED!#REF!</definedName>
    <definedName name="QB_COLUMN_8532201" localSheetId="15" hidden="1">SPED!#REF!</definedName>
    <definedName name="QB_COLUMN_8533101" localSheetId="15" hidden="1">SPED!#REF!</definedName>
    <definedName name="QB_COLUMN_8543101" localSheetId="15" hidden="1">SPED!#REF!</definedName>
    <definedName name="QB_COLUMN_8592200" localSheetId="15" hidden="1">SPED!#REF!</definedName>
    <definedName name="QB_COLUMN_8592201" localSheetId="15" hidden="1">SPED!#REF!</definedName>
    <definedName name="QB_COLUMN_8602200" localSheetId="15" hidden="1">SPED!#REF!</definedName>
    <definedName name="QB_COLUMN_8602201" localSheetId="15" hidden="1">SPED!#REF!</definedName>
    <definedName name="QB_COLUMN_88201138" localSheetId="15" hidden="1">SPED!#REF!</definedName>
    <definedName name="QB_COLUMN_88201143" localSheetId="15" hidden="1">SPED!#REF!</definedName>
    <definedName name="QB_COLUMN_88201144" localSheetId="15" hidden="1">SPED!#REF!</definedName>
    <definedName name="QB_COLUMN_88201145" localSheetId="15" hidden="1">SPED!#REF!</definedName>
    <definedName name="QB_COLUMN_88201146" localSheetId="15" hidden="1">SPED!#REF!</definedName>
    <definedName name="QB_COLUMN_88201241" localSheetId="15" hidden="1">SPED!#REF!</definedName>
    <definedName name="QB_COLUMN_88201242" localSheetId="15" hidden="1">SPED!#REF!</definedName>
    <definedName name="QB_COLUMN_88201243" localSheetId="15" hidden="1">SPED!#REF!</definedName>
    <definedName name="QB_COLUMN_88201244" localSheetId="15" hidden="1">SPED!#REF!</definedName>
    <definedName name="QB_COLUMN_88201320" localSheetId="15" hidden="1">SPED!#REF!</definedName>
    <definedName name="QB_COLUMN_88201433" localSheetId="15" hidden="1">SPED!#REF!</definedName>
    <definedName name="QB_COLUMN_88201434" localSheetId="15" hidden="1">SPED!#REF!</definedName>
    <definedName name="QB_COLUMN_88201540" localSheetId="15" hidden="1">SPED!#REF!</definedName>
    <definedName name="QB_COLUMN_88201618" localSheetId="15" hidden="1">SPED!#REF!</definedName>
    <definedName name="QB_COLUMN_88201625" localSheetId="15" hidden="1">SPED!#REF!</definedName>
    <definedName name="QB_COLUMN_88201709" localSheetId="15" hidden="1">SPED!$G$6</definedName>
    <definedName name="QB_COLUMN_88201791" localSheetId="15" hidden="1">SPED!#REF!</definedName>
    <definedName name="QB_COLUMN_88201827" localSheetId="15" hidden="1">SPED!#REF!</definedName>
    <definedName name="QB_COLUMN_88201842" localSheetId="15" hidden="1">SPED!#REF!</definedName>
    <definedName name="QB_COLUMN_88201922" localSheetId="15" hidden="1">SPED!#REF!</definedName>
    <definedName name="QB_COLUMN_88201923" localSheetId="15" hidden="1">SPED!#REF!</definedName>
    <definedName name="QB_COLUMN_88201924" localSheetId="15" hidden="1">SPED!#REF!</definedName>
    <definedName name="QB_COLUMN_88201941" localSheetId="15" hidden="1">SPED!#REF!</definedName>
    <definedName name="QB_COLUMN_88201948" localSheetId="15" hidden="1">SPED!#REF!</definedName>
    <definedName name="QB_COLUMN_8820225" localSheetId="15" hidden="1">SPED!#REF!</definedName>
    <definedName name="QB_COLUMN_88206" localSheetId="15" hidden="1">SPED!#REF!</definedName>
    <definedName name="QB_COLUMN_8820798" localSheetId="15" hidden="1">SPED!#REF!</definedName>
    <definedName name="QB_COLUMN_8820801" localSheetId="15" hidden="1">SPED!#REF!</definedName>
    <definedName name="QB_COLUMN_8820802" localSheetId="15" hidden="1">SPED!#REF!</definedName>
    <definedName name="QB_COLUMN_8820803" localSheetId="15" hidden="1">SPED!#REF!</definedName>
    <definedName name="QB_COLUMN_8820804" localSheetId="15" hidden="1">SPED!#REF!</definedName>
    <definedName name="QB_COLUMN_8820805" localSheetId="15" hidden="1">SPED!#REF!</definedName>
    <definedName name="QB_COLUMN_8820806" localSheetId="15" hidden="1">SPED!#REF!</definedName>
    <definedName name="QB_COLUMN_8820849" localSheetId="15" hidden="1">SPED!#REF!</definedName>
    <definedName name="QB_COLUMN_8820850" localSheetId="15" hidden="1">SPED!#REF!</definedName>
    <definedName name="QB_COLUMN_8820851" localSheetId="15" hidden="1">SPED!#REF!</definedName>
    <definedName name="QB_COLUMN_8820852" localSheetId="15" hidden="1">SPED!#REF!</definedName>
    <definedName name="QB_COLUMN_8820853" localSheetId="15" hidden="1">SPED!#REF!</definedName>
    <definedName name="QB_COLUMN_8820859" localSheetId="15" hidden="1">SPED!#REF!</definedName>
    <definedName name="QB_COLUMN_8820860" localSheetId="15" hidden="1">SPED!#REF!</definedName>
    <definedName name="QB_COLUMN_88209" localSheetId="15" hidden="1">SPED!#REF!</definedName>
    <definedName name="QB_COLUMN_88300" localSheetId="15" hidden="1">SPED!#REF!</definedName>
    <definedName name="QB_COLUMN_88301184" localSheetId="15" hidden="1">SPED!#REF!</definedName>
    <definedName name="QB_COLUMN_88301291" localSheetId="15" hidden="1">SPED!#REF!</definedName>
    <definedName name="QB_COLUMN_8830225" localSheetId="15" hidden="1">SPED!#REF!</definedName>
    <definedName name="QB_COLUMN_8830853" localSheetId="15" hidden="1">SPED!#REF!</definedName>
    <definedName name="QB_COLUMN_8830854" localSheetId="15" hidden="1">SPED!#REF!</definedName>
    <definedName name="QB_COLUMN_88309" localSheetId="15" hidden="1">SPED!#REF!</definedName>
    <definedName name="QB_COLUMN_92200" localSheetId="15" hidden="1">SPED!#REF!</definedName>
    <definedName name="QB_COLUMN_92201" localSheetId="15" hidden="1">SPED!#REF!</definedName>
    <definedName name="QB_COLUMN_93101" localSheetId="15" hidden="1">SPED!#REF!</definedName>
    <definedName name="QB_COMPANY_0" localSheetId="15" hidden="1">SPED!$A$1</definedName>
    <definedName name="QB_DATA_0" localSheetId="15" hidden="1">SPED!$10:$10,SPED!$11:$11,SPED!$13:$13,SPED!$14:$14,SPED!$15:$15,SPED!$16:$16,SPED!$17:$17,SPED!$18:$18,SPED!$19:$19,SPED!$20:$20,SPED!$21:$21,SPED!$22:$22,SPED!$23:$23,SPED!$24:$24,SPED!$25:$25,SPED!$26:$26</definedName>
    <definedName name="QB_DATA_1" localSheetId="15" hidden="1">SPED!$28:$28,SPED!$29:$29,SPED!$30:$30,SPED!$31:$31,SPED!$32:$32,SPED!$33:$33,SPED!$34:$34,SPED!$35:$35,SPED!$36:$36,SPED!$37:$37,SPED!$38:$38,SPED!$39:$39,SPED!$40:$40,SPED!$41:$41,SPED!$42:$42,SPED!$43:$43</definedName>
    <definedName name="QB_DATA_2" localSheetId="15" hidden="1">SPED!$44:$44,SPED!$45:$45,SPED!$46:$46,SPED!$47:$47,SPED!$48:$48,SPED!$49:$49,SPED!$50:$50,SPED!$51:$51,SPED!$53:$53,SPED!$54:$54,SPED!$55:$55,SPED!$56:$56</definedName>
    <definedName name="QB_DATE_1" localSheetId="15" hidden="1">SPED!#REF!</definedName>
    <definedName name="QB_FORMULA_0" localSheetId="15" hidden="1">SPED!#REF!,SPED!$I$10,SPED!#REF!,SPED!#REF!,SPED!#REF!,SPED!#REF!,SPED!#REF!,SPED!#REF!,SPED!#REF!,SPED!#REF!,SPED!#REF!,SPED!#REF!,SPED!#REF!,SPED!#REF!,SPED!#REF!,SPED!#REF!</definedName>
    <definedName name="QB_FORMULA_1" localSheetId="15" hidden="1">SPED!#REF!,SPED!#REF!,SPED!#REF!,SPED!#REF!,SPED!#REF!,SPED!#REF!,SPED!#REF!,SPED!#REF!,SPED!#REF!,SPED!#REF!,SPED!#REF!,SPED!#REF!,SPED!#REF!,SPED!#REF!,SPED!#REF!,SPED!#REF!</definedName>
    <definedName name="QB_FORMULA_10" localSheetId="15" hidden="1">SPED!#REF!,SPED!#REF!,SPED!#REF!,SPED!#REF!,SPED!#REF!,SPED!#REF!,SPED!#REF!,SPED!#REF!,SPED!#REF!,SPED!#REF!,SPED!#REF!,SPED!#REF!,SPED!#REF!,SPED!#REF!,SPED!#REF!,SPED!#REF!</definedName>
    <definedName name="QB_FORMULA_100" localSheetId="15" hidden="1">SPED!#REF!,SPED!#REF!,SPED!#REF!,SPED!#REF!,SPED!#REF!,SPED!#REF!,SPED!#REF!,SPED!#REF!,SPED!#REF!,SPED!#REF!,SPED!#REF!,SPED!#REF!,SPED!#REF!,SPED!#REF!,SPED!#REF!,SPED!#REF!</definedName>
    <definedName name="QB_FORMULA_101" localSheetId="15" hidden="1">SPED!#REF!,SPED!#REF!,SPED!#REF!,SPED!#REF!,SPED!#REF!,SPED!#REF!,SPED!#REF!,SPED!#REF!,SPED!#REF!,SPED!#REF!,SPED!#REF!,SPED!#REF!,SPED!#REF!,SPED!#REF!,SPED!#REF!,SPED!#REF!</definedName>
    <definedName name="QB_FORMULA_102" localSheetId="15" hidden="1">SPED!#REF!,SPED!$I$37,SPED!#REF!,SPED!#REF!,SPED!#REF!,SPED!#REF!,SPED!#REF!,SPED!#REF!,SPED!#REF!,SPED!#REF!,SPED!#REF!,SPED!#REF!,SPED!#REF!,SPED!#REF!,SPED!#REF!,SPED!#REF!</definedName>
    <definedName name="QB_FORMULA_103" localSheetId="15" hidden="1">SPED!#REF!,SPED!#REF!,SPED!#REF!,SPED!#REF!,SPED!#REF!,SPED!#REF!,SPED!#REF!,SPED!#REF!,SPED!#REF!,SPED!#REF!,SPED!#REF!,SPED!#REF!,SPED!#REF!,SPED!#REF!,SPED!#REF!,SPED!#REF!</definedName>
    <definedName name="QB_FORMULA_104" localSheetId="15" hidden="1">SPED!#REF!,SPED!#REF!,SPED!#REF!,SPED!#REF!,SPED!#REF!,SPED!#REF!,SPED!#REF!,SPED!#REF!,SPED!#REF!,SPED!#REF!,SPED!#REF!,SPED!#REF!,SPED!#REF!,SPED!#REF!,SPED!#REF!,SPED!#REF!</definedName>
    <definedName name="QB_FORMULA_105" localSheetId="15" hidden="1">SPED!#REF!,SPED!#REF!,SPED!#REF!,SPED!#REF!,SPED!#REF!,SPED!#REF!,SPED!#REF!,SPED!#REF!,SPED!#REF!,SPED!#REF!,SPED!#REF!,SPED!#REF!,SPED!#REF!,SPED!#REF!,SPED!#REF!,SPED!$I$38</definedName>
    <definedName name="QB_FORMULA_106" localSheetId="15" hidden="1">SPED!#REF!,SPED!#REF!,SPED!#REF!,SPED!#REF!,SPED!#REF!,SPED!#REF!,SPED!#REF!,SPED!#REF!,SPED!#REF!,SPED!#REF!,SPED!#REF!,SPED!#REF!,SPED!#REF!,SPED!#REF!,SPED!#REF!,SPED!#REF!</definedName>
    <definedName name="QB_FORMULA_107" localSheetId="15" hidden="1">SPED!#REF!,SPED!#REF!,SPED!#REF!,SPED!#REF!,SPED!#REF!,SPED!#REF!,SPED!#REF!,SPED!#REF!,SPED!#REF!,SPED!#REF!,SPED!#REF!,SPED!#REF!,SPED!#REF!,SPED!#REF!,SPED!#REF!,SPED!#REF!</definedName>
    <definedName name="QB_FORMULA_108" localSheetId="15" hidden="1">SPED!#REF!,SPED!#REF!,SPED!#REF!,SPED!#REF!,SPED!#REF!,SPED!#REF!,SPED!#REF!,SPED!#REF!,SPED!#REF!,SPED!#REF!,SPED!#REF!,SPED!#REF!,SPED!#REF!,SPED!#REF!,SPED!#REF!,SPED!#REF!</definedName>
    <definedName name="QB_FORMULA_109" localSheetId="15" hidden="1">SPED!#REF!,SPED!#REF!,SPED!#REF!,SPED!#REF!,SPED!#REF!,SPED!#REF!,SPED!#REF!,SPED!#REF!,SPED!#REF!,SPED!#REF!,SPED!#REF!,SPED!#REF!,SPED!#REF!,SPED!$I$39,SPED!#REF!,SPED!#REF!</definedName>
    <definedName name="QB_FORMULA_11" localSheetId="15" hidden="1">SPED!#REF!,SPED!#REF!,SPED!#REF!,SPED!#REF!,SPED!#REF!,SPED!#REF!,SPED!#REF!,SPED!#REF!,SPED!#REF!,SPED!#REF!,SPED!#REF!,SPED!#REF!,SPED!#REF!,SPED!#REF!,SPED!#REF!,SPED!#REF!</definedName>
    <definedName name="QB_FORMULA_110" localSheetId="15" hidden="1">SPED!#REF!,SPED!#REF!,SPED!#REF!,SPED!#REF!,SPED!#REF!,SPED!#REF!,SPED!#REF!,SPED!#REF!,SPED!#REF!,SPED!#REF!,SPED!#REF!,SPED!#REF!,SPED!#REF!,SPED!#REF!,SPED!#REF!,SPED!#REF!</definedName>
    <definedName name="QB_FORMULA_111" localSheetId="15" hidden="1">SPED!#REF!,SPED!#REF!,SPED!#REF!,SPED!#REF!,SPED!#REF!,SPED!#REF!,SPED!#REF!,SPED!#REF!,SPED!#REF!,SPED!#REF!,SPED!#REF!,SPED!#REF!,SPED!#REF!,SPED!#REF!,SPED!#REF!,SPED!#REF!</definedName>
    <definedName name="QB_FORMULA_112" localSheetId="15" hidden="1">SPED!#REF!,SPED!#REF!,SPED!#REF!,SPED!#REF!,SPED!#REF!,SPED!#REF!,SPED!#REF!,SPED!#REF!,SPED!#REF!,SPED!#REF!,SPED!#REF!,SPED!#REF!,SPED!#REF!,SPED!#REF!,SPED!#REF!,SPED!#REF!</definedName>
    <definedName name="QB_FORMULA_113" localSheetId="15" hidden="1">SPED!#REF!,SPED!#REF!,SPED!#REF!,SPED!#REF!,SPED!#REF!,SPED!#REF!,SPED!#REF!,SPED!#REF!,SPED!#REF!,SPED!#REF!,SPED!#REF!,SPED!#REF!,SPED!#REF!,SPED!$G$40,SPED!$H$40,SPED!$I$40</definedName>
    <definedName name="QB_FORMULA_114" localSheetId="15" hidden="1">SPED!#REF!,SPED!#REF!,SPED!#REF!,SPED!#REF!,SPED!#REF!,SPED!#REF!,SPED!#REF!,SPED!#REF!,SPED!#REF!,SPED!#REF!,SPED!#REF!,SPED!#REF!,SPED!#REF!,SPED!#REF!,SPED!#REF!,SPED!#REF!</definedName>
    <definedName name="QB_FORMULA_115" localSheetId="15" hidden="1">SPED!#REF!,SPED!#REF!,SPED!#REF!,SPED!#REF!,SPED!#REF!,SPED!#REF!,SPED!#REF!,SPED!#REF!,SPED!#REF!,SPED!#REF!,SPED!#REF!,SPED!#REF!,SPED!#REF!,SPED!#REF!,SPED!#REF!,SPED!#REF!</definedName>
    <definedName name="QB_FORMULA_116" localSheetId="15" hidden="1">SPED!#REF!,SPED!#REF!,SPED!#REF!,SPED!#REF!,SPED!#REF!,SPED!#REF!,SPED!#REF!,SPED!#REF!,SPED!#REF!,SPED!#REF!,SPED!#REF!,SPED!#REF!,SPED!#REF!,SPED!#REF!,SPED!#REF!,SPED!#REF!</definedName>
    <definedName name="QB_FORMULA_117" localSheetId="15" hidden="1">SPED!#REF!,SPED!#REF!,SPED!#REF!,SPED!#REF!,SPED!#REF!,SPED!#REF!,SPED!#REF!,SPED!#REF!,SPED!#REF!,SPED!#REF!,SPED!#REF!,SPED!#REF!,SPED!#REF!,SPED!#REF!,SPED!#REF!,SPED!#REF!</definedName>
    <definedName name="QB_FORMULA_118" localSheetId="15" hidden="1">SPED!#REF!,SPED!#REF!,SPED!#REF!,SPED!#REF!,SPED!#REF!,SPED!#REF!,SPED!#REF!,SPED!#REF!,SPED!#REF!,SPED!#REF!,SPED!#REF!,SPED!#REF!,SPED!#REF!,SPED!#REF!,SPED!#REF!,SPED!#REF!</definedName>
    <definedName name="QB_FORMULA_119" localSheetId="15" hidden="1">SPED!#REF!,SPED!#REF!,SPED!#REF!,SPED!#REF!,SPED!#REF!,SPED!#REF!,SPED!#REF!,SPED!#REF!,SPED!#REF!,SPED!#REF!,SPED!#REF!,SPED!#REF!,SPED!#REF!,SPED!#REF!,SPED!#REF!,SPED!#REF!</definedName>
    <definedName name="QB_FORMULA_12" localSheetId="15" hidden="1">SPED!#REF!,SPED!#REF!,SPED!#REF!,SPED!#REF!,SPED!#REF!,SPED!#REF!,SPED!#REF!,SPED!#REF!,SPED!#REF!,SPED!#REF!,SPED!#REF!,SPED!#REF!,SPED!#REF!,SPED!#REF!,SPED!#REF!,SPED!$I$13</definedName>
    <definedName name="QB_FORMULA_120" localSheetId="15" hidden="1">SPED!#REF!,SPED!#REF!,SPED!#REF!,SPED!#REF!,SPED!#REF!,SPED!#REF!,SPED!#REF!,SPED!#REF!,SPED!#REF!,SPED!#REF!,SPED!#REF!,SPED!#REF!,SPED!#REF!,SPED!#REF!,SPED!#REF!,SPED!#REF!</definedName>
    <definedName name="QB_FORMULA_121" localSheetId="15" hidden="1">SPED!#REF!,SPED!#REF!,SPED!#REF!,SPED!#REF!,SPED!#REF!,SPED!#REF!,SPED!#REF!,SPED!#REF!,SPED!#REF!,SPED!#REF!,SPED!#REF!,SPED!#REF!,SPED!#REF!,SPED!#REF!,SPED!#REF!,SPED!#REF!</definedName>
    <definedName name="QB_FORMULA_122" localSheetId="15" hidden="1">SPED!#REF!,SPED!#REF!,SPED!#REF!,SPED!#REF!,SPED!#REF!,SPED!#REF!,SPED!#REF!,SPED!#REF!,SPED!#REF!,SPED!#REF!,SPED!#REF!,SPED!$I$41,SPED!#REF!,SPED!#REF!,SPED!#REF!,SPED!#REF!</definedName>
    <definedName name="QB_FORMULA_123" localSheetId="15" hidden="1">SPED!#REF!,SPED!#REF!,SPED!#REF!,SPED!#REF!,SPED!#REF!,SPED!#REF!,SPED!#REF!,SPED!#REF!,SPED!#REF!,SPED!#REF!,SPED!#REF!,SPED!#REF!,SPED!#REF!,SPED!#REF!,SPED!#REF!,SPED!#REF!</definedName>
    <definedName name="QB_FORMULA_124" localSheetId="15" hidden="1">SPED!#REF!,SPED!#REF!,SPED!#REF!,SPED!#REF!,SPED!#REF!,SPED!#REF!,SPED!#REF!,SPED!#REF!,SPED!#REF!,SPED!#REF!,SPED!#REF!,SPED!#REF!,SPED!#REF!,SPED!#REF!,SPED!#REF!,SPED!#REF!</definedName>
    <definedName name="QB_FORMULA_125" localSheetId="15" hidden="1">SPED!#REF!,SPED!#REF!,SPED!#REF!,SPED!#REF!,SPED!#REF!,SPED!#REF!,SPED!#REF!,SPED!#REF!,SPED!#REF!,SPED!#REF!,SPED!#REF!,SPED!#REF!,SPED!#REF!,SPED!#REF!,SPED!#REF!,SPED!#REF!</definedName>
    <definedName name="QB_FORMULA_126" localSheetId="15" hidden="1">SPED!#REF!,SPED!#REF!,SPED!#REF!,SPED!#REF!,SPED!#REF!,SPED!#REF!,SPED!#REF!,SPED!#REF!,SPED!#REF!,SPED!$I$42,SPED!#REF!,SPED!#REF!,SPED!#REF!,SPED!#REF!,SPED!#REF!,SPED!#REF!</definedName>
    <definedName name="QB_FORMULA_127" localSheetId="15" hidden="1">SPED!#REF!,SPED!#REF!,SPED!#REF!,SPED!#REF!,SPED!#REF!,SPED!#REF!,SPED!#REF!,SPED!#REF!,SPED!#REF!,SPED!#REF!,SPED!#REF!,SPED!#REF!,SPED!#REF!,SPED!#REF!,SPED!#REF!,SPED!#REF!</definedName>
    <definedName name="QB_FORMULA_128" localSheetId="15" hidden="1">SPED!#REF!,SPED!#REF!,SPED!#REF!,SPED!#REF!,SPED!#REF!,SPED!#REF!,SPED!#REF!,SPED!#REF!,SPED!#REF!,SPED!#REF!,SPED!#REF!,SPED!#REF!,SPED!#REF!,SPED!#REF!,SPED!#REF!,SPED!#REF!</definedName>
    <definedName name="QB_FORMULA_129" localSheetId="15" hidden="1">SPED!#REF!,SPED!#REF!,SPED!#REF!,SPED!#REF!,SPED!#REF!,SPED!#REF!,SPED!#REF!,SPED!#REF!,SPED!#REF!,SPED!#REF!,SPED!#REF!,SPED!#REF!,SPED!#REF!,SPED!#REF!,SPED!#REF!,SPED!#REF!</definedName>
    <definedName name="QB_FORMULA_13" localSheetId="15" hidden="1">SPED!#REF!,SPED!#REF!,SPED!#REF!,SPED!#REF!,SPED!#REF!,SPED!#REF!,SPED!#REF!,SPED!#REF!,SPED!#REF!,SPED!#REF!,SPED!#REF!,SPED!#REF!,SPED!#REF!,SPED!#REF!,SPED!#REF!,SPED!#REF!</definedName>
    <definedName name="QB_FORMULA_130" localSheetId="15" hidden="1">SPED!#REF!,SPED!#REF!,SPED!#REF!,SPED!#REF!,SPED!#REF!,SPED!#REF!,SPED!#REF!,SPED!#REF!,SPED!#REF!,SPED!$G$43,SPED!$H$43,SPED!$I$43,SPED!#REF!,SPED!#REF!,SPED!#REF!,SPED!#REF!</definedName>
    <definedName name="QB_FORMULA_131" localSheetId="15" hidden="1">SPED!#REF!,SPED!#REF!,SPED!#REF!,SPED!#REF!,SPED!#REF!,SPED!#REF!,SPED!#REF!,SPED!#REF!,SPED!#REF!,SPED!#REF!,SPED!#REF!,SPED!#REF!,SPED!#REF!,SPED!#REF!,SPED!#REF!,SPED!#REF!</definedName>
    <definedName name="QB_FORMULA_132" localSheetId="15" hidden="1">SPED!#REF!,SPED!#REF!,SPED!#REF!,SPED!#REF!,SPED!#REF!,SPED!#REF!,SPED!#REF!,SPED!#REF!,SPED!#REF!,SPED!#REF!,SPED!#REF!,SPED!#REF!,SPED!#REF!,SPED!#REF!,SPED!#REF!,SPED!#REF!</definedName>
    <definedName name="QB_FORMULA_133" localSheetId="15" hidden="1">SPED!#REF!,SPED!#REF!,SPED!#REF!,SPED!#REF!,SPED!#REF!,SPED!#REF!,SPED!#REF!,SPED!#REF!,SPED!#REF!,SPED!#REF!,SPED!#REF!,SPED!#REF!,SPED!#REF!,SPED!#REF!,SPED!#REF!,SPED!#REF!</definedName>
    <definedName name="QB_FORMULA_134" localSheetId="15" hidden="1">SPED!#REF!,SPED!#REF!,SPED!#REF!,SPED!#REF!,SPED!#REF!,SPED!#REF!,SPED!#REF!,SPED!#REF!,SPED!#REF!,SPED!#REF!,SPED!#REF!,SPED!#REF!,SPED!#REF!,SPED!#REF!,SPED!#REF!,SPED!#REF!</definedName>
    <definedName name="QB_FORMULA_135" localSheetId="15" hidden="1">SPED!#REF!,SPED!#REF!,SPED!#REF!,SPED!#REF!,SPED!#REF!,SPED!#REF!,SPED!#REF!,SPED!#REF!,SPED!#REF!,SPED!#REF!,SPED!#REF!,SPED!#REF!,SPED!#REF!,SPED!#REF!,SPED!#REF!,SPED!#REF!</definedName>
    <definedName name="QB_FORMULA_136" localSheetId="15" hidden="1">SPED!#REF!,SPED!#REF!,SPED!#REF!,SPED!#REF!,SPED!#REF!,SPED!#REF!,SPED!#REF!,SPED!#REF!,SPED!#REF!,SPED!#REF!,SPED!#REF!,SPED!#REF!,SPED!#REF!,SPED!#REF!,SPED!#REF!,SPED!#REF!</definedName>
    <definedName name="QB_FORMULA_137" localSheetId="15" hidden="1">SPED!#REF!,SPED!#REF!,SPED!#REF!,SPED!#REF!,SPED!#REF!,SPED!#REF!,SPED!#REF!,SPED!#REF!,SPED!#REF!,SPED!#REF!,SPED!#REF!,SPED!#REF!,SPED!#REF!,SPED!#REF!,SPED!#REF!,SPED!#REF!</definedName>
    <definedName name="QB_FORMULA_138" localSheetId="15" hidden="1">SPED!#REF!,SPED!#REF!,SPED!#REF!,SPED!#REF!,SPED!#REF!,SPED!#REF!,SPED!#REF!,SPED!#REF!,SPED!#REF!,SPED!#REF!,SPED!#REF!,SPED!#REF!,SPED!#REF!,SPED!#REF!,SPED!#REF!,SPED!#REF!</definedName>
    <definedName name="QB_FORMULA_139" localSheetId="15" hidden="1">SPED!#REF!,SPED!#REF!,SPED!#REF!,SPED!#REF!,SPED!#REF!,SPED!#REF!,SPED!#REF!,SPED!$I$44,SPED!#REF!,SPED!#REF!,SPED!#REF!,SPED!#REF!,SPED!#REF!,SPED!#REF!,SPED!#REF!,SPED!#REF!</definedName>
    <definedName name="QB_FORMULA_14" localSheetId="15" hidden="1">SPED!#REF!,SPED!#REF!,SPED!#REF!,SPED!#REF!,SPED!#REF!,SPED!#REF!,SPED!#REF!,SPED!#REF!,SPED!#REF!,SPED!#REF!,SPED!#REF!,SPED!#REF!,SPED!#REF!,SPED!#REF!,SPED!#REF!,SPED!#REF!</definedName>
    <definedName name="QB_FORMULA_140" localSheetId="15" hidden="1">SPED!#REF!,SPED!#REF!,SPED!#REF!,SPED!#REF!,SPED!#REF!,SPED!#REF!,SPED!#REF!,SPED!#REF!,SPED!#REF!,SPED!#REF!,SPED!#REF!,SPED!#REF!,SPED!#REF!,SPED!#REF!,SPED!#REF!,SPED!#REF!</definedName>
    <definedName name="QB_FORMULA_141" localSheetId="15" hidden="1">SPED!#REF!,SPED!#REF!,SPED!#REF!,SPED!#REF!,SPED!#REF!,SPED!#REF!,SPED!#REF!,SPED!#REF!,SPED!#REF!,SPED!#REF!,SPED!#REF!,SPED!#REF!,SPED!#REF!,SPED!#REF!,SPED!#REF!,SPED!#REF!</definedName>
    <definedName name="QB_FORMULA_142" localSheetId="15" hidden="1">SPED!#REF!,SPED!#REF!,SPED!#REF!,SPED!#REF!,SPED!#REF!,SPED!#REF!,SPED!#REF!,SPED!#REF!,SPED!#REF!,SPED!#REF!,SPED!#REF!,SPED!#REF!,SPED!#REF!,SPED!#REF!,SPED!#REF!,SPED!#REF!</definedName>
    <definedName name="QB_FORMULA_143" localSheetId="15" hidden="1">SPED!#REF!,SPED!#REF!,SPED!#REF!,SPED!#REF!,SPED!#REF!,SPED!$I$45,SPED!#REF!,SPED!#REF!,SPED!#REF!,SPED!#REF!,SPED!#REF!,SPED!#REF!,SPED!#REF!,SPED!#REF!,SPED!#REF!,SPED!#REF!</definedName>
    <definedName name="QB_FORMULA_144" localSheetId="15" hidden="1">SPED!#REF!,SPED!#REF!,SPED!#REF!,SPED!#REF!,SPED!#REF!,SPED!#REF!,SPED!#REF!,SPED!#REF!,SPED!#REF!,SPED!#REF!,SPED!#REF!,SPED!#REF!,SPED!#REF!,SPED!#REF!,SPED!#REF!,SPED!#REF!</definedName>
    <definedName name="QB_FORMULA_145" localSheetId="15" hidden="1">SPED!#REF!,SPED!#REF!,SPED!#REF!,SPED!#REF!,SPED!#REF!,SPED!#REF!,SPED!#REF!,SPED!#REF!,SPED!#REF!,SPED!#REF!,SPED!#REF!,SPED!#REF!,SPED!#REF!,SPED!#REF!,SPED!#REF!,SPED!#REF!</definedName>
    <definedName name="QB_FORMULA_146" localSheetId="15" hidden="1">SPED!#REF!,SPED!#REF!,SPED!#REF!,SPED!#REF!,SPED!#REF!,SPED!#REF!,SPED!#REF!,SPED!#REF!,SPED!#REF!,SPED!#REF!,SPED!#REF!,SPED!#REF!,SPED!#REF!,SPED!#REF!,SPED!#REF!,SPED!#REF!</definedName>
    <definedName name="QB_FORMULA_147" localSheetId="15" hidden="1">SPED!#REF!,SPED!#REF!,SPED!#REF!,SPED!$I$46,SPED!#REF!,SPED!#REF!,SPED!#REF!,SPED!#REF!,SPED!#REF!,SPED!#REF!,SPED!#REF!,SPED!#REF!,SPED!#REF!,SPED!#REF!,SPED!#REF!,SPED!#REF!</definedName>
    <definedName name="QB_FORMULA_148" localSheetId="15" hidden="1">SPED!#REF!,SPED!#REF!,SPED!#REF!,SPED!#REF!,SPED!#REF!,SPED!#REF!,SPED!#REF!,SPED!#REF!,SPED!#REF!,SPED!#REF!,SPED!#REF!,SPED!#REF!,SPED!#REF!,SPED!#REF!,SPED!#REF!,SPED!#REF!</definedName>
    <definedName name="QB_FORMULA_149" localSheetId="15" hidden="1">SPED!#REF!,SPED!#REF!,SPED!#REF!,SPED!#REF!,SPED!#REF!,SPED!#REF!,SPED!#REF!,SPED!#REF!,SPED!#REF!,SPED!#REF!,SPED!#REF!,SPED!#REF!,SPED!#REF!,SPED!#REF!,SPED!#REF!,SPED!#REF!</definedName>
    <definedName name="QB_FORMULA_15" localSheetId="15" hidden="1">SPED!#REF!,SPED!#REF!,SPED!#REF!,SPED!#REF!,SPED!#REF!,SPED!#REF!,SPED!#REF!,SPED!#REF!,SPED!#REF!,SPED!#REF!,SPED!#REF!,SPED!#REF!,SPED!#REF!,SPED!#REF!,SPED!#REF!,SPED!#REF!</definedName>
    <definedName name="QB_FORMULA_150" localSheetId="15" hidden="1">SPED!#REF!,SPED!#REF!,SPED!#REF!,SPED!#REF!,SPED!#REF!,SPED!#REF!,SPED!#REF!,SPED!#REF!,SPED!#REF!,SPED!#REF!,SPED!#REF!,SPED!#REF!,SPED!#REF!,SPED!#REF!,SPED!#REF!,SPED!#REF!</definedName>
    <definedName name="QB_FORMULA_151" localSheetId="15" hidden="1">SPED!#REF!,SPED!$I$47,SPED!#REF!,SPED!#REF!,SPED!#REF!,SPED!#REF!,SPED!#REF!,SPED!#REF!,SPED!#REF!,SPED!#REF!,SPED!#REF!,SPED!#REF!,SPED!#REF!,SPED!#REF!,SPED!#REF!,SPED!#REF!</definedName>
    <definedName name="QB_FORMULA_152" localSheetId="15" hidden="1">SPED!#REF!,SPED!#REF!,SPED!#REF!,SPED!#REF!,SPED!#REF!,SPED!#REF!,SPED!#REF!,SPED!#REF!,SPED!#REF!,SPED!#REF!,SPED!#REF!,SPED!#REF!,SPED!#REF!,SPED!#REF!,SPED!#REF!,SPED!#REF!</definedName>
    <definedName name="QB_FORMULA_153" localSheetId="15" hidden="1">SPED!#REF!,SPED!#REF!,SPED!#REF!,SPED!#REF!,SPED!#REF!,SPED!#REF!,SPED!#REF!,SPED!#REF!,SPED!#REF!,SPED!#REF!,SPED!#REF!,SPED!#REF!,SPED!#REF!,SPED!#REF!,SPED!#REF!,SPED!#REF!</definedName>
    <definedName name="QB_FORMULA_154" localSheetId="15" hidden="1">SPED!#REF!,SPED!#REF!,SPED!#REF!,SPED!#REF!,SPED!#REF!,SPED!#REF!,SPED!#REF!,SPED!#REF!,SPED!#REF!,SPED!#REF!,SPED!#REF!,SPED!#REF!,SPED!#REF!,SPED!#REF!,SPED!#REF!,SPED!$I$48</definedName>
    <definedName name="QB_FORMULA_155" localSheetId="15" hidden="1">SPED!#REF!,SPED!#REF!,SPED!#REF!,SPED!#REF!,SPED!#REF!,SPED!#REF!,SPED!#REF!,SPED!#REF!,SPED!#REF!,SPED!#REF!,SPED!#REF!,SPED!#REF!,SPED!#REF!,SPED!#REF!,SPED!#REF!,SPED!#REF!</definedName>
    <definedName name="QB_FORMULA_156" localSheetId="15" hidden="1">SPED!#REF!,SPED!#REF!,SPED!#REF!,SPED!#REF!,SPED!#REF!,SPED!#REF!,SPED!#REF!,SPED!#REF!,SPED!#REF!,SPED!#REF!,SPED!#REF!,SPED!#REF!,SPED!#REF!,SPED!#REF!,SPED!#REF!,SPED!#REF!</definedName>
    <definedName name="QB_FORMULA_157" localSheetId="15" hidden="1">SPED!#REF!,SPED!#REF!,SPED!#REF!,SPED!#REF!,SPED!#REF!,SPED!#REF!,SPED!#REF!,SPED!#REF!,SPED!#REF!,SPED!#REF!,SPED!#REF!,SPED!#REF!,SPED!#REF!,SPED!#REF!,SPED!#REF!,SPED!#REF!</definedName>
    <definedName name="QB_FORMULA_158" localSheetId="15" hidden="1">SPED!#REF!,SPED!#REF!,SPED!#REF!,SPED!#REF!,SPED!#REF!,SPED!#REF!,SPED!#REF!,SPED!#REF!,SPED!#REF!,SPED!#REF!,SPED!#REF!,SPED!#REF!,SPED!#REF!,SPED!$I$49,SPED!#REF!,SPED!#REF!</definedName>
    <definedName name="QB_FORMULA_159" localSheetId="15" hidden="1">SPED!#REF!,SPED!#REF!,SPED!#REF!,SPED!#REF!,SPED!#REF!,SPED!#REF!,SPED!#REF!,SPED!#REF!,SPED!#REF!,SPED!#REF!,SPED!#REF!,SPED!#REF!,SPED!#REF!,SPED!#REF!,SPED!#REF!,SPED!#REF!</definedName>
    <definedName name="QB_FORMULA_16" localSheetId="15" hidden="1">SPED!#REF!,SPED!#REF!,SPED!#REF!,SPED!#REF!,SPED!#REF!,SPED!#REF!,SPED!#REF!,SPED!#REF!,SPED!#REF!,SPED!#REF!,SPED!#REF!,SPED!#REF!,SPED!#REF!,SPED!$I$14,SPED!#REF!,SPED!#REF!</definedName>
    <definedName name="QB_FORMULA_160" localSheetId="15" hidden="1">SPED!#REF!,SPED!#REF!,SPED!#REF!,SPED!#REF!,SPED!#REF!,SPED!#REF!,SPED!#REF!,SPED!#REF!,SPED!#REF!,SPED!#REF!,SPED!#REF!,SPED!#REF!,SPED!#REF!,SPED!#REF!,SPED!#REF!,SPED!#REF!</definedName>
    <definedName name="QB_FORMULA_161" localSheetId="15" hidden="1">SPED!#REF!,SPED!#REF!,SPED!#REF!,SPED!#REF!,SPED!#REF!,SPED!#REF!,SPED!#REF!,SPED!#REF!,SPED!#REF!,SPED!#REF!,SPED!#REF!,SPED!#REF!,SPED!#REF!,SPED!#REF!,SPED!#REF!,SPED!#REF!</definedName>
    <definedName name="QB_FORMULA_162" localSheetId="15" hidden="1">SPED!#REF!,SPED!#REF!,SPED!#REF!,SPED!#REF!,SPED!#REF!,SPED!#REF!,SPED!#REF!,SPED!#REF!,SPED!#REF!,SPED!#REF!,SPED!#REF!,SPED!$I$50,SPED!#REF!,SPED!#REF!,SPED!#REF!,SPED!#REF!</definedName>
    <definedName name="QB_FORMULA_163" localSheetId="15" hidden="1">SPED!#REF!,SPED!#REF!,SPED!#REF!,SPED!#REF!,SPED!#REF!,SPED!#REF!,SPED!#REF!,SPED!#REF!,SPED!#REF!,SPED!#REF!,SPED!#REF!,SPED!#REF!,SPED!#REF!,SPED!#REF!,SPED!#REF!,SPED!#REF!</definedName>
    <definedName name="QB_FORMULA_164" localSheetId="15" hidden="1">SPED!#REF!,SPED!#REF!,SPED!#REF!,SPED!#REF!,SPED!#REF!,SPED!#REF!,SPED!#REF!,SPED!#REF!,SPED!#REF!,SPED!#REF!,SPED!#REF!,SPED!#REF!,SPED!#REF!,SPED!#REF!,SPED!#REF!,SPED!#REF!</definedName>
    <definedName name="QB_FORMULA_165" localSheetId="15" hidden="1">SPED!#REF!,SPED!#REF!,SPED!#REF!,SPED!#REF!,SPED!#REF!,SPED!#REF!,SPED!#REF!,SPED!#REF!,SPED!#REF!,SPED!#REF!,SPED!#REF!,SPED!#REF!,SPED!#REF!,SPED!#REF!,SPED!#REF!,SPED!#REF!</definedName>
    <definedName name="QB_FORMULA_166" localSheetId="15" hidden="1">SPED!#REF!,SPED!#REF!,SPED!#REF!,SPED!#REF!,SPED!#REF!,SPED!#REF!,SPED!#REF!,SPED!#REF!,SPED!#REF!,SPED!#REF!,SPED!#REF!,SPED!$G$51,SPED!$H$51,SPED!$I$51,SPED!#REF!,SPED!#REF!</definedName>
    <definedName name="QB_FORMULA_167" localSheetId="15" hidden="1">SPED!#REF!,SPED!#REF!,SPED!#REF!,SPED!#REF!,SPED!#REF!,SPED!#REF!,SPED!#REF!,SPED!#REF!,SPED!#REF!,SPED!#REF!,SPED!#REF!,SPED!#REF!,SPED!#REF!,SPED!#REF!,SPED!#REF!,SPED!#REF!</definedName>
    <definedName name="QB_FORMULA_168" localSheetId="15" hidden="1">SPED!#REF!,SPED!#REF!,SPED!#REF!,SPED!#REF!,SPED!#REF!,SPED!#REF!,SPED!#REF!,SPED!#REF!,SPED!#REF!,SPED!#REF!,SPED!#REF!,SPED!#REF!,SPED!#REF!,SPED!#REF!,SPED!#REF!,SPED!#REF!</definedName>
    <definedName name="QB_FORMULA_169" localSheetId="15" hidden="1">SPED!#REF!,SPED!#REF!,SPED!#REF!,SPED!#REF!,SPED!#REF!,SPED!#REF!,SPED!#REF!,SPED!#REF!,SPED!#REF!,SPED!#REF!,SPED!#REF!,SPED!#REF!,SPED!#REF!,SPED!#REF!,SPED!#REF!,SPED!#REF!</definedName>
    <definedName name="QB_FORMULA_17" localSheetId="15" hidden="1">SPED!#REF!,SPED!#REF!,SPED!#REF!,SPED!#REF!,SPED!#REF!,SPED!#REF!,SPED!#REF!,SPED!#REF!,SPED!#REF!,SPED!#REF!,SPED!#REF!,SPED!#REF!,SPED!#REF!,SPED!#REF!,SPED!#REF!,SPED!#REF!</definedName>
    <definedName name="QB_FORMULA_170" localSheetId="15" hidden="1">SPED!#REF!,SPED!#REF!,SPED!#REF!,SPED!#REF!,SPED!#REF!,SPED!#REF!,SPED!#REF!,SPED!#REF!,SPED!#REF!,SPED!#REF!,SPED!#REF!,SPED!#REF!,SPED!#REF!,SPED!#REF!,SPED!#REF!,SPED!#REF!</definedName>
    <definedName name="QB_FORMULA_171" localSheetId="15" hidden="1">SPED!#REF!,SPED!#REF!,SPED!#REF!,SPED!#REF!,SPED!#REF!,SPED!#REF!,SPED!#REF!,SPED!#REF!,SPED!#REF!,SPED!#REF!,SPED!#REF!,SPED!#REF!,SPED!#REF!,SPED!#REF!,SPED!#REF!,SPED!#REF!</definedName>
    <definedName name="QB_FORMULA_172" localSheetId="15" hidden="1">SPED!#REF!,SPED!#REF!,SPED!#REF!,SPED!#REF!,SPED!#REF!,SPED!#REF!,SPED!#REF!,SPED!#REF!,SPED!#REF!,SPED!#REF!,SPED!#REF!,SPED!#REF!,SPED!#REF!,SPED!#REF!,SPED!#REF!,SPED!#REF!</definedName>
    <definedName name="QB_FORMULA_173" localSheetId="15" hidden="1">SPED!#REF!,SPED!#REF!,SPED!#REF!,SPED!#REF!,SPED!#REF!,SPED!#REF!,SPED!#REF!,SPED!#REF!,SPED!#REF!,SPED!#REF!,SPED!#REF!,SPED!#REF!,SPED!#REF!,SPED!#REF!,SPED!#REF!,SPED!#REF!</definedName>
    <definedName name="QB_FORMULA_174" localSheetId="15" hidden="1">SPED!#REF!,SPED!#REF!,SPED!#REF!,SPED!#REF!,SPED!#REF!,SPED!#REF!,SPED!#REF!,SPED!#REF!,SPED!#REF!,SPED!#REF!,SPED!#REF!,SPED!#REF!,SPED!#REF!,SPED!#REF!,SPED!#REF!,SPED!#REF!</definedName>
    <definedName name="QB_FORMULA_175" localSheetId="15" hidden="1">SPED!#REF!,SPED!#REF!,SPED!#REF!,SPED!#REF!,SPED!#REF!,SPED!#REF!,SPED!#REF!,SPED!#REF!,SPED!#REF!,SPED!$I$53,SPED!#REF!,SPED!#REF!,SPED!#REF!,SPED!#REF!,SPED!#REF!,SPED!#REF!</definedName>
    <definedName name="QB_FORMULA_176" localSheetId="15" hidden="1">SPED!#REF!,SPED!#REF!,SPED!#REF!,SPED!#REF!,SPED!#REF!,SPED!#REF!,SPED!#REF!,SPED!#REF!,SPED!#REF!,SPED!#REF!,SPED!#REF!,SPED!#REF!,SPED!#REF!,SPED!#REF!,SPED!#REF!,SPED!#REF!</definedName>
    <definedName name="QB_FORMULA_177" localSheetId="15" hidden="1">SPED!#REF!,SPED!#REF!,SPED!#REF!,SPED!#REF!,SPED!#REF!,SPED!#REF!,SPED!#REF!,SPED!#REF!,SPED!#REF!,SPED!#REF!,SPED!#REF!,SPED!#REF!,SPED!#REF!,SPED!#REF!,SPED!#REF!,SPED!#REF!</definedName>
    <definedName name="QB_FORMULA_178" localSheetId="15" hidden="1">SPED!#REF!,SPED!#REF!,SPED!#REF!,SPED!#REF!,SPED!#REF!,SPED!#REF!,SPED!#REF!,SPED!#REF!,SPED!#REF!,SPED!#REF!,SPED!#REF!,SPED!#REF!,SPED!#REF!,SPED!#REF!,SPED!#REF!,SPED!#REF!</definedName>
    <definedName name="QB_FORMULA_179" localSheetId="15" hidden="1">SPED!#REF!,SPED!#REF!,SPED!#REF!,SPED!#REF!,SPED!#REF!,SPED!#REF!,SPED!#REF!,SPED!#REF!,SPED!#REF!,SPED!$G$54,SPED!$H$54,SPED!$I$54,SPED!#REF!,SPED!#REF!,SPED!#REF!,SPED!#REF!</definedName>
    <definedName name="QB_FORMULA_18" localSheetId="15" hidden="1">SPED!#REF!,SPED!#REF!,SPED!#REF!,SPED!#REF!,SPED!#REF!,SPED!#REF!,SPED!#REF!,SPED!#REF!,SPED!#REF!,SPED!#REF!,SPED!#REF!,SPED!#REF!,SPED!#REF!,SPED!#REF!,SPED!#REF!,SPED!#REF!</definedName>
    <definedName name="QB_FORMULA_180" localSheetId="15" hidden="1">SPED!#REF!,SPED!#REF!,SPED!#REF!,SPED!#REF!,SPED!#REF!,SPED!#REF!,SPED!#REF!,SPED!#REF!,SPED!#REF!,SPED!#REF!,SPED!#REF!,SPED!#REF!,SPED!#REF!,SPED!#REF!,SPED!#REF!,SPED!#REF!</definedName>
    <definedName name="QB_FORMULA_181" localSheetId="15" hidden="1">SPED!#REF!,SPED!#REF!,SPED!#REF!,SPED!#REF!,SPED!#REF!,SPED!#REF!,SPED!#REF!,SPED!#REF!,SPED!#REF!,SPED!#REF!,SPED!#REF!,SPED!#REF!,SPED!#REF!,SPED!#REF!,SPED!#REF!,SPED!#REF!</definedName>
    <definedName name="QB_FORMULA_182" localSheetId="15" hidden="1">SPED!#REF!,SPED!#REF!,SPED!#REF!,SPED!#REF!,SPED!#REF!,SPED!#REF!,SPED!#REF!,SPED!#REF!,SPED!#REF!,SPED!#REF!,SPED!#REF!,SPED!#REF!,SPED!#REF!,SPED!#REF!,SPED!#REF!,SPED!#REF!</definedName>
    <definedName name="QB_FORMULA_183" localSheetId="15" hidden="1">SPED!#REF!,SPED!#REF!,SPED!#REF!,SPED!#REF!,SPED!#REF!,SPED!#REF!,SPED!#REF!,SPED!#REF!,SPED!#REF!,SPED!#REF!,SPED!#REF!,SPED!#REF!,SPED!#REF!,SPED!#REF!,SPED!#REF!,SPED!#REF!</definedName>
    <definedName name="QB_FORMULA_184" localSheetId="15" hidden="1">SPED!#REF!,SPED!#REF!,SPED!#REF!,SPED!#REF!,SPED!#REF!,SPED!#REF!,SPED!#REF!,SPED!#REF!,SPED!#REF!,SPED!#REF!,SPED!#REF!,SPED!#REF!,SPED!#REF!,SPED!#REF!,SPED!#REF!,SPED!#REF!</definedName>
    <definedName name="QB_FORMULA_185" localSheetId="15" hidden="1">SPED!#REF!,SPED!#REF!,SPED!#REF!,SPED!#REF!,SPED!#REF!,SPED!#REF!,SPED!#REF!,SPED!#REF!,SPED!#REF!,SPED!#REF!,SPED!#REF!,SPED!#REF!,SPED!#REF!,SPED!#REF!,SPED!#REF!,SPED!#REF!</definedName>
    <definedName name="QB_FORMULA_186" localSheetId="15" hidden="1">SPED!#REF!,SPED!#REF!,SPED!#REF!,SPED!#REF!,SPED!#REF!,SPED!#REF!,SPED!#REF!,SPED!#REF!,SPED!#REF!,SPED!#REF!,SPED!#REF!,SPED!#REF!,SPED!#REF!,SPED!#REF!,SPED!#REF!,SPED!#REF!</definedName>
    <definedName name="QB_FORMULA_187" localSheetId="15" hidden="1">SPED!#REF!,SPED!#REF!,SPED!#REF!,SPED!#REF!,SPED!#REF!,SPED!#REF!,SPED!#REF!,SPED!#REF!,SPED!#REF!,SPED!#REF!,SPED!#REF!,SPED!#REF!,SPED!#REF!,SPED!#REF!,SPED!#REF!,SPED!#REF!</definedName>
    <definedName name="QB_FORMULA_188" localSheetId="15" hidden="1">SPED!#REF!,SPED!#REF!,SPED!#REF!,SPED!#REF!,SPED!#REF!,SPED!#REF!,SPED!#REF!,SPED!#REF!,SPED!#REF!,SPED!$G$55,SPED!$H$55,SPED!$I$55,SPED!#REF!,SPED!#REF!,SPED!#REF!,SPED!#REF!</definedName>
    <definedName name="QB_FORMULA_189" localSheetId="15" hidden="1">SPED!#REF!,SPED!#REF!,SPED!#REF!,SPED!#REF!,SPED!#REF!,SPED!#REF!,SPED!#REF!,SPED!#REF!,SPED!#REF!,SPED!#REF!,SPED!#REF!,SPED!#REF!,SPED!#REF!,SPED!#REF!,SPED!#REF!,SPED!#REF!</definedName>
    <definedName name="QB_FORMULA_19" localSheetId="15" hidden="1">SPED!#REF!,SPED!#REF!,SPED!#REF!,SPED!#REF!,SPED!#REF!,SPED!#REF!,SPED!#REF!,SPED!#REF!,SPED!#REF!,SPED!#REF!,SPED!#REF!,SPED!#REF!,SPED!#REF!,SPED!#REF!,SPED!#REF!,SPED!#REF!</definedName>
    <definedName name="QB_FORMULA_190" localSheetId="15" hidden="1">SPED!#REF!,SPED!#REF!,SPED!#REF!,SPED!#REF!,SPED!#REF!,SPED!#REF!,SPED!#REF!,SPED!#REF!,SPED!#REF!,SPED!#REF!,SPED!#REF!,SPED!#REF!,SPED!#REF!,SPED!#REF!,SPED!#REF!,SPED!#REF!</definedName>
    <definedName name="QB_FORMULA_191" localSheetId="15" hidden="1">SPED!#REF!,SPED!#REF!,SPED!#REF!,SPED!#REF!,SPED!#REF!,SPED!#REF!,SPED!#REF!,SPED!#REF!,SPED!#REF!,SPED!#REF!,SPED!#REF!,SPED!#REF!,SPED!#REF!,SPED!#REF!,SPED!#REF!,SPED!#REF!</definedName>
    <definedName name="QB_FORMULA_192" localSheetId="15" hidden="1">SPED!#REF!,SPED!#REF!,SPED!#REF!,SPED!#REF!,SPED!#REF!,SPED!#REF!,SPED!#REF!,SPED!#REF!,SPED!#REF!,SPED!#REF!,SPED!#REF!,SPED!#REF!,SPED!#REF!,SPED!#REF!,SPED!#REF!,SPED!#REF!</definedName>
    <definedName name="QB_FORMULA_193" localSheetId="15" hidden="1">SPED!#REF!,SPED!#REF!,SPED!#REF!,SPED!#REF!,SPED!#REF!,SPED!#REF!,SPED!#REF!,SPED!#REF!,SPED!#REF!,SPED!#REF!,SPED!#REF!,SPED!#REF!,SPED!#REF!,SPED!#REF!,SPED!#REF!,SPED!#REF!</definedName>
    <definedName name="QB_FORMULA_194" localSheetId="15" hidden="1">SPED!#REF!,SPED!#REF!,SPED!#REF!,SPED!#REF!,SPED!#REF!,SPED!#REF!,SPED!#REF!,SPED!#REF!,SPED!#REF!,SPED!#REF!,SPED!#REF!,SPED!#REF!,SPED!#REF!,SPED!#REF!,SPED!#REF!,SPED!#REF!</definedName>
    <definedName name="QB_FORMULA_195" localSheetId="15" hidden="1">SPED!#REF!,SPED!#REF!,SPED!#REF!,SPED!#REF!,SPED!#REF!,SPED!#REF!,SPED!#REF!,SPED!#REF!,SPED!#REF!,SPED!#REF!,SPED!#REF!,SPED!#REF!,SPED!#REF!,SPED!#REF!,SPED!#REF!,SPED!#REF!</definedName>
    <definedName name="QB_FORMULA_196" localSheetId="15" hidden="1">SPED!#REF!,SPED!#REF!,SPED!#REF!,SPED!#REF!,SPED!#REF!,SPED!#REF!,SPED!#REF!,SPED!#REF!,SPED!#REF!,SPED!#REF!,SPED!#REF!,SPED!#REF!,SPED!#REF!,SPED!#REF!,SPED!#REF!,SPED!#REF!</definedName>
    <definedName name="QB_FORMULA_197" localSheetId="15" hidden="1">SPED!#REF!,SPED!#REF!,SPED!#REF!,SPED!#REF!,SPED!#REF!,SPED!#REF!,SPED!#REF!,SPED!#REF!,SPED!#REF!,SPED!$G$56,SPED!$H$56,SPED!$I$56,SPED!#REF!,SPED!#REF!,SPED!#REF!,SPED!#REF!</definedName>
    <definedName name="QB_FORMULA_198" localSheetId="15" hidden="1">SPED!#REF!,SPED!#REF!,SPED!#REF!,SPED!#REF!,SPED!#REF!,SPED!#REF!,SPED!#REF!,SPED!#REF!,SPED!#REF!,SPED!#REF!,SPED!#REF!,SPED!#REF!,SPED!#REF!,SPED!#REF!,SPED!#REF!,SPED!#REF!</definedName>
    <definedName name="QB_FORMULA_199" localSheetId="15" hidden="1">SPED!#REF!,SPED!#REF!,SPED!#REF!,SPED!#REF!,SPED!#REF!,SPED!#REF!,SPED!#REF!,SPED!#REF!,SPED!#REF!,SPED!#REF!,SPED!#REF!,SPED!#REF!,SPED!#REF!,SPED!#REF!,SPED!#REF!,SPED!#REF!</definedName>
    <definedName name="QB_FORMULA_2" localSheetId="15" hidden="1">SPED!#REF!,SPED!#REF!,SPED!#REF!,SPED!#REF!,SPED!#REF!,SPED!#REF!,SPED!#REF!,SPED!#REF!,SPED!#REF!,SPED!#REF!,SPED!#REF!,SPED!#REF!,SPED!#REF!,SPED!#REF!,SPED!#REF!,SPED!#REF!</definedName>
    <definedName name="QB_FORMULA_20" localSheetId="15" hidden="1">SPED!#REF!,SPED!#REF!,SPED!#REF!,SPED!#REF!,SPED!#REF!,SPED!#REF!,SPED!#REF!,SPED!#REF!,SPED!#REF!,SPED!#REF!,SPED!#REF!,SPED!$I$15,SPED!#REF!,SPED!#REF!,SPED!#REF!,SPED!#REF!</definedName>
    <definedName name="QB_FORMULA_200" localSheetId="15" hidden="1">SPED!#REF!,SPED!#REF!,SPED!#REF!,SPED!#REF!,SPED!#REF!,SPED!#REF!,SPED!#REF!,SPED!#REF!,SPED!#REF!,SPED!#REF!,SPED!#REF!,SPED!#REF!,SPED!#REF!,SPED!#REF!,SPED!#REF!,SPED!#REF!</definedName>
    <definedName name="QB_FORMULA_201" localSheetId="15" hidden="1">SPED!#REF!,SPED!#REF!,SPED!#REF!,SPED!#REF!,SPED!#REF!,SPED!#REF!,SPED!#REF!,SPED!#REF!,SPED!#REF!,SPED!#REF!,SPED!#REF!,SPED!#REF!,SPED!#REF!,SPED!#REF!,SPED!#REF!,SPED!#REF!</definedName>
    <definedName name="QB_FORMULA_202" localSheetId="15" hidden="1">SPED!#REF!,SPED!#REF!,SPED!#REF!,SPED!#REF!,SPED!#REF!,SPED!#REF!,SPED!#REF!,SPED!#REF!,SPED!#REF!,SPED!#REF!,SPED!#REF!,SPED!#REF!,SPED!#REF!,SPED!#REF!,SPED!#REF!,SPED!#REF!</definedName>
    <definedName name="QB_FORMULA_203" localSheetId="15" hidden="1">SPED!#REF!,SPED!#REF!,SPED!#REF!,SPED!#REF!,SPED!#REF!,SPED!#REF!,SPED!#REF!,SPED!#REF!,SPED!#REF!,SPED!#REF!,SPED!#REF!,SPED!#REF!,SPED!#REF!,SPED!#REF!,SPED!#REF!,SPED!#REF!</definedName>
    <definedName name="QB_FORMULA_204" localSheetId="15" hidden="1">SPED!#REF!,SPED!#REF!,SPED!#REF!,SPED!#REF!,SPED!#REF!,SPED!#REF!,SPED!#REF!,SPED!#REF!,SPED!#REF!,SPED!#REF!,SPED!#REF!,SPED!#REF!,SPED!#REF!,SPED!#REF!,SPED!#REF!,SPED!#REF!</definedName>
    <definedName name="QB_FORMULA_205" localSheetId="15" hidden="1">SPED!#REF!,SPED!#REF!,SPED!#REF!,SPED!#REF!,SPED!#REF!,SPED!#REF!,SPED!#REF!,SPED!#REF!,SPED!#REF!,SPED!#REF!,SPED!#REF!,SPED!#REF!,SPED!#REF!,SPED!#REF!,SPED!#REF!,SPED!#REF!</definedName>
    <definedName name="QB_FORMULA_206" localSheetId="15" hidden="1">SPED!#REF!,SPED!#REF!,SPED!#REF!,SPED!#REF!,SPED!#REF!,SPED!#REF!</definedName>
    <definedName name="QB_FORMULA_21" localSheetId="15" hidden="1">SPED!#REF!,SPED!#REF!,SPED!#REF!,SPED!#REF!,SPED!#REF!,SPED!#REF!,SPED!#REF!,SPED!#REF!,SPED!#REF!,SPED!#REF!,SPED!#REF!,SPED!#REF!,SPED!#REF!,SPED!#REF!,SPED!#REF!,SPED!#REF!</definedName>
    <definedName name="QB_FORMULA_22" localSheetId="15" hidden="1">SPED!#REF!,SPED!#REF!,SPED!#REF!,SPED!#REF!,SPED!#REF!,SPED!#REF!,SPED!#REF!,SPED!#REF!,SPED!#REF!,SPED!#REF!,SPED!#REF!,SPED!#REF!,SPED!#REF!,SPED!#REF!,SPED!#REF!,SPED!#REF!</definedName>
    <definedName name="QB_FORMULA_23" localSheetId="15" hidden="1">SPED!#REF!,SPED!#REF!,SPED!#REF!,SPED!#REF!,SPED!#REF!,SPED!#REF!,SPED!#REF!,SPED!#REF!,SPED!#REF!,SPED!#REF!,SPED!#REF!,SPED!#REF!,SPED!#REF!,SPED!#REF!,SPED!#REF!,SPED!#REF!</definedName>
    <definedName name="QB_FORMULA_24" localSheetId="15" hidden="1">SPED!#REF!,SPED!#REF!,SPED!#REF!,SPED!#REF!,SPED!#REF!,SPED!#REF!,SPED!#REF!,SPED!#REF!,SPED!#REF!,SPED!$I$16,SPED!#REF!,SPED!#REF!,SPED!#REF!,SPED!#REF!,SPED!#REF!,SPED!#REF!</definedName>
    <definedName name="QB_FORMULA_25" localSheetId="15" hidden="1">SPED!#REF!,SPED!#REF!,SPED!#REF!,SPED!#REF!,SPED!#REF!,SPED!#REF!,SPED!#REF!,SPED!#REF!,SPED!#REF!,SPED!#REF!,SPED!#REF!,SPED!#REF!,SPED!#REF!,SPED!#REF!,SPED!#REF!,SPED!#REF!</definedName>
    <definedName name="QB_FORMULA_26" localSheetId="15" hidden="1">SPED!#REF!,SPED!#REF!,SPED!#REF!,SPED!#REF!,SPED!#REF!,SPED!#REF!,SPED!#REF!,SPED!#REF!,SPED!#REF!,SPED!#REF!,SPED!#REF!,SPED!#REF!,SPED!#REF!,SPED!#REF!,SPED!#REF!,SPED!#REF!</definedName>
    <definedName name="QB_FORMULA_27" localSheetId="15" hidden="1">SPED!#REF!,SPED!#REF!,SPED!#REF!,SPED!#REF!,SPED!#REF!,SPED!#REF!,SPED!#REF!,SPED!#REF!,SPED!#REF!,SPED!#REF!,SPED!#REF!,SPED!#REF!,SPED!#REF!,SPED!#REF!,SPED!#REF!,SPED!#REF!</definedName>
    <definedName name="QB_FORMULA_28" localSheetId="15" hidden="1">SPED!#REF!,SPED!#REF!,SPED!#REF!,SPED!#REF!,SPED!#REF!,SPED!#REF!,SPED!#REF!,SPED!$I$17,SPED!#REF!,SPED!#REF!,SPED!#REF!,SPED!#REF!,SPED!#REF!,SPED!#REF!,SPED!#REF!,SPED!#REF!</definedName>
    <definedName name="QB_FORMULA_29" localSheetId="15" hidden="1">SPED!#REF!,SPED!#REF!,SPED!#REF!,SPED!#REF!,SPED!#REF!,SPED!#REF!,SPED!#REF!,SPED!#REF!,SPED!#REF!,SPED!#REF!,SPED!#REF!,SPED!#REF!,SPED!#REF!,SPED!#REF!,SPED!#REF!,SPED!#REF!</definedName>
    <definedName name="QB_FORMULA_3" localSheetId="15" hidden="1">SPED!#REF!,SPED!#REF!,SPED!#REF!,SPED!#REF!,SPED!#REF!,SPED!#REF!,SPED!#REF!,SPED!#REF!,SPED!#REF!,SPED!#REF!,SPED!#REF!,SPED!#REF!,SPED!#REF!,SPED!#REF!,SPED!#REF!,SPED!#REF!</definedName>
    <definedName name="QB_FORMULA_30" localSheetId="15" hidden="1">SPED!#REF!,SPED!#REF!,SPED!#REF!,SPED!#REF!,SPED!#REF!,SPED!#REF!,SPED!#REF!,SPED!#REF!,SPED!#REF!,SPED!#REF!,SPED!#REF!,SPED!#REF!,SPED!#REF!,SPED!#REF!,SPED!#REF!,SPED!#REF!</definedName>
    <definedName name="QB_FORMULA_31" localSheetId="15" hidden="1">SPED!#REF!,SPED!#REF!,SPED!#REF!,SPED!#REF!,SPED!#REF!,SPED!#REF!,SPED!#REF!,SPED!#REF!,SPED!#REF!,SPED!#REF!,SPED!#REF!,SPED!#REF!,SPED!#REF!,SPED!#REF!,SPED!#REF!,SPED!#REF!</definedName>
    <definedName name="QB_FORMULA_32" localSheetId="15" hidden="1">SPED!#REF!,SPED!#REF!,SPED!#REF!,SPED!#REF!,SPED!#REF!,SPED!$I$18,SPED!#REF!,SPED!#REF!,SPED!#REF!,SPED!#REF!,SPED!#REF!,SPED!#REF!,SPED!#REF!,SPED!#REF!,SPED!#REF!,SPED!#REF!</definedName>
    <definedName name="QB_FORMULA_33" localSheetId="15" hidden="1">SPED!#REF!,SPED!#REF!,SPED!#REF!,SPED!#REF!,SPED!#REF!,SPED!#REF!,SPED!#REF!,SPED!#REF!,SPED!#REF!,SPED!#REF!,SPED!#REF!,SPED!#REF!,SPED!#REF!,SPED!#REF!,SPED!#REF!,SPED!#REF!</definedName>
    <definedName name="QB_FORMULA_34" localSheetId="15" hidden="1">SPED!#REF!,SPED!#REF!,SPED!#REF!,SPED!#REF!,SPED!#REF!,SPED!#REF!,SPED!#REF!,SPED!#REF!,SPED!#REF!,SPED!#REF!,SPED!#REF!,SPED!#REF!,SPED!#REF!,SPED!#REF!,SPED!#REF!,SPED!#REF!</definedName>
    <definedName name="QB_FORMULA_35" localSheetId="15" hidden="1">SPED!#REF!,SPED!#REF!,SPED!#REF!,SPED!#REF!,SPED!#REF!,SPED!#REF!,SPED!#REF!,SPED!#REF!,SPED!#REF!,SPED!#REF!,SPED!#REF!,SPED!#REF!,SPED!#REF!,SPED!#REF!,SPED!#REF!,SPED!#REF!</definedName>
    <definedName name="QB_FORMULA_36" localSheetId="15" hidden="1">SPED!#REF!,SPED!#REF!,SPED!#REF!,SPED!$I$19,SPED!#REF!,SPED!#REF!,SPED!#REF!,SPED!#REF!,SPED!#REF!,SPED!#REF!,SPED!#REF!,SPED!#REF!,SPED!#REF!,SPED!#REF!,SPED!#REF!,SPED!#REF!</definedName>
    <definedName name="QB_FORMULA_37" localSheetId="15" hidden="1">SPED!#REF!,SPED!#REF!,SPED!#REF!,SPED!#REF!,SPED!#REF!,SPED!#REF!,SPED!#REF!,SPED!#REF!,SPED!#REF!,SPED!#REF!,SPED!#REF!,SPED!#REF!,SPED!#REF!,SPED!#REF!,SPED!#REF!,SPED!#REF!</definedName>
    <definedName name="QB_FORMULA_38" localSheetId="15" hidden="1">SPED!#REF!,SPED!#REF!,SPED!#REF!,SPED!#REF!,SPED!#REF!,SPED!#REF!,SPED!#REF!,SPED!#REF!,SPED!#REF!,SPED!#REF!,SPED!#REF!,SPED!#REF!,SPED!#REF!,SPED!#REF!,SPED!#REF!,SPED!#REF!</definedName>
    <definedName name="QB_FORMULA_39" localSheetId="15" hidden="1">SPED!#REF!,SPED!#REF!,SPED!#REF!,SPED!#REF!,SPED!#REF!,SPED!#REF!,SPED!#REF!,SPED!#REF!,SPED!#REF!,SPED!#REF!,SPED!#REF!,SPED!#REF!,SPED!#REF!,SPED!#REF!,SPED!#REF!,SPED!#REF!</definedName>
    <definedName name="QB_FORMULA_4" localSheetId="15" hidden="1">SPED!#REF!,SPED!$G$11,SPED!$H$11,SPED!$I$11,SPED!#REF!,SPED!#REF!,SPED!#REF!,SPED!#REF!,SPED!#REF!,SPED!#REF!,SPED!#REF!,SPED!#REF!,SPED!#REF!,SPED!#REF!,SPED!#REF!,SPED!#REF!</definedName>
    <definedName name="QB_FORMULA_40" localSheetId="15" hidden="1">SPED!#REF!,SPED!$I$20,SPED!#REF!,SPED!#REF!,SPED!#REF!,SPED!#REF!,SPED!#REF!,SPED!#REF!,SPED!#REF!,SPED!#REF!,SPED!#REF!,SPED!#REF!,SPED!#REF!,SPED!#REF!,SPED!#REF!,SPED!#REF!</definedName>
    <definedName name="QB_FORMULA_41" localSheetId="15" hidden="1">SPED!#REF!,SPED!#REF!,SPED!#REF!,SPED!#REF!,SPED!#REF!,SPED!#REF!,SPED!#REF!,SPED!#REF!,SPED!#REF!,SPED!#REF!,SPED!#REF!,SPED!#REF!,SPED!#REF!,SPED!#REF!,SPED!#REF!,SPED!#REF!</definedName>
    <definedName name="QB_FORMULA_42" localSheetId="15" hidden="1">SPED!#REF!,SPED!#REF!,SPED!#REF!,SPED!#REF!,SPED!#REF!,SPED!#REF!,SPED!#REF!,SPED!#REF!,SPED!#REF!,SPED!#REF!,SPED!#REF!,SPED!#REF!,SPED!#REF!,SPED!#REF!,SPED!#REF!,SPED!#REF!</definedName>
    <definedName name="QB_FORMULA_43" localSheetId="15" hidden="1">SPED!#REF!,SPED!#REF!,SPED!#REF!,SPED!#REF!,SPED!#REF!,SPED!#REF!,SPED!#REF!,SPED!#REF!,SPED!#REF!,SPED!#REF!,SPED!#REF!,SPED!#REF!,SPED!#REF!,SPED!#REF!,SPED!#REF!,SPED!$I$21</definedName>
    <definedName name="QB_FORMULA_44" localSheetId="15" hidden="1">SPED!#REF!,SPED!#REF!,SPED!#REF!,SPED!#REF!,SPED!#REF!,SPED!#REF!,SPED!#REF!,SPED!#REF!,SPED!#REF!,SPED!#REF!,SPED!#REF!,SPED!#REF!,SPED!#REF!,SPED!#REF!,SPED!#REF!,SPED!#REF!</definedName>
    <definedName name="QB_FORMULA_45" localSheetId="15" hidden="1">SPED!#REF!,SPED!#REF!,SPED!#REF!,SPED!#REF!,SPED!#REF!,SPED!#REF!,SPED!#REF!,SPED!#REF!,SPED!#REF!,SPED!#REF!,SPED!#REF!,SPED!#REF!,SPED!#REF!,SPED!#REF!,SPED!#REF!,SPED!#REF!</definedName>
    <definedName name="QB_FORMULA_46" localSheetId="15" hidden="1">SPED!#REF!,SPED!#REF!,SPED!#REF!,SPED!#REF!,SPED!#REF!,SPED!#REF!,SPED!#REF!,SPED!#REF!,SPED!#REF!,SPED!#REF!,SPED!#REF!,SPED!#REF!,SPED!#REF!,SPED!#REF!,SPED!#REF!,SPED!#REF!</definedName>
    <definedName name="QB_FORMULA_47" localSheetId="15" hidden="1">SPED!#REF!,SPED!#REF!,SPED!#REF!,SPED!#REF!,SPED!#REF!,SPED!#REF!,SPED!#REF!,SPED!#REF!,SPED!#REF!,SPED!#REF!,SPED!#REF!,SPED!#REF!,SPED!#REF!,SPED!$I$22,SPED!#REF!,SPED!#REF!</definedName>
    <definedName name="QB_FORMULA_48" localSheetId="15" hidden="1">SPED!#REF!,SPED!#REF!,SPED!#REF!,SPED!#REF!,SPED!#REF!,SPED!#REF!,SPED!#REF!,SPED!#REF!,SPED!#REF!,SPED!#REF!,SPED!#REF!,SPED!#REF!,SPED!#REF!,SPED!#REF!,SPED!#REF!,SPED!#REF!</definedName>
    <definedName name="QB_FORMULA_49" localSheetId="15" hidden="1">SPED!#REF!,SPED!#REF!,SPED!#REF!,SPED!#REF!,SPED!#REF!,SPED!#REF!,SPED!#REF!,SPED!#REF!,SPED!#REF!,SPED!#REF!,SPED!#REF!,SPED!#REF!,SPED!#REF!,SPED!#REF!,SPED!#REF!,SPED!#REF!</definedName>
    <definedName name="QB_FORMULA_5" localSheetId="15" hidden="1">SPED!#REF!,SPED!#REF!,SPED!#REF!,SPED!#REF!,SPED!#REF!,SPED!#REF!,SPED!#REF!,SPED!#REF!,SPED!#REF!,SPED!#REF!,SPED!#REF!,SPED!#REF!,SPED!#REF!,SPED!#REF!,SPED!#REF!,SPED!#REF!</definedName>
    <definedName name="QB_FORMULA_50" localSheetId="15" hidden="1">SPED!#REF!,SPED!#REF!,SPED!#REF!,SPED!#REF!,SPED!#REF!,SPED!#REF!,SPED!#REF!,SPED!#REF!,SPED!#REF!,SPED!#REF!,SPED!#REF!,SPED!#REF!,SPED!#REF!,SPED!#REF!,SPED!#REF!,SPED!#REF!</definedName>
    <definedName name="QB_FORMULA_51" localSheetId="15" hidden="1">SPED!#REF!,SPED!#REF!,SPED!#REF!,SPED!#REF!,SPED!#REF!,SPED!#REF!,SPED!#REF!,SPED!#REF!,SPED!#REF!,SPED!#REF!,SPED!#REF!,SPED!$I$23,SPED!#REF!,SPED!#REF!,SPED!#REF!,SPED!#REF!</definedName>
    <definedName name="QB_FORMULA_52" localSheetId="15" hidden="1">SPED!#REF!,SPED!#REF!,SPED!#REF!,SPED!#REF!,SPED!#REF!,SPED!#REF!,SPED!#REF!,SPED!#REF!,SPED!#REF!,SPED!#REF!,SPED!#REF!,SPED!#REF!,SPED!#REF!,SPED!#REF!,SPED!#REF!,SPED!#REF!</definedName>
    <definedName name="QB_FORMULA_53" localSheetId="15" hidden="1">SPED!#REF!,SPED!#REF!,SPED!#REF!,SPED!#REF!,SPED!#REF!,SPED!#REF!,SPED!#REF!,SPED!#REF!,SPED!#REF!,SPED!#REF!,SPED!#REF!,SPED!#REF!,SPED!#REF!,SPED!#REF!,SPED!#REF!,SPED!#REF!</definedName>
    <definedName name="QB_FORMULA_54" localSheetId="15" hidden="1">SPED!#REF!,SPED!#REF!,SPED!#REF!,SPED!#REF!,SPED!#REF!,SPED!#REF!,SPED!#REF!,SPED!#REF!,SPED!#REF!,SPED!#REF!,SPED!#REF!,SPED!#REF!,SPED!#REF!,SPED!#REF!,SPED!#REF!,SPED!#REF!</definedName>
    <definedName name="QB_FORMULA_55" localSheetId="15" hidden="1">SPED!#REF!,SPED!#REF!,SPED!#REF!,SPED!#REF!,SPED!#REF!,SPED!#REF!,SPED!#REF!,SPED!#REF!,SPED!#REF!,SPED!$I$24,SPED!#REF!,SPED!#REF!,SPED!#REF!,SPED!#REF!,SPED!#REF!,SPED!#REF!</definedName>
    <definedName name="QB_FORMULA_56" localSheetId="15" hidden="1">SPED!#REF!,SPED!#REF!,SPED!#REF!,SPED!#REF!,SPED!#REF!,SPED!#REF!,SPED!#REF!,SPED!#REF!,SPED!#REF!,SPED!#REF!,SPED!#REF!,SPED!#REF!,SPED!#REF!,SPED!#REF!,SPED!#REF!,SPED!#REF!</definedName>
    <definedName name="QB_FORMULA_57" localSheetId="15" hidden="1">SPED!#REF!,SPED!#REF!,SPED!#REF!,SPED!#REF!,SPED!#REF!,SPED!#REF!,SPED!#REF!,SPED!#REF!,SPED!#REF!,SPED!#REF!,SPED!#REF!,SPED!#REF!,SPED!#REF!,SPED!#REF!,SPED!#REF!,SPED!#REF!</definedName>
    <definedName name="QB_FORMULA_58" localSheetId="15" hidden="1">SPED!#REF!,SPED!#REF!,SPED!#REF!,SPED!#REF!,SPED!#REF!,SPED!#REF!,SPED!#REF!,SPED!#REF!,SPED!#REF!,SPED!#REF!,SPED!#REF!,SPED!#REF!,SPED!#REF!,SPED!#REF!,SPED!#REF!,SPED!#REF!</definedName>
    <definedName name="QB_FORMULA_59" localSheetId="15" hidden="1">SPED!#REF!,SPED!#REF!,SPED!#REF!,SPED!#REF!,SPED!#REF!,SPED!#REF!,SPED!#REF!,SPED!$I$25,SPED!#REF!,SPED!#REF!,SPED!#REF!,SPED!#REF!,SPED!#REF!,SPED!#REF!,SPED!#REF!,SPED!#REF!</definedName>
    <definedName name="QB_FORMULA_6" localSheetId="15" hidden="1">SPED!#REF!,SPED!#REF!,SPED!#REF!,SPED!#REF!,SPED!#REF!,SPED!#REF!,SPED!#REF!,SPED!#REF!,SPED!#REF!,SPED!#REF!,SPED!#REF!,SPED!#REF!,SPED!#REF!,SPED!#REF!,SPED!#REF!,SPED!#REF!</definedName>
    <definedName name="QB_FORMULA_60" localSheetId="15" hidden="1">SPED!#REF!,SPED!#REF!,SPED!#REF!,SPED!#REF!,SPED!#REF!,SPED!#REF!,SPED!#REF!,SPED!#REF!,SPED!#REF!,SPED!#REF!,SPED!#REF!,SPED!#REF!,SPED!#REF!,SPED!#REF!,SPED!#REF!,SPED!#REF!</definedName>
    <definedName name="QB_FORMULA_61" localSheetId="15" hidden="1">SPED!#REF!,SPED!#REF!,SPED!#REF!,SPED!#REF!,SPED!#REF!,SPED!#REF!,SPED!#REF!,SPED!#REF!,SPED!#REF!,SPED!#REF!,SPED!#REF!,SPED!#REF!,SPED!#REF!,SPED!#REF!,SPED!#REF!,SPED!#REF!</definedName>
    <definedName name="QB_FORMULA_62" localSheetId="15" hidden="1">SPED!#REF!,SPED!#REF!,SPED!#REF!,SPED!#REF!,SPED!#REF!,SPED!#REF!,SPED!#REF!,SPED!#REF!,SPED!#REF!,SPED!#REF!,SPED!#REF!,SPED!#REF!,SPED!#REF!,SPED!#REF!,SPED!#REF!,SPED!#REF!</definedName>
    <definedName name="QB_FORMULA_63" localSheetId="15" hidden="1">SPED!#REF!,SPED!#REF!,SPED!#REF!,SPED!#REF!,SPED!#REF!,SPED!$I$26,SPED!#REF!,SPED!#REF!,SPED!#REF!,SPED!#REF!,SPED!#REF!,SPED!#REF!,SPED!#REF!,SPED!#REF!,SPED!#REF!,SPED!#REF!</definedName>
    <definedName name="QB_FORMULA_64" localSheetId="15" hidden="1">SPED!#REF!,SPED!#REF!,SPED!#REF!,SPED!#REF!,SPED!#REF!,SPED!#REF!,SPED!#REF!,SPED!#REF!,SPED!#REF!,SPED!#REF!,SPED!#REF!,SPED!#REF!,SPED!#REF!,SPED!#REF!,SPED!#REF!,SPED!#REF!</definedName>
    <definedName name="QB_FORMULA_65" localSheetId="15" hidden="1">SPED!#REF!,SPED!#REF!,SPED!#REF!,SPED!#REF!,SPED!#REF!,SPED!#REF!,SPED!#REF!,SPED!#REF!,SPED!#REF!,SPED!#REF!,SPED!#REF!,SPED!#REF!,SPED!#REF!,SPED!#REF!,SPED!#REF!,SPED!#REF!</definedName>
    <definedName name="QB_FORMULA_66" localSheetId="15" hidden="1">SPED!#REF!,SPED!#REF!,SPED!#REF!,SPED!#REF!,SPED!#REF!,SPED!#REF!,SPED!#REF!,SPED!#REF!,SPED!#REF!,SPED!#REF!,SPED!#REF!,SPED!#REF!,SPED!#REF!,SPED!#REF!,SPED!#REF!,SPED!#REF!</definedName>
    <definedName name="QB_FORMULA_67" localSheetId="15" hidden="1">SPED!#REF!,SPED!#REF!,SPED!#REF!,SPED!$I$28,SPED!#REF!,SPED!#REF!,SPED!#REF!,SPED!#REF!,SPED!#REF!,SPED!#REF!,SPED!#REF!,SPED!#REF!,SPED!#REF!,SPED!#REF!,SPED!#REF!,SPED!#REF!</definedName>
    <definedName name="QB_FORMULA_68" localSheetId="15" hidden="1">SPED!#REF!,SPED!#REF!,SPED!#REF!,SPED!#REF!,SPED!#REF!,SPED!#REF!,SPED!#REF!,SPED!#REF!,SPED!#REF!,SPED!#REF!,SPED!#REF!,SPED!#REF!,SPED!#REF!,SPED!#REF!,SPED!#REF!,SPED!#REF!</definedName>
    <definedName name="QB_FORMULA_69" localSheetId="15" hidden="1">SPED!#REF!,SPED!#REF!,SPED!#REF!,SPED!#REF!,SPED!#REF!,SPED!#REF!,SPED!#REF!,SPED!#REF!,SPED!#REF!,SPED!#REF!,SPED!#REF!,SPED!#REF!,SPED!#REF!,SPED!#REF!,SPED!#REF!,SPED!#REF!</definedName>
    <definedName name="QB_FORMULA_7" localSheetId="15" hidden="1">SPED!#REF!,SPED!#REF!,SPED!#REF!,SPED!#REF!,SPED!#REF!,SPED!#REF!,SPED!#REF!,SPED!#REF!,SPED!#REF!,SPED!#REF!,SPED!#REF!,SPED!#REF!,SPED!#REF!,SPED!#REF!,SPED!#REF!,SPED!#REF!</definedName>
    <definedName name="QB_FORMULA_70" localSheetId="15" hidden="1">SPED!#REF!,SPED!#REF!,SPED!#REF!,SPED!#REF!,SPED!#REF!,SPED!#REF!,SPED!#REF!,SPED!#REF!,SPED!#REF!,SPED!#REF!,SPED!#REF!,SPED!#REF!,SPED!#REF!,SPED!#REF!,SPED!#REF!,SPED!#REF!</definedName>
    <definedName name="QB_FORMULA_71" localSheetId="15" hidden="1">SPED!#REF!,SPED!$I$29,SPED!#REF!,SPED!#REF!,SPED!#REF!,SPED!#REF!,SPED!#REF!,SPED!#REF!,SPED!#REF!,SPED!#REF!,SPED!#REF!,SPED!#REF!,SPED!#REF!,SPED!#REF!,SPED!#REF!,SPED!#REF!</definedName>
    <definedName name="QB_FORMULA_72" localSheetId="15" hidden="1">SPED!#REF!,SPED!#REF!,SPED!#REF!,SPED!#REF!,SPED!#REF!,SPED!#REF!,SPED!#REF!,SPED!#REF!,SPED!#REF!,SPED!#REF!,SPED!#REF!,SPED!#REF!,SPED!#REF!,SPED!#REF!,SPED!#REF!,SPED!#REF!</definedName>
    <definedName name="QB_FORMULA_73" localSheetId="15" hidden="1">SPED!#REF!,SPED!#REF!,SPED!#REF!,SPED!#REF!,SPED!#REF!,SPED!#REF!,SPED!#REF!,SPED!#REF!,SPED!#REF!,SPED!#REF!,SPED!#REF!,SPED!#REF!,SPED!#REF!,SPED!#REF!,SPED!#REF!,SPED!#REF!</definedName>
    <definedName name="QB_FORMULA_74" localSheetId="15" hidden="1">SPED!#REF!,SPED!#REF!,SPED!#REF!,SPED!#REF!,SPED!#REF!,SPED!#REF!,SPED!#REF!,SPED!#REF!,SPED!#REF!,SPED!#REF!,SPED!#REF!,SPED!#REF!,SPED!#REF!,SPED!#REF!,SPED!#REF!,SPED!$I$30</definedName>
    <definedName name="QB_FORMULA_75" localSheetId="15" hidden="1">SPED!#REF!,SPED!#REF!,SPED!#REF!,SPED!#REF!,SPED!#REF!,SPED!#REF!,SPED!#REF!,SPED!#REF!,SPED!#REF!,SPED!#REF!,SPED!#REF!,SPED!#REF!,SPED!#REF!,SPED!#REF!,SPED!#REF!,SPED!#REF!</definedName>
    <definedName name="QB_FORMULA_76" localSheetId="15" hidden="1">SPED!#REF!,SPED!#REF!,SPED!#REF!,SPED!#REF!,SPED!#REF!,SPED!#REF!,SPED!#REF!,SPED!#REF!,SPED!#REF!,SPED!#REF!,SPED!#REF!,SPED!#REF!,SPED!#REF!,SPED!#REF!,SPED!#REF!,SPED!#REF!</definedName>
    <definedName name="QB_FORMULA_77" localSheetId="15" hidden="1">SPED!#REF!,SPED!#REF!,SPED!#REF!,SPED!#REF!,SPED!#REF!,SPED!#REF!,SPED!#REF!,SPED!#REF!,SPED!#REF!,SPED!#REF!,SPED!#REF!,SPED!#REF!,SPED!#REF!,SPED!#REF!,SPED!#REF!,SPED!#REF!</definedName>
    <definedName name="QB_FORMULA_78" localSheetId="15" hidden="1">SPED!#REF!,SPED!#REF!,SPED!#REF!,SPED!#REF!,SPED!#REF!,SPED!#REF!,SPED!#REF!,SPED!#REF!,SPED!#REF!,SPED!#REF!,SPED!#REF!,SPED!#REF!,SPED!#REF!,SPED!$I$31,SPED!#REF!,SPED!#REF!</definedName>
    <definedName name="QB_FORMULA_79" localSheetId="15" hidden="1">SPED!#REF!,SPED!#REF!,SPED!#REF!,SPED!#REF!,SPED!#REF!,SPED!#REF!,SPED!#REF!,SPED!#REF!,SPED!#REF!,SPED!#REF!,SPED!#REF!,SPED!#REF!,SPED!#REF!,SPED!#REF!,SPED!#REF!,SPED!#REF!</definedName>
    <definedName name="QB_FORMULA_8" localSheetId="15" hidden="1">SPED!#REF!,SPED!#REF!,SPED!#REF!,SPED!#REF!,SPED!#REF!,SPED!#REF!,SPED!#REF!,SPED!#REF!,SPED!#REF!,SPED!#REF!,SPED!#REF!,SPED!#REF!,SPED!#REF!,SPED!#REF!,SPED!#REF!,SPED!#REF!</definedName>
    <definedName name="QB_FORMULA_80" localSheetId="15" hidden="1">SPED!#REF!,SPED!#REF!,SPED!#REF!,SPED!#REF!,SPED!#REF!,SPED!#REF!,SPED!#REF!,SPED!#REF!,SPED!#REF!,SPED!#REF!,SPED!#REF!,SPED!#REF!,SPED!#REF!,SPED!#REF!,SPED!#REF!,SPED!#REF!</definedName>
    <definedName name="QB_FORMULA_81" localSheetId="15" hidden="1">SPED!#REF!,SPED!#REF!,SPED!#REF!,SPED!#REF!,SPED!#REF!,SPED!#REF!,SPED!#REF!,SPED!#REF!,SPED!#REF!,SPED!#REF!,SPED!#REF!,SPED!#REF!,SPED!#REF!,SPED!#REF!,SPED!#REF!,SPED!#REF!</definedName>
    <definedName name="QB_FORMULA_82" localSheetId="15" hidden="1">SPED!#REF!,SPED!#REF!,SPED!#REF!,SPED!#REF!,SPED!#REF!,SPED!#REF!,SPED!#REF!,SPED!#REF!,SPED!#REF!,SPED!#REF!,SPED!#REF!,SPED!$I$32,SPED!#REF!,SPED!#REF!,SPED!#REF!,SPED!#REF!</definedName>
    <definedName name="QB_FORMULA_83" localSheetId="15" hidden="1">SPED!#REF!,SPED!#REF!,SPED!#REF!,SPED!#REF!,SPED!#REF!,SPED!#REF!,SPED!#REF!,SPED!#REF!,SPED!#REF!,SPED!#REF!,SPED!#REF!,SPED!#REF!,SPED!#REF!,SPED!#REF!,SPED!#REF!,SPED!#REF!</definedName>
    <definedName name="QB_FORMULA_84" localSheetId="15" hidden="1">SPED!#REF!,SPED!#REF!,SPED!#REF!,SPED!#REF!,SPED!#REF!,SPED!#REF!,SPED!#REF!,SPED!#REF!,SPED!#REF!,SPED!#REF!,SPED!#REF!,SPED!#REF!,SPED!#REF!,SPED!#REF!,SPED!#REF!,SPED!#REF!</definedName>
    <definedName name="QB_FORMULA_85" localSheetId="15" hidden="1">SPED!#REF!,SPED!#REF!,SPED!#REF!,SPED!#REF!,SPED!#REF!,SPED!#REF!,SPED!#REF!,SPED!#REF!,SPED!#REF!,SPED!#REF!,SPED!#REF!,SPED!#REF!,SPED!#REF!,SPED!#REF!,SPED!#REF!,SPED!#REF!</definedName>
    <definedName name="QB_FORMULA_86" localSheetId="15" hidden="1">SPED!#REF!,SPED!#REF!,SPED!#REF!,SPED!#REF!,SPED!#REF!,SPED!#REF!,SPED!#REF!,SPED!#REF!,SPED!#REF!,SPED!$I$33,SPED!#REF!,SPED!#REF!,SPED!#REF!,SPED!#REF!,SPED!#REF!,SPED!#REF!</definedName>
    <definedName name="QB_FORMULA_87" localSheetId="15" hidden="1">SPED!#REF!,SPED!#REF!,SPED!#REF!,SPED!#REF!,SPED!#REF!,SPED!#REF!,SPED!#REF!,SPED!#REF!,SPED!#REF!,SPED!#REF!,SPED!#REF!,SPED!#REF!,SPED!#REF!,SPED!#REF!,SPED!#REF!,SPED!#REF!</definedName>
    <definedName name="QB_FORMULA_88" localSheetId="15" hidden="1">SPED!#REF!,SPED!#REF!,SPED!#REF!,SPED!#REF!,SPED!#REF!,SPED!#REF!,SPED!#REF!,SPED!#REF!,SPED!#REF!,SPED!#REF!,SPED!#REF!,SPED!#REF!,SPED!#REF!,SPED!#REF!,SPED!#REF!,SPED!#REF!</definedName>
    <definedName name="QB_FORMULA_89" localSheetId="15" hidden="1">SPED!#REF!,SPED!#REF!,SPED!#REF!,SPED!#REF!,SPED!#REF!,SPED!#REF!,SPED!#REF!,SPED!#REF!,SPED!#REF!,SPED!#REF!,SPED!#REF!,SPED!#REF!,SPED!#REF!,SPED!#REF!,SPED!#REF!,SPED!#REF!</definedName>
    <definedName name="QB_FORMULA_9" localSheetId="15" hidden="1">SPED!#REF!,SPED!#REF!,SPED!#REF!,SPED!#REF!,SPED!#REF!,SPED!#REF!,SPED!#REF!,SPED!#REF!,SPED!#REF!,SPED!#REF!,SPED!#REF!,SPED!#REF!,SPED!#REF!,SPED!#REF!,SPED!#REF!,SPED!#REF!</definedName>
    <definedName name="QB_FORMULA_90" localSheetId="15" hidden="1">SPED!#REF!,SPED!#REF!,SPED!#REF!,SPED!#REF!,SPED!#REF!,SPED!#REF!,SPED!#REF!,SPED!$I$34,SPED!#REF!,SPED!#REF!,SPED!#REF!,SPED!#REF!,SPED!#REF!,SPED!#REF!,SPED!#REF!,SPED!#REF!</definedName>
    <definedName name="QB_FORMULA_91" localSheetId="15" hidden="1">SPED!#REF!,SPED!#REF!,SPED!#REF!,SPED!#REF!,SPED!#REF!,SPED!#REF!,SPED!#REF!,SPED!#REF!,SPED!#REF!,SPED!#REF!,SPED!#REF!,SPED!#REF!,SPED!#REF!,SPED!#REF!,SPED!#REF!,SPED!#REF!</definedName>
    <definedName name="QB_FORMULA_92" localSheetId="15" hidden="1">SPED!#REF!,SPED!#REF!,SPED!#REF!,SPED!#REF!,SPED!#REF!,SPED!#REF!,SPED!#REF!,SPED!#REF!,SPED!#REF!,SPED!#REF!,SPED!#REF!,SPED!#REF!,SPED!#REF!,SPED!#REF!,SPED!#REF!,SPED!#REF!</definedName>
    <definedName name="QB_FORMULA_93" localSheetId="15" hidden="1">SPED!#REF!,SPED!#REF!,SPED!#REF!,SPED!#REF!,SPED!#REF!,SPED!#REF!,SPED!#REF!,SPED!#REF!,SPED!#REF!,SPED!#REF!,SPED!#REF!,SPED!#REF!,SPED!#REF!,SPED!#REF!,SPED!#REF!,SPED!#REF!</definedName>
    <definedName name="QB_FORMULA_94" localSheetId="15" hidden="1">SPED!#REF!,SPED!#REF!,SPED!#REF!,SPED!#REF!,SPED!#REF!,SPED!$I$35,SPED!#REF!,SPED!#REF!,SPED!#REF!,SPED!#REF!,SPED!#REF!,SPED!#REF!,SPED!#REF!,SPED!#REF!,SPED!#REF!,SPED!#REF!</definedName>
    <definedName name="QB_FORMULA_95" localSheetId="15" hidden="1">SPED!#REF!,SPED!#REF!,SPED!#REF!,SPED!#REF!,SPED!#REF!,SPED!#REF!,SPED!#REF!,SPED!#REF!,SPED!#REF!,SPED!#REF!,SPED!#REF!,SPED!#REF!,SPED!#REF!,SPED!#REF!,SPED!#REF!,SPED!#REF!</definedName>
    <definedName name="QB_FORMULA_96" localSheetId="15" hidden="1">SPED!#REF!,SPED!#REF!,SPED!#REF!,SPED!#REF!,SPED!#REF!,SPED!#REF!,SPED!#REF!,SPED!#REF!,SPED!#REF!,SPED!#REF!,SPED!#REF!,SPED!#REF!,SPED!#REF!,SPED!#REF!,SPED!#REF!,SPED!#REF!</definedName>
    <definedName name="QB_FORMULA_97" localSheetId="15" hidden="1">SPED!#REF!,SPED!#REF!,SPED!#REF!,SPED!#REF!,SPED!#REF!,SPED!#REF!,SPED!#REF!,SPED!#REF!,SPED!#REF!,SPED!#REF!,SPED!#REF!,SPED!#REF!,SPED!#REF!,SPED!#REF!,SPED!#REF!,SPED!#REF!</definedName>
    <definedName name="QB_FORMULA_98" localSheetId="15" hidden="1">SPED!#REF!,SPED!#REF!,SPED!#REF!,SPED!$I$36,SPED!#REF!,SPED!#REF!,SPED!#REF!,SPED!#REF!,SPED!#REF!,SPED!#REF!,SPED!#REF!,SPED!#REF!,SPED!#REF!,SPED!#REF!,SPED!#REF!,SPED!#REF!</definedName>
    <definedName name="QB_FORMULA_99" localSheetId="15" hidden="1">SPED!#REF!,SPED!#REF!,SPED!#REF!,SPED!#REF!,SPED!#REF!,SPED!#REF!,SPED!#REF!,SPED!#REF!,SPED!#REF!,SPED!#REF!,SPED!#REF!,SPED!#REF!,SPED!#REF!,SPED!#REF!,SPED!#REF!,SPED!#REF!</definedName>
    <definedName name="QB_ROW_1010" localSheetId="15" hidden="1">SPED!$B$7</definedName>
    <definedName name="QB_ROW_104350" localSheetId="15" hidden="1">SPED!$F$28</definedName>
    <definedName name="QB_ROW_10867230" localSheetId="15" hidden="1">SPED!$D$44</definedName>
    <definedName name="QB_ROW_10985250" localSheetId="15" hidden="1">SPED!$F$30</definedName>
    <definedName name="QB_ROW_1310" localSheetId="15" hidden="1">SPED!$B$55</definedName>
    <definedName name="QB_ROW_1537250" localSheetId="15" hidden="1">SPED!$F$31</definedName>
    <definedName name="QB_ROW_1901340" localSheetId="15" hidden="1">SPED!$E$19</definedName>
    <definedName name="QB_ROW_1967330" localSheetId="15" hidden="1">SPED!$D$47</definedName>
    <definedName name="QB_ROW_1980040" localSheetId="15" hidden="1">SPED!$E$27</definedName>
    <definedName name="QB_ROW_1980340" localSheetId="15" hidden="1">SPED!$E$40</definedName>
    <definedName name="QB_ROW_2701340" localSheetId="15" hidden="1">SPED!$E$13</definedName>
    <definedName name="QB_ROW_2734340" localSheetId="15" hidden="1">SPED!$E$23</definedName>
    <definedName name="QB_ROW_2814250" localSheetId="15" hidden="1">SPED!$F$38</definedName>
    <definedName name="QB_ROW_34030" localSheetId="15" hidden="1">SPED!$D$12</definedName>
    <definedName name="QB_ROW_34330" localSheetId="15" hidden="1">SPED!$D$43</definedName>
    <definedName name="QB_ROW_36340" localSheetId="15" hidden="1">SPED!$E$26</definedName>
    <definedName name="QB_ROW_37340" localSheetId="15" hidden="1">SPED!$E$41</definedName>
    <definedName name="QB_ROW_39340" localSheetId="15" hidden="1">SPED!$E$21</definedName>
    <definedName name="QB_ROW_4130250" localSheetId="15" hidden="1">SPED!$F$37</definedName>
    <definedName name="QB_ROW_49021" localSheetId="15" hidden="1">SPED!$C$8</definedName>
    <definedName name="QB_ROW_49321" localSheetId="15" hidden="1">SPED!$C$51</definedName>
    <definedName name="QB_ROW_50021" localSheetId="15" hidden="1">SPED!$C$52</definedName>
    <definedName name="QB_ROW_50321" localSheetId="15" hidden="1">SPED!$C$54</definedName>
    <definedName name="QB_ROW_5114230" localSheetId="15" hidden="1">SPED!$D$48</definedName>
    <definedName name="QB_ROW_5132230" localSheetId="15" hidden="1">SPED!$D$50</definedName>
    <definedName name="QB_ROW_5161340" localSheetId="15" hidden="1">SPED!$E$17</definedName>
    <definedName name="QB_ROW_5405250" localSheetId="15" hidden="1">SPED!$F$32</definedName>
    <definedName name="QB_ROW_5696250" localSheetId="15" hidden="1">SPED!$F$34</definedName>
    <definedName name="QB_ROW_5716340" localSheetId="15" hidden="1">SPED!$E$22</definedName>
    <definedName name="QB_ROW_5718340" localSheetId="15" hidden="1">SPED!$E$42</definedName>
    <definedName name="QB_ROW_624301" localSheetId="15" hidden="1">SPED!$A$56</definedName>
    <definedName name="QB_ROW_6921250" localSheetId="15" hidden="1">SPED!$F$35</definedName>
    <definedName name="QB_ROW_728240" localSheetId="15" hidden="1">SPED!$E$10</definedName>
    <definedName name="QB_ROW_737250" localSheetId="15" hidden="1">SPED!$F$36</definedName>
    <definedName name="QB_ROW_7493250" localSheetId="15" hidden="1">SPED!$F$29</definedName>
    <definedName name="QB_ROW_7805340" localSheetId="15" hidden="1">SPED!$E$20</definedName>
    <definedName name="QB_ROW_8192230" localSheetId="15" hidden="1">SPED!$D$53</definedName>
    <definedName name="QB_ROW_821340" localSheetId="15" hidden="1">SPED!$E$25</definedName>
    <definedName name="QB_ROW_8240330" localSheetId="15" hidden="1">SPED!$D$45</definedName>
    <definedName name="QB_ROW_8318250" localSheetId="15" hidden="1">SPED!$F$39</definedName>
    <definedName name="QB_ROW_8532240" localSheetId="15" hidden="1">SPED!$E$18</definedName>
    <definedName name="QB_ROW_8545340" localSheetId="15" hidden="1">SPED!$E$14</definedName>
    <definedName name="QB_ROW_860340" localSheetId="15" hidden="1">SPED!$E$16</definedName>
    <definedName name="QB_ROW_9422340" localSheetId="15" hidden="1">SPED!$E$24</definedName>
    <definedName name="QB_ROW_944330" localSheetId="15" hidden="1">SPED!$D$49</definedName>
    <definedName name="QB_ROW_9727250" localSheetId="15" hidden="1">SPED!$F$33</definedName>
    <definedName name="QB_ROW_9825240" localSheetId="15" hidden="1">SPED!$E$15</definedName>
    <definedName name="QB_ROW_9842230" localSheetId="15" hidden="1">SPED!$D$46</definedName>
    <definedName name="QB_ROW_99030" localSheetId="15" hidden="1">SPED!$D$9</definedName>
    <definedName name="QB_ROW_99330" localSheetId="15" hidden="1">SPED!$D$11</definedName>
    <definedName name="QB_SUBTITLE_3" localSheetId="15" hidden="1">SPED!$A$3</definedName>
    <definedName name="QB_TIME_5" localSheetId="15" hidden="1">SPED!#REF!</definedName>
    <definedName name="QB_TITLE_2" localSheetId="15" hidden="1">SPED!$A$2</definedName>
    <definedName name="QBCANSUPPORTUPDATE" localSheetId="15">TRUE</definedName>
    <definedName name="QBCOMPANYFILENAME" localSheetId="15">"Q:\LLC\QB.SESS\SESS_V23.qbw"</definedName>
    <definedName name="QBENDDATE" localSheetId="15">20240130</definedName>
    <definedName name="QBHEADERSONSCREEN" localSheetId="15">TRUE</definedName>
    <definedName name="QBMETADATASIZE" localSheetId="15">6137</definedName>
    <definedName name="QBPRESERVECOLOR" localSheetId="15">TRUE</definedName>
    <definedName name="QBPRESERVEFONT" localSheetId="15">TRUE</definedName>
    <definedName name="QBPRESERVEROWHEIGHT" localSheetId="15">TRUE</definedName>
    <definedName name="QBPRESERVESPACE" localSheetId="15">FALSE</definedName>
    <definedName name="QBREPORTCOLAXIS" localSheetId="15">13</definedName>
    <definedName name="QBREPORTCOMPANYID" localSheetId="15">"ec21f827c6eb41eaa4b245ccab489f9c"</definedName>
    <definedName name="QBREPORTCOMPARECOL_ANNUALBUDGET" localSheetId="15">FALSE</definedName>
    <definedName name="QBREPORTCOMPARECOL_AVGCOGS" localSheetId="15">FALSE</definedName>
    <definedName name="QBREPORTCOMPARECOL_AVGPRICE" localSheetId="15">TRUE</definedName>
    <definedName name="QBREPORTCOMPARECOL_BUDDIFF" localSheetId="15">FALSE</definedName>
    <definedName name="QBREPORTCOMPARECOL_BUDGET" localSheetId="15">FALSE</definedName>
    <definedName name="QBREPORTCOMPARECOL_BUDPCT" localSheetId="15">FALSE</definedName>
    <definedName name="QBREPORTCOMPARECOL_COGS" localSheetId="15">FALSE</definedName>
    <definedName name="QBREPORTCOMPARECOL_EXCLUDEAMOUNT" localSheetId="15">FALSE</definedName>
    <definedName name="QBREPORTCOMPARECOL_EXCLUDECURPERIOD" localSheetId="15">FALSE</definedName>
    <definedName name="QBREPORTCOMPARECOL_FORECAST" localSheetId="15">FALSE</definedName>
    <definedName name="QBREPORTCOMPARECOL_GROSSMARGIN" localSheetId="15">FALSE</definedName>
    <definedName name="QBREPORTCOMPARECOL_GROSSMARGINPCT" localSheetId="15">FALSE</definedName>
    <definedName name="QBREPORTCOMPARECOL_HOURS" localSheetId="15">FALSE</definedName>
    <definedName name="QBREPORTCOMPARECOL_PCTCOL" localSheetId="15">FALSE</definedName>
    <definedName name="QBREPORTCOMPARECOL_PCTEXPENSE" localSheetId="15">FALSE</definedName>
    <definedName name="QBREPORTCOMPARECOL_PCTINCOME" localSheetId="15">FALSE</definedName>
    <definedName name="QBREPORTCOMPARECOL_PCTOFSALES" localSheetId="15">TRUE</definedName>
    <definedName name="QBREPORTCOMPARECOL_PCTROW" localSheetId="15">FALSE</definedName>
    <definedName name="QBREPORTCOMPARECOL_PPDIFF" localSheetId="15">FALSE</definedName>
    <definedName name="QBREPORTCOMPARECOL_PPPCT" localSheetId="15">FALSE</definedName>
    <definedName name="QBREPORTCOMPARECOL_PREVPERIOD" localSheetId="15">FALSE</definedName>
    <definedName name="QBREPORTCOMPARECOL_PREVYEAR" localSheetId="15">FALSE</definedName>
    <definedName name="QBREPORTCOMPARECOL_PYDIFF" localSheetId="15">FALSE</definedName>
    <definedName name="QBREPORTCOMPARECOL_PYPCT" localSheetId="15">FALSE</definedName>
    <definedName name="QBREPORTCOMPARECOL_QTY" localSheetId="15">TRUE</definedName>
    <definedName name="QBREPORTCOMPARECOL_RATE" localSheetId="15">FALSE</definedName>
    <definedName name="QBREPORTCOMPARECOL_TRIPBILLEDMILES" localSheetId="15">FALSE</definedName>
    <definedName name="QBREPORTCOMPARECOL_TRIPBILLINGAMOUNT" localSheetId="15">FALSE</definedName>
    <definedName name="QBREPORTCOMPARECOL_TRIPMILES" localSheetId="15">FALSE</definedName>
    <definedName name="QBREPORTCOMPARECOL_TRIPNOTBILLABLEMILES" localSheetId="15">FALSE</definedName>
    <definedName name="QBREPORTCOMPARECOL_TRIPTAXDEDUCTIBLEAMOUNT" localSheetId="15">FALSE</definedName>
    <definedName name="QBREPORTCOMPARECOL_TRIPUNBILLEDMILES" localSheetId="15">FALSE</definedName>
    <definedName name="QBREPORTCOMPARECOL_YTD" localSheetId="15">FALSE</definedName>
    <definedName name="QBREPORTCOMPARECOL_YTDBUDGET" localSheetId="15">FALSE</definedName>
    <definedName name="QBREPORTCOMPARECOL_YTDPCT" localSheetId="15">FALSE</definedName>
    <definedName name="QBREPORTROWAXIS" localSheetId="15">119</definedName>
    <definedName name="QBREPORTSUBCOLAXIS" localSheetId="15">24</definedName>
    <definedName name="QBREPORTTYPE" localSheetId="15">10</definedName>
    <definedName name="QBROWHEADERS" localSheetId="15">6</definedName>
    <definedName name="QBSTARTDATE" localSheetId="15">20230701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32" l="1"/>
  <c r="I134" i="32"/>
  <c r="H133" i="32"/>
  <c r="H134" i="32"/>
  <c r="C255" i="32"/>
  <c r="B255" i="32"/>
  <c r="C250" i="32"/>
  <c r="B250" i="32"/>
  <c r="C225" i="32"/>
  <c r="B225" i="32"/>
  <c r="B232" i="32" s="1"/>
  <c r="B227" i="32"/>
  <c r="C254" i="32"/>
  <c r="B254" i="32"/>
  <c r="C253" i="32"/>
  <c r="B253" i="32"/>
  <c r="C252" i="32"/>
  <c r="B252" i="32"/>
  <c r="C251" i="32"/>
  <c r="B251" i="32"/>
  <c r="C249" i="32"/>
  <c r="B249" i="32"/>
  <c r="C248" i="32"/>
  <c r="B248" i="32"/>
  <c r="C247" i="32"/>
  <c r="B247" i="32"/>
  <c r="C246" i="32"/>
  <c r="B246" i="32"/>
  <c r="C245" i="32"/>
  <c r="B245" i="32"/>
  <c r="C244" i="32"/>
  <c r="B244" i="32"/>
  <c r="C243" i="32"/>
  <c r="B243" i="32"/>
  <c r="C242" i="32"/>
  <c r="B242" i="32"/>
  <c r="C237" i="32"/>
  <c r="B237" i="32"/>
  <c r="B238" i="32" s="1"/>
  <c r="E231" i="32"/>
  <c r="D231" i="32"/>
  <c r="C231" i="32"/>
  <c r="B231" i="32"/>
  <c r="F229" i="32"/>
  <c r="E229" i="32"/>
  <c r="D229" i="32"/>
  <c r="C229" i="32"/>
  <c r="B229" i="32"/>
  <c r="A229" i="32"/>
  <c r="F228" i="32"/>
  <c r="E228" i="32"/>
  <c r="D228" i="32"/>
  <c r="C228" i="32"/>
  <c r="B228" i="32"/>
  <c r="A228" i="32"/>
  <c r="F227" i="32"/>
  <c r="F231" i="32" s="1"/>
  <c r="E227" i="32"/>
  <c r="D227" i="32"/>
  <c r="C227" i="32"/>
  <c r="A227" i="32"/>
  <c r="C232" i="32"/>
  <c r="B160" i="31"/>
  <c r="B160" i="30"/>
  <c r="B160" i="29"/>
  <c r="B160" i="27"/>
  <c r="B15" i="31"/>
  <c r="I13" i="31"/>
  <c r="B13" i="31"/>
  <c r="B14" i="30"/>
  <c r="I12" i="30"/>
  <c r="B12" i="30"/>
  <c r="B13" i="29"/>
  <c r="B15" i="29"/>
  <c r="I11" i="29"/>
  <c r="B11" i="29"/>
  <c r="B117" i="31"/>
  <c r="B117" i="30"/>
  <c r="B117" i="29"/>
  <c r="B117" i="27"/>
  <c r="B119" i="31"/>
  <c r="B119" i="30"/>
  <c r="B119" i="29"/>
  <c r="B119" i="27"/>
  <c r="B111" i="27"/>
  <c r="C257" i="32" l="1"/>
  <c r="C235" i="32"/>
  <c r="C238" i="32" s="1"/>
  <c r="B239" i="32"/>
  <c r="B257" i="32"/>
  <c r="C115" i="30"/>
  <c r="B196" i="27"/>
  <c r="B130" i="31"/>
  <c r="D129" i="31"/>
  <c r="G118" i="31"/>
  <c r="F118" i="31"/>
  <c r="C118" i="31"/>
  <c r="B118" i="31"/>
  <c r="D118" i="31"/>
  <c r="B130" i="30"/>
  <c r="D129" i="30"/>
  <c r="G118" i="30"/>
  <c r="F118" i="30"/>
  <c r="C118" i="30"/>
  <c r="B118" i="30"/>
  <c r="D118" i="30"/>
  <c r="B130" i="29"/>
  <c r="D129" i="29"/>
  <c r="G118" i="29"/>
  <c r="F118" i="29"/>
  <c r="C118" i="29"/>
  <c r="B118" i="29"/>
  <c r="D118" i="29"/>
  <c r="I14" i="31"/>
  <c r="I16" i="31"/>
  <c r="I11" i="31"/>
  <c r="I12" i="31"/>
  <c r="I10" i="31"/>
  <c r="I5" i="31"/>
  <c r="I6" i="31"/>
  <c r="I7" i="31"/>
  <c r="I8" i="31"/>
  <c r="I9" i="31"/>
  <c r="I4" i="31"/>
  <c r="I16" i="30"/>
  <c r="I15" i="30"/>
  <c r="I13" i="30"/>
  <c r="I11" i="30"/>
  <c r="I10" i="30"/>
  <c r="I5" i="30"/>
  <c r="I6" i="30"/>
  <c r="I7" i="30"/>
  <c r="I8" i="30"/>
  <c r="I9" i="30"/>
  <c r="I4" i="30"/>
  <c r="I2" i="32"/>
  <c r="J2" i="32"/>
  <c r="K2" i="32"/>
  <c r="H2" i="32"/>
  <c r="B2" i="31"/>
  <c r="B2" i="30"/>
  <c r="B2" i="29"/>
  <c r="I15" i="29"/>
  <c r="I14" i="29"/>
  <c r="I12" i="29"/>
  <c r="I5" i="29"/>
  <c r="I6" i="29"/>
  <c r="I7" i="29"/>
  <c r="I8" i="29"/>
  <c r="I9" i="29"/>
  <c r="I4" i="29"/>
  <c r="B16" i="31"/>
  <c r="B12" i="31"/>
  <c r="B14" i="31"/>
  <c r="B11" i="31"/>
  <c r="B10" i="31"/>
  <c r="B9" i="31"/>
  <c r="B8" i="31"/>
  <c r="B7" i="31"/>
  <c r="B6" i="31"/>
  <c r="B5" i="31"/>
  <c r="B4" i="31"/>
  <c r="B16" i="30"/>
  <c r="B15" i="30"/>
  <c r="B11" i="30"/>
  <c r="B13" i="30"/>
  <c r="B10" i="30"/>
  <c r="B10" i="29"/>
  <c r="B9" i="30"/>
  <c r="B8" i="30"/>
  <c r="B7" i="30"/>
  <c r="B6" i="30"/>
  <c r="B5" i="30"/>
  <c r="B4" i="30"/>
  <c r="B14" i="29"/>
  <c r="B12" i="29"/>
  <c r="B9" i="29"/>
  <c r="B8" i="29"/>
  <c r="B7" i="29"/>
  <c r="B6" i="29"/>
  <c r="B5" i="29"/>
  <c r="B4" i="29"/>
  <c r="C82" i="27"/>
  <c r="B2" i="27"/>
  <c r="C115" i="27"/>
  <c r="F109" i="27"/>
  <c r="B109" i="27"/>
  <c r="B130" i="27"/>
  <c r="C123" i="27"/>
  <c r="F112" i="27"/>
  <c r="F110" i="27"/>
  <c r="B112" i="27"/>
  <c r="B110" i="27"/>
  <c r="C118" i="27"/>
  <c r="B118" i="27"/>
  <c r="B116" i="27"/>
  <c r="B108" i="27"/>
  <c r="I17" i="27"/>
  <c r="I12" i="27"/>
  <c r="I13" i="27"/>
  <c r="I14" i="27"/>
  <c r="B14" i="27"/>
  <c r="B13" i="27"/>
  <c r="B12" i="27"/>
  <c r="I11" i="27"/>
  <c r="I10" i="27"/>
  <c r="I9" i="27"/>
  <c r="I5" i="27"/>
  <c r="I6" i="27"/>
  <c r="I7" i="27"/>
  <c r="I8" i="27"/>
  <c r="I4" i="27"/>
  <c r="B11" i="27"/>
  <c r="B10" i="27"/>
  <c r="B9" i="27"/>
  <c r="B8" i="27"/>
  <c r="B7" i="27"/>
  <c r="B6" i="27"/>
  <c r="B5" i="27"/>
  <c r="B4" i="27"/>
  <c r="B216" i="27"/>
  <c r="C239" i="32" l="1"/>
  <c r="D235" i="32"/>
  <c r="H196" i="32"/>
  <c r="E133" i="27"/>
  <c r="H218" i="1" l="1"/>
  <c r="H217" i="1"/>
  <c r="B216" i="1"/>
  <c r="H216" i="1" s="1"/>
  <c r="H215" i="1"/>
  <c r="H214" i="1"/>
  <c r="H213" i="1"/>
  <c r="B213" i="1"/>
  <c r="G209" i="1"/>
  <c r="F209" i="1"/>
  <c r="E209" i="1"/>
  <c r="D209" i="1"/>
  <c r="C209" i="1"/>
  <c r="H208" i="1"/>
  <c r="B207" i="1"/>
  <c r="H207" i="1" s="1"/>
  <c r="H206" i="1"/>
  <c r="H205" i="1"/>
  <c r="B204" i="1"/>
  <c r="H204" i="1" s="1"/>
  <c r="H203" i="1"/>
  <c r="H202" i="1"/>
  <c r="H209" i="1" s="1"/>
  <c r="H201" i="1"/>
  <c r="H200" i="1"/>
  <c r="B200" i="1"/>
  <c r="B209" i="1" s="1"/>
  <c r="H199" i="1"/>
  <c r="H198" i="1"/>
  <c r="G198" i="1"/>
  <c r="F198" i="1"/>
  <c r="E198" i="1"/>
  <c r="D198" i="1"/>
  <c r="C198" i="1"/>
  <c r="B198" i="1"/>
  <c r="G197" i="1"/>
  <c r="F197" i="1"/>
  <c r="E197" i="1"/>
  <c r="C197" i="1"/>
  <c r="B196" i="1"/>
  <c r="H196" i="1" s="1"/>
  <c r="H195" i="1"/>
  <c r="H194" i="1"/>
  <c r="H193" i="1"/>
  <c r="H192" i="1"/>
  <c r="H191" i="1"/>
  <c r="H190" i="1"/>
  <c r="B190" i="1"/>
  <c r="H189" i="1"/>
  <c r="H188" i="1"/>
  <c r="B186" i="1"/>
  <c r="H186" i="1" s="1"/>
  <c r="H185" i="1"/>
  <c r="H184" i="1"/>
  <c r="H181" i="1"/>
  <c r="H180" i="1"/>
  <c r="H179" i="1"/>
  <c r="H177" i="1"/>
  <c r="H176" i="1"/>
  <c r="H175" i="1"/>
  <c r="H174" i="1"/>
  <c r="B173" i="1"/>
  <c r="H173" i="1" s="1"/>
  <c r="B172" i="1"/>
  <c r="H172" i="1" s="1"/>
  <c r="H171" i="1"/>
  <c r="G171" i="1"/>
  <c r="F171" i="1"/>
  <c r="E171" i="1"/>
  <c r="D171" i="1"/>
  <c r="C171" i="1"/>
  <c r="B171" i="1"/>
  <c r="F170" i="1"/>
  <c r="E170" i="1"/>
  <c r="D170" i="1"/>
  <c r="G169" i="1"/>
  <c r="G170" i="1" s="1"/>
  <c r="B168" i="1"/>
  <c r="H168" i="1" s="1"/>
  <c r="B167" i="1"/>
  <c r="H167" i="1" s="1"/>
  <c r="H165" i="1"/>
  <c r="B163" i="1"/>
  <c r="H163" i="1" s="1"/>
  <c r="B162" i="1"/>
  <c r="H162" i="1" s="1"/>
  <c r="B161" i="1"/>
  <c r="H161" i="1" s="1"/>
  <c r="H159" i="1"/>
  <c r="H158" i="1"/>
  <c r="H156" i="1"/>
  <c r="H155" i="1"/>
  <c r="G155" i="1"/>
  <c r="F155" i="1"/>
  <c r="E155" i="1"/>
  <c r="D155" i="1"/>
  <c r="C155" i="1"/>
  <c r="B155" i="1"/>
  <c r="G154" i="1"/>
  <c r="F154" i="1"/>
  <c r="E154" i="1"/>
  <c r="D154" i="1"/>
  <c r="C154" i="1"/>
  <c r="B153" i="1"/>
  <c r="H153" i="1" s="1"/>
  <c r="B152" i="1"/>
  <c r="H152" i="1" s="1"/>
  <c r="C151" i="1"/>
  <c r="H151" i="1" s="1"/>
  <c r="B147" i="1"/>
  <c r="H146" i="1"/>
  <c r="H145" i="1"/>
  <c r="H144" i="1"/>
  <c r="H143" i="1"/>
  <c r="G143" i="1"/>
  <c r="F143" i="1"/>
  <c r="E143" i="1"/>
  <c r="D143" i="1"/>
  <c r="C143" i="1"/>
  <c r="B143" i="1"/>
  <c r="G140" i="1"/>
  <c r="H139" i="1"/>
  <c r="H138" i="1"/>
  <c r="G137" i="1"/>
  <c r="H137" i="1" s="1"/>
  <c r="G135" i="1"/>
  <c r="F135" i="1"/>
  <c r="E135" i="1"/>
  <c r="D135" i="1"/>
  <c r="C135" i="1"/>
  <c r="B135" i="1"/>
  <c r="H135" i="1" s="1"/>
  <c r="D131" i="1"/>
  <c r="B130" i="1"/>
  <c r="H130" i="1" s="1"/>
  <c r="D129" i="1"/>
  <c r="C129" i="1"/>
  <c r="C131" i="1" s="1"/>
  <c r="B129" i="1"/>
  <c r="B131" i="1" s="1"/>
  <c r="H128" i="1"/>
  <c r="H127" i="1"/>
  <c r="H126" i="1"/>
  <c r="H125" i="1"/>
  <c r="H124" i="1"/>
  <c r="H123" i="1"/>
  <c r="C123" i="1"/>
  <c r="G121" i="1"/>
  <c r="G132" i="1" s="1"/>
  <c r="E121" i="1"/>
  <c r="E132" i="1" s="1"/>
  <c r="D121" i="1"/>
  <c r="D132" i="1" s="1"/>
  <c r="H120" i="1"/>
  <c r="H119" i="1"/>
  <c r="B119" i="1"/>
  <c r="G118" i="1"/>
  <c r="F118" i="1"/>
  <c r="D118" i="1"/>
  <c r="C118" i="1"/>
  <c r="B118" i="1"/>
  <c r="H118" i="1" s="1"/>
  <c r="B117" i="1"/>
  <c r="H117" i="1" s="1"/>
  <c r="B116" i="1"/>
  <c r="H116" i="1" s="1"/>
  <c r="H113" i="1"/>
  <c r="F112" i="1"/>
  <c r="F121" i="1" s="1"/>
  <c r="F132" i="1" s="1"/>
  <c r="B112" i="1"/>
  <c r="H112" i="1" s="1"/>
  <c r="B111" i="1"/>
  <c r="H111" i="1" s="1"/>
  <c r="B110" i="1"/>
  <c r="H109" i="1"/>
  <c r="B109" i="1"/>
  <c r="H108" i="1"/>
  <c r="F108" i="1"/>
  <c r="B108" i="1"/>
  <c r="H107" i="1"/>
  <c r="H105" i="1"/>
  <c r="G105" i="1"/>
  <c r="F105" i="1"/>
  <c r="E105" i="1"/>
  <c r="D105" i="1"/>
  <c r="C105" i="1"/>
  <c r="B105" i="1"/>
  <c r="G103" i="1"/>
  <c r="F103" i="1"/>
  <c r="E103" i="1"/>
  <c r="D103" i="1"/>
  <c r="C103" i="1"/>
  <c r="B102" i="1"/>
  <c r="H102" i="1" s="1"/>
  <c r="B101" i="1"/>
  <c r="H101" i="1" s="1"/>
  <c r="H100" i="1"/>
  <c r="H99" i="1"/>
  <c r="B97" i="1"/>
  <c r="H96" i="1"/>
  <c r="G96" i="1"/>
  <c r="F96" i="1"/>
  <c r="E96" i="1"/>
  <c r="D96" i="1"/>
  <c r="C96" i="1"/>
  <c r="B96" i="1"/>
  <c r="H95" i="1"/>
  <c r="H94" i="1"/>
  <c r="H93" i="1"/>
  <c r="H92" i="1"/>
  <c r="G90" i="1"/>
  <c r="G97" i="1" s="1"/>
  <c r="F90" i="1"/>
  <c r="F97" i="1" s="1"/>
  <c r="E90" i="1"/>
  <c r="E97" i="1" s="1"/>
  <c r="C90" i="1"/>
  <c r="B90" i="1"/>
  <c r="H89" i="1"/>
  <c r="H88" i="1"/>
  <c r="H87" i="1"/>
  <c r="H86" i="1"/>
  <c r="H85" i="1"/>
  <c r="D83" i="1"/>
  <c r="H83" i="1" s="1"/>
  <c r="I82" i="1"/>
  <c r="H82" i="1"/>
  <c r="B80" i="1"/>
  <c r="D79" i="1"/>
  <c r="D80" i="1" s="1"/>
  <c r="C79" i="1"/>
  <c r="H79" i="1" s="1"/>
  <c r="H78" i="1"/>
  <c r="H77" i="1"/>
  <c r="H76" i="1"/>
  <c r="B76" i="1"/>
  <c r="H75" i="1"/>
  <c r="B74" i="1"/>
  <c r="B166" i="1" s="1"/>
  <c r="H166" i="1" s="1"/>
  <c r="H72" i="1"/>
  <c r="G72" i="1"/>
  <c r="F72" i="1"/>
  <c r="E72" i="1"/>
  <c r="D72" i="1"/>
  <c r="C72" i="1"/>
  <c r="B72" i="1"/>
  <c r="G64" i="1"/>
  <c r="F64" i="1"/>
  <c r="E64" i="1"/>
  <c r="G63" i="1"/>
  <c r="G65" i="1" s="1"/>
  <c r="F63" i="1"/>
  <c r="F65" i="1" s="1"/>
  <c r="E63" i="1"/>
  <c r="E65" i="1" s="1"/>
  <c r="D63" i="1"/>
  <c r="C63" i="1"/>
  <c r="B63" i="1"/>
  <c r="G61" i="1"/>
  <c r="F61" i="1"/>
  <c r="E61" i="1"/>
  <c r="D61" i="1"/>
  <c r="D64" i="1" s="1"/>
  <c r="C61" i="1"/>
  <c r="C64" i="1" s="1"/>
  <c r="B61" i="1"/>
  <c r="B64" i="1" s="1"/>
  <c r="H60" i="1"/>
  <c r="H59" i="1"/>
  <c r="H58" i="1"/>
  <c r="H57" i="1"/>
  <c r="H56" i="1"/>
  <c r="H55" i="1"/>
  <c r="H54" i="1"/>
  <c r="H53" i="1"/>
  <c r="H52" i="1"/>
  <c r="H51" i="1"/>
  <c r="H50" i="1"/>
  <c r="H49" i="1"/>
  <c r="H48" i="1"/>
  <c r="H47" i="1"/>
  <c r="H46" i="1"/>
  <c r="H45" i="1"/>
  <c r="H44" i="1"/>
  <c r="H43" i="1"/>
  <c r="H42" i="1"/>
  <c r="H41" i="1"/>
  <c r="H40" i="1"/>
  <c r="H39" i="1"/>
  <c r="H61" i="1" s="1"/>
  <c r="H64" i="1" s="1"/>
  <c r="H38" i="1"/>
  <c r="G38" i="1"/>
  <c r="F38" i="1"/>
  <c r="E38" i="1"/>
  <c r="D38" i="1"/>
  <c r="C38" i="1"/>
  <c r="B38" i="1"/>
  <c r="G36" i="1"/>
  <c r="F36" i="1"/>
  <c r="F140" i="1" s="1"/>
  <c r="E36" i="1"/>
  <c r="E140" i="1" s="1"/>
  <c r="D36" i="1"/>
  <c r="D140" i="1" s="1"/>
  <c r="C36" i="1"/>
  <c r="C140" i="1" s="1"/>
  <c r="B36" i="1"/>
  <c r="B114" i="1" s="1"/>
  <c r="H114" i="1" s="1"/>
  <c r="H35" i="1"/>
  <c r="H34" i="1"/>
  <c r="H33" i="1"/>
  <c r="H32" i="1"/>
  <c r="H31" i="1"/>
  <c r="H30" i="1"/>
  <c r="H29" i="1"/>
  <c r="H28" i="1"/>
  <c r="C115" i="1" s="1"/>
  <c r="H27" i="1"/>
  <c r="H36" i="1" s="1"/>
  <c r="H63" i="1" s="1"/>
  <c r="H26" i="1"/>
  <c r="G26" i="1"/>
  <c r="F26" i="1"/>
  <c r="E26" i="1"/>
  <c r="D26" i="1"/>
  <c r="C26" i="1"/>
  <c r="B26" i="1"/>
  <c r="H24" i="1"/>
  <c r="H23" i="1"/>
  <c r="H22" i="1"/>
  <c r="H21" i="1"/>
  <c r="H20" i="1"/>
  <c r="I28" i="1" s="1"/>
  <c r="H19" i="1"/>
  <c r="G19" i="1"/>
  <c r="F19" i="1"/>
  <c r="E19" i="1"/>
  <c r="D19" i="1"/>
  <c r="C19" i="1"/>
  <c r="B19" i="1"/>
  <c r="G17" i="1"/>
  <c r="F17" i="1"/>
  <c r="E17" i="1"/>
  <c r="D17" i="1"/>
  <c r="C17" i="1"/>
  <c r="B17" i="1"/>
  <c r="B178" i="1" s="1"/>
  <c r="H16" i="1"/>
  <c r="H15" i="1"/>
  <c r="H14" i="1"/>
  <c r="H13" i="1"/>
  <c r="H12" i="1"/>
  <c r="H11" i="1"/>
  <c r="I11" i="1" s="1"/>
  <c r="I17" i="1" s="1"/>
  <c r="H10" i="1"/>
  <c r="H9" i="1"/>
  <c r="H8" i="1"/>
  <c r="H7" i="1"/>
  <c r="H6" i="1"/>
  <c r="H5" i="1"/>
  <c r="H4" i="1"/>
  <c r="H17" i="1" s="1"/>
  <c r="H3" i="1"/>
  <c r="B3" i="1"/>
  <c r="H2" i="1"/>
  <c r="E136" i="1" l="1"/>
  <c r="E134" i="1"/>
  <c r="D133" i="1"/>
  <c r="F136" i="1"/>
  <c r="F134" i="1"/>
  <c r="H178" i="1"/>
  <c r="H65" i="1"/>
  <c r="B65" i="1"/>
  <c r="B121" i="1"/>
  <c r="B132" i="1" s="1"/>
  <c r="F133" i="1"/>
  <c r="F141" i="1" s="1"/>
  <c r="F142" i="1" s="1"/>
  <c r="F211" i="1" s="1"/>
  <c r="F219" i="1" s="1"/>
  <c r="F220" i="1" s="1"/>
  <c r="E133" i="1"/>
  <c r="C65" i="1"/>
  <c r="G134" i="1"/>
  <c r="G136" i="1"/>
  <c r="G133" i="1"/>
  <c r="H115" i="1"/>
  <c r="C121" i="1"/>
  <c r="C132" i="1" s="1"/>
  <c r="D65" i="1"/>
  <c r="H103" i="1"/>
  <c r="B154" i="1"/>
  <c r="H110" i="1"/>
  <c r="H121" i="1" s="1"/>
  <c r="B103" i="1"/>
  <c r="B187" i="1"/>
  <c r="H187" i="1" s="1"/>
  <c r="I79" i="1"/>
  <c r="B140" i="1"/>
  <c r="H140" i="1" s="1"/>
  <c r="C157" i="1"/>
  <c r="B164" i="1"/>
  <c r="H164" i="1" s="1"/>
  <c r="C80" i="1"/>
  <c r="C97" i="1" s="1"/>
  <c r="B150" i="1"/>
  <c r="H150" i="1" s="1"/>
  <c r="H74" i="1"/>
  <c r="H80" i="1" s="1"/>
  <c r="D182" i="1"/>
  <c r="D84" i="1"/>
  <c r="H147" i="1"/>
  <c r="H154" i="1" s="1"/>
  <c r="H169" i="1"/>
  <c r="B149" i="1"/>
  <c r="H149" i="1" s="1"/>
  <c r="I27" i="1"/>
  <c r="H129" i="1"/>
  <c r="B160" i="1"/>
  <c r="D183" i="1"/>
  <c r="H183" i="1" s="1"/>
  <c r="B148" i="1"/>
  <c r="H148" i="1" s="1"/>
  <c r="C134" i="1" l="1"/>
  <c r="C136" i="1"/>
  <c r="B133" i="1"/>
  <c r="B134" i="1"/>
  <c r="B136" i="1"/>
  <c r="C133" i="1"/>
  <c r="H131" i="1"/>
  <c r="H132" i="1" s="1"/>
  <c r="B197" i="1"/>
  <c r="H84" i="1"/>
  <c r="H90" i="1" s="1"/>
  <c r="D90" i="1"/>
  <c r="D97" i="1" s="1"/>
  <c r="H182" i="1"/>
  <c r="H197" i="1" s="1"/>
  <c r="D197" i="1"/>
  <c r="H97" i="1"/>
  <c r="D136" i="1"/>
  <c r="D134" i="1"/>
  <c r="D141" i="1" s="1"/>
  <c r="D142" i="1" s="1"/>
  <c r="D211" i="1" s="1"/>
  <c r="H160" i="1"/>
  <c r="B170" i="1"/>
  <c r="H157" i="1"/>
  <c r="H170" i="1" s="1"/>
  <c r="C170" i="1"/>
  <c r="G141" i="1"/>
  <c r="G142" i="1" s="1"/>
  <c r="G211" i="1" s="1"/>
  <c r="G219" i="1" s="1"/>
  <c r="G220" i="1" s="1"/>
  <c r="E141" i="1"/>
  <c r="E142" i="1" s="1"/>
  <c r="E211" i="1" s="1"/>
  <c r="E219" i="1" s="1"/>
  <c r="E220" i="1" s="1"/>
  <c r="H68" i="1" l="1"/>
  <c r="H69" i="1"/>
  <c r="H70" i="1"/>
  <c r="C141" i="1"/>
  <c r="C142" i="1" s="1"/>
  <c r="C211" i="1" s="1"/>
  <c r="C219" i="1" s="1"/>
  <c r="C220" i="1" s="1"/>
  <c r="H136" i="1"/>
  <c r="H134" i="1"/>
  <c r="I134" i="1" s="1"/>
  <c r="H133" i="1"/>
  <c r="B141" i="1"/>
  <c r="B142" i="1" s="1"/>
  <c r="B211" i="1" s="1"/>
  <c r="B219" i="1" s="1"/>
  <c r="B220" i="1" s="1"/>
  <c r="D219" i="1"/>
  <c r="D220" i="1" s="1"/>
  <c r="I133" i="1" l="1"/>
  <c r="H141" i="1"/>
  <c r="H142" i="1" s="1"/>
  <c r="H211" i="1" l="1"/>
  <c r="H219" i="1" s="1"/>
  <c r="H220" i="1" s="1"/>
  <c r="H67" i="1"/>
  <c r="B208" i="29" l="1"/>
  <c r="B208" i="30" s="1"/>
  <c r="H18" i="5"/>
  <c r="G17" i="5"/>
  <c r="H19" i="5"/>
  <c r="H20" i="5"/>
  <c r="H21" i="5"/>
  <c r="G20" i="5"/>
  <c r="H22" i="5"/>
  <c r="G21" i="5"/>
  <c r="F20" i="5"/>
  <c r="G19" i="5"/>
  <c r="G18" i="5"/>
  <c r="F17" i="5"/>
  <c r="F16" i="5"/>
  <c r="E19" i="5"/>
  <c r="D18" i="5"/>
  <c r="E18" i="5"/>
  <c r="E17" i="5"/>
  <c r="E16" i="5"/>
  <c r="D15" i="5"/>
  <c r="E15" i="5"/>
  <c r="D14" i="5"/>
  <c r="J11" i="5"/>
  <c r="B156" i="27"/>
  <c r="B156" i="29" s="1"/>
  <c r="B156" i="30" s="1"/>
  <c r="B156" i="31" s="1"/>
  <c r="B24" i="27"/>
  <c r="B24" i="29" s="1"/>
  <c r="B24" i="30" s="1"/>
  <c r="B24" i="31" s="1"/>
  <c r="B21" i="27"/>
  <c r="B21" i="29" s="1"/>
  <c r="B21" i="30" s="1"/>
  <c r="B21" i="31" s="1"/>
  <c r="B207" i="27"/>
  <c r="B207" i="29" s="1"/>
  <c r="B207" i="30" s="1"/>
  <c r="B207" i="31" s="1"/>
  <c r="B176" i="27" l="1"/>
  <c r="B176" i="29" s="1"/>
  <c r="B162" i="27"/>
  <c r="B162" i="29" s="1"/>
  <c r="B163" i="27"/>
  <c r="B177" i="29"/>
  <c r="B173" i="27"/>
  <c r="B173" i="29" s="1"/>
  <c r="B173" i="30" s="1"/>
  <c r="B172" i="27"/>
  <c r="B172" i="29"/>
  <c r="B214" i="32"/>
  <c r="D214" i="32"/>
  <c r="E214" i="32"/>
  <c r="F214" i="32"/>
  <c r="B215" i="32"/>
  <c r="D215" i="32"/>
  <c r="E215" i="32"/>
  <c r="F215" i="32"/>
  <c r="B216" i="32"/>
  <c r="D216" i="32"/>
  <c r="E216" i="32"/>
  <c r="F216" i="32"/>
  <c r="F213" i="32"/>
  <c r="E213" i="32"/>
  <c r="D213" i="32"/>
  <c r="B213" i="32"/>
  <c r="B200" i="32"/>
  <c r="E200" i="32"/>
  <c r="F200" i="32"/>
  <c r="B201" i="32"/>
  <c r="B202" i="32"/>
  <c r="B203" i="32"/>
  <c r="D203" i="32"/>
  <c r="E203" i="32"/>
  <c r="F203" i="32"/>
  <c r="B204" i="32"/>
  <c r="B205" i="32"/>
  <c r="B206" i="32"/>
  <c r="D206" i="32"/>
  <c r="E206" i="32"/>
  <c r="F206" i="32"/>
  <c r="B207" i="32"/>
  <c r="B208" i="32"/>
  <c r="B199" i="32"/>
  <c r="B173" i="32"/>
  <c r="B174" i="32"/>
  <c r="D174" i="32"/>
  <c r="E174" i="32"/>
  <c r="F174" i="32"/>
  <c r="B175" i="32"/>
  <c r="D175" i="32"/>
  <c r="E175" i="32"/>
  <c r="F175" i="32"/>
  <c r="B176" i="32"/>
  <c r="B177" i="32"/>
  <c r="B178" i="32"/>
  <c r="B179" i="32"/>
  <c r="B180" i="32"/>
  <c r="B181" i="32"/>
  <c r="B182" i="32"/>
  <c r="B183" i="32"/>
  <c r="B184" i="32"/>
  <c r="D184" i="32"/>
  <c r="E184" i="32"/>
  <c r="F184" i="32"/>
  <c r="B185" i="32"/>
  <c r="D185" i="32"/>
  <c r="E185" i="32"/>
  <c r="F185" i="32"/>
  <c r="B186" i="32"/>
  <c r="D186" i="32"/>
  <c r="E186" i="32"/>
  <c r="F186" i="32"/>
  <c r="B187" i="32"/>
  <c r="B188" i="32"/>
  <c r="D188" i="32"/>
  <c r="E188" i="32"/>
  <c r="F188" i="32"/>
  <c r="B189" i="32"/>
  <c r="B190" i="32"/>
  <c r="B191" i="32"/>
  <c r="E191" i="32"/>
  <c r="B192" i="32"/>
  <c r="D192" i="32"/>
  <c r="E192" i="32"/>
  <c r="F192" i="32"/>
  <c r="B193" i="32"/>
  <c r="D193" i="32"/>
  <c r="E193" i="32"/>
  <c r="F193" i="32"/>
  <c r="B194" i="32"/>
  <c r="B195" i="32"/>
  <c r="D195" i="32"/>
  <c r="E195" i="32"/>
  <c r="F195" i="32"/>
  <c r="B196" i="32"/>
  <c r="B172" i="32"/>
  <c r="B157" i="32"/>
  <c r="B158" i="32"/>
  <c r="D158" i="32"/>
  <c r="E158" i="32"/>
  <c r="F158" i="32"/>
  <c r="B159" i="32"/>
  <c r="D159" i="32"/>
  <c r="E159" i="32"/>
  <c r="F159" i="32"/>
  <c r="B160" i="32"/>
  <c r="B162" i="32"/>
  <c r="B163" i="32"/>
  <c r="D163" i="32"/>
  <c r="E163" i="32"/>
  <c r="F163" i="32"/>
  <c r="B164" i="32"/>
  <c r="B165" i="32"/>
  <c r="D165" i="32"/>
  <c r="E165" i="32"/>
  <c r="F165" i="32"/>
  <c r="B166" i="32"/>
  <c r="B167" i="32"/>
  <c r="B168" i="32"/>
  <c r="B169" i="32"/>
  <c r="D169" i="32"/>
  <c r="E169" i="32"/>
  <c r="F169" i="32"/>
  <c r="B156" i="32"/>
  <c r="B145" i="32"/>
  <c r="D145" i="32"/>
  <c r="E145" i="32"/>
  <c r="F145" i="32"/>
  <c r="B146" i="32"/>
  <c r="B147" i="32"/>
  <c r="B148" i="32"/>
  <c r="B149" i="32"/>
  <c r="B150" i="32"/>
  <c r="B151" i="32"/>
  <c r="B152" i="32"/>
  <c r="D152" i="32"/>
  <c r="B153" i="32"/>
  <c r="B144" i="32"/>
  <c r="B134" i="32"/>
  <c r="B135" i="32"/>
  <c r="B136" i="32"/>
  <c r="B138" i="32"/>
  <c r="D138" i="32"/>
  <c r="E138" i="32"/>
  <c r="F138" i="32"/>
  <c r="B139" i="32"/>
  <c r="D139" i="32"/>
  <c r="E139" i="32"/>
  <c r="F139" i="32"/>
  <c r="B140" i="32"/>
  <c r="B133" i="32"/>
  <c r="B124" i="32"/>
  <c r="D124" i="32"/>
  <c r="E124" i="32"/>
  <c r="F124" i="32"/>
  <c r="B125" i="32"/>
  <c r="D125" i="32"/>
  <c r="E125" i="32"/>
  <c r="F125" i="32"/>
  <c r="B126" i="32"/>
  <c r="D126" i="32"/>
  <c r="E126" i="32"/>
  <c r="F126" i="32"/>
  <c r="B127" i="32"/>
  <c r="D127" i="32"/>
  <c r="E127" i="32"/>
  <c r="F127" i="32"/>
  <c r="B128" i="32"/>
  <c r="D128" i="32"/>
  <c r="E128" i="32"/>
  <c r="F128" i="32"/>
  <c r="B129" i="32"/>
  <c r="B130" i="32"/>
  <c r="B123" i="32"/>
  <c r="B108" i="32"/>
  <c r="B109" i="32"/>
  <c r="B110" i="32"/>
  <c r="B111" i="32"/>
  <c r="B112" i="32"/>
  <c r="B113" i="32"/>
  <c r="B114" i="32"/>
  <c r="B115" i="32"/>
  <c r="B116" i="32"/>
  <c r="B117" i="32"/>
  <c r="B118" i="32"/>
  <c r="B119" i="32"/>
  <c r="B120" i="32"/>
  <c r="D120" i="32"/>
  <c r="F120" i="32"/>
  <c r="B107" i="32"/>
  <c r="B100" i="32"/>
  <c r="B101" i="32"/>
  <c r="D101" i="32"/>
  <c r="E101" i="32"/>
  <c r="F101" i="32"/>
  <c r="B102" i="32"/>
  <c r="D102" i="32"/>
  <c r="E102" i="32"/>
  <c r="F102" i="32"/>
  <c r="F99" i="32"/>
  <c r="E99" i="32"/>
  <c r="D99" i="32"/>
  <c r="B99" i="32"/>
  <c r="B93" i="32"/>
  <c r="B94" i="32"/>
  <c r="D94" i="32"/>
  <c r="E94" i="32"/>
  <c r="F94" i="32"/>
  <c r="B95" i="32"/>
  <c r="D95" i="32"/>
  <c r="E95" i="32"/>
  <c r="F95" i="32"/>
  <c r="F92" i="32"/>
  <c r="E92" i="32"/>
  <c r="D92" i="32"/>
  <c r="B92" i="32"/>
  <c r="B83" i="32"/>
  <c r="B84" i="32"/>
  <c r="B85" i="32"/>
  <c r="D85" i="32"/>
  <c r="E85" i="32"/>
  <c r="F85" i="32"/>
  <c r="B87" i="32"/>
  <c r="D87" i="32"/>
  <c r="E87" i="32"/>
  <c r="F87" i="32"/>
  <c r="B88" i="32"/>
  <c r="D88" i="32"/>
  <c r="E88" i="32"/>
  <c r="F88" i="32"/>
  <c r="B89" i="32"/>
  <c r="D89" i="32"/>
  <c r="E89" i="32"/>
  <c r="F89" i="32"/>
  <c r="B82" i="32"/>
  <c r="B75" i="32"/>
  <c r="B76" i="32"/>
  <c r="D76" i="32"/>
  <c r="E76" i="32"/>
  <c r="F76" i="32"/>
  <c r="B77" i="32"/>
  <c r="B78" i="32"/>
  <c r="D78" i="32"/>
  <c r="E78" i="32"/>
  <c r="F78" i="32"/>
  <c r="B79" i="32"/>
  <c r="B74" i="32"/>
  <c r="B40" i="32"/>
  <c r="B41" i="32"/>
  <c r="D41" i="32"/>
  <c r="B42" i="32"/>
  <c r="B43" i="32"/>
  <c r="B44" i="32"/>
  <c r="D44" i="32"/>
  <c r="F44" i="32"/>
  <c r="B45" i="32"/>
  <c r="C45" i="32"/>
  <c r="D45" i="32"/>
  <c r="E45" i="32"/>
  <c r="F45" i="32"/>
  <c r="B46" i="32"/>
  <c r="B47" i="32"/>
  <c r="B48" i="32"/>
  <c r="B49" i="32"/>
  <c r="B50" i="32"/>
  <c r="B51" i="32"/>
  <c r="B52" i="32"/>
  <c r="B53" i="32"/>
  <c r="B54" i="32"/>
  <c r="B55" i="32"/>
  <c r="B56" i="32"/>
  <c r="B57" i="32"/>
  <c r="B58" i="32"/>
  <c r="B59" i="32"/>
  <c r="F59" i="32"/>
  <c r="B60" i="32"/>
  <c r="D60" i="32"/>
  <c r="E60" i="32"/>
  <c r="F60" i="32"/>
  <c r="E39" i="32"/>
  <c r="B39" i="32"/>
  <c r="B28" i="32"/>
  <c r="B29" i="32"/>
  <c r="D29" i="32"/>
  <c r="E29" i="32"/>
  <c r="F29" i="32"/>
  <c r="B30" i="32"/>
  <c r="F30" i="32"/>
  <c r="B31" i="32"/>
  <c r="F31" i="32"/>
  <c r="B32" i="32"/>
  <c r="B33" i="32"/>
  <c r="E33" i="32"/>
  <c r="B34" i="32"/>
  <c r="E34" i="32"/>
  <c r="F34" i="32"/>
  <c r="B35" i="32"/>
  <c r="D35" i="32"/>
  <c r="E35" i="32"/>
  <c r="F35" i="32"/>
  <c r="B27" i="32"/>
  <c r="B21" i="32"/>
  <c r="B22" i="32"/>
  <c r="D22" i="32"/>
  <c r="E22" i="32"/>
  <c r="F22" i="32"/>
  <c r="B23" i="32"/>
  <c r="D23" i="32"/>
  <c r="E23" i="32"/>
  <c r="F23" i="32"/>
  <c r="B24" i="32"/>
  <c r="B20" i="32"/>
  <c r="B5" i="32"/>
  <c r="B6" i="32"/>
  <c r="F6" i="32"/>
  <c r="B7" i="32"/>
  <c r="B8" i="32"/>
  <c r="B9" i="32"/>
  <c r="B10" i="32"/>
  <c r="B11" i="32"/>
  <c r="B12" i="32"/>
  <c r="B13" i="32"/>
  <c r="B14" i="32"/>
  <c r="B15" i="32"/>
  <c r="B16" i="32"/>
  <c r="D16" i="32"/>
  <c r="B4" i="32"/>
  <c r="B2" i="32"/>
  <c r="F222" i="32"/>
  <c r="F198" i="32"/>
  <c r="F171" i="32"/>
  <c r="F155" i="32"/>
  <c r="F143" i="32"/>
  <c r="F105" i="32"/>
  <c r="F72" i="32"/>
  <c r="F38" i="32"/>
  <c r="F26" i="32"/>
  <c r="F19" i="32"/>
  <c r="E222" i="32"/>
  <c r="E198" i="32"/>
  <c r="E171" i="32"/>
  <c r="E155" i="32"/>
  <c r="E143" i="32"/>
  <c r="E105" i="32"/>
  <c r="E72" i="32"/>
  <c r="E38" i="32"/>
  <c r="E26" i="32"/>
  <c r="E19" i="32"/>
  <c r="D222" i="32"/>
  <c r="D198" i="32"/>
  <c r="D171" i="32"/>
  <c r="D155" i="32"/>
  <c r="D143" i="32"/>
  <c r="D105" i="32"/>
  <c r="D72" i="32"/>
  <c r="D38" i="32"/>
  <c r="D26" i="32"/>
  <c r="D19" i="32"/>
  <c r="C222" i="32"/>
  <c r="C198" i="32"/>
  <c r="C171" i="32"/>
  <c r="C155" i="32"/>
  <c r="C143" i="32"/>
  <c r="C105" i="32"/>
  <c r="C72" i="32"/>
  <c r="C38" i="32"/>
  <c r="C26" i="32"/>
  <c r="C19" i="32"/>
  <c r="B222" i="32"/>
  <c r="A222" i="32"/>
  <c r="B198" i="32"/>
  <c r="B171" i="32"/>
  <c r="B155" i="32"/>
  <c r="B143" i="32"/>
  <c r="B105" i="32"/>
  <c r="B72" i="32"/>
  <c r="B38" i="32"/>
  <c r="B26" i="32"/>
  <c r="B19" i="32"/>
  <c r="L18" i="5"/>
  <c r="L17" i="5"/>
  <c r="B213" i="31"/>
  <c r="H119" i="31"/>
  <c r="F119" i="32" s="1"/>
  <c r="H117" i="31"/>
  <c r="F117" i="32" s="1"/>
  <c r="D131" i="30"/>
  <c r="H119" i="30"/>
  <c r="E119" i="32" s="1"/>
  <c r="M214" i="31"/>
  <c r="M174" i="31"/>
  <c r="M175" i="31"/>
  <c r="M184" i="31"/>
  <c r="M195" i="31"/>
  <c r="M165" i="31"/>
  <c r="M120" i="31"/>
  <c r="M92" i="31"/>
  <c r="M45" i="31"/>
  <c r="H2" i="31"/>
  <c r="F2" i="32" s="1"/>
  <c r="M222" i="31"/>
  <c r="H222" i="31"/>
  <c r="G222" i="31"/>
  <c r="F222" i="31"/>
  <c r="E222" i="31"/>
  <c r="D222" i="31"/>
  <c r="C222" i="31"/>
  <c r="B222" i="31"/>
  <c r="A222" i="31"/>
  <c r="M218" i="31"/>
  <c r="H218" i="31"/>
  <c r="M217" i="31"/>
  <c r="H217" i="31"/>
  <c r="H216" i="31"/>
  <c r="M216" i="31" s="1"/>
  <c r="B216" i="31"/>
  <c r="M215" i="31"/>
  <c r="H215" i="31"/>
  <c r="H214" i="31"/>
  <c r="H213" i="31"/>
  <c r="M212" i="31"/>
  <c r="M210" i="31"/>
  <c r="G209" i="31"/>
  <c r="F209" i="31"/>
  <c r="E209" i="31"/>
  <c r="D209" i="31"/>
  <c r="C209" i="31"/>
  <c r="H208" i="31"/>
  <c r="F208" i="32" s="1"/>
  <c r="H207" i="31"/>
  <c r="F207" i="32" s="1"/>
  <c r="H206" i="31"/>
  <c r="M206" i="31" s="1"/>
  <c r="M205" i="31"/>
  <c r="H205" i="31"/>
  <c r="F205" i="32" s="1"/>
  <c r="H203" i="31"/>
  <c r="M203" i="31" s="1"/>
  <c r="H200" i="31"/>
  <c r="M200" i="31" s="1"/>
  <c r="B200" i="31"/>
  <c r="M198" i="31"/>
  <c r="H198" i="31"/>
  <c r="G198" i="31"/>
  <c r="F198" i="31"/>
  <c r="E198" i="31"/>
  <c r="D198" i="31"/>
  <c r="C198" i="31"/>
  <c r="B198" i="31"/>
  <c r="F197" i="31"/>
  <c r="C197" i="31"/>
  <c r="H195" i="31"/>
  <c r="H193" i="31"/>
  <c r="M193" i="31" s="1"/>
  <c r="M192" i="31"/>
  <c r="H192" i="31"/>
  <c r="H191" i="31"/>
  <c r="F191" i="32" s="1"/>
  <c r="H190" i="31"/>
  <c r="F190" i="32" s="1"/>
  <c r="H189" i="31"/>
  <c r="F189" i="32" s="1"/>
  <c r="H188" i="31"/>
  <c r="M188" i="31" s="1"/>
  <c r="B186" i="31"/>
  <c r="H186" i="31" s="1"/>
  <c r="H184" i="31"/>
  <c r="H175" i="31"/>
  <c r="H174" i="31"/>
  <c r="M171" i="31"/>
  <c r="H171" i="31"/>
  <c r="G171" i="31"/>
  <c r="F171" i="31"/>
  <c r="E171" i="31"/>
  <c r="D171" i="31"/>
  <c r="C171" i="31"/>
  <c r="B171" i="31"/>
  <c r="F170" i="31"/>
  <c r="E170" i="31"/>
  <c r="D170" i="31"/>
  <c r="H165" i="31"/>
  <c r="B163" i="31"/>
  <c r="H163" i="31" s="1"/>
  <c r="M163" i="31" s="1"/>
  <c r="H159" i="31"/>
  <c r="M159" i="31" s="1"/>
  <c r="H158" i="31"/>
  <c r="M158" i="31" s="1"/>
  <c r="M155" i="31"/>
  <c r="H155" i="31"/>
  <c r="G155" i="31"/>
  <c r="F155" i="31"/>
  <c r="E155" i="31"/>
  <c r="D155" i="31"/>
  <c r="C155" i="31"/>
  <c r="B155" i="31"/>
  <c r="G154" i="31"/>
  <c r="F154" i="31"/>
  <c r="E154" i="31"/>
  <c r="D154" i="31"/>
  <c r="H152" i="31"/>
  <c r="F152" i="32" s="1"/>
  <c r="H146" i="31"/>
  <c r="F146" i="32" s="1"/>
  <c r="H145" i="31"/>
  <c r="M145" i="31" s="1"/>
  <c r="M143" i="31"/>
  <c r="H143" i="31"/>
  <c r="G143" i="31"/>
  <c r="F143" i="31"/>
  <c r="E143" i="31"/>
  <c r="D143" i="31"/>
  <c r="C143" i="31"/>
  <c r="B143" i="31"/>
  <c r="H139" i="31"/>
  <c r="H138" i="31"/>
  <c r="H137" i="31"/>
  <c r="F137" i="32" s="1"/>
  <c r="D135" i="31"/>
  <c r="H130" i="31"/>
  <c r="F130" i="32" s="1"/>
  <c r="D131" i="31"/>
  <c r="C129" i="31"/>
  <c r="B129" i="31"/>
  <c r="B131" i="31" s="1"/>
  <c r="H128" i="31"/>
  <c r="H127" i="31"/>
  <c r="M126" i="31"/>
  <c r="H126" i="31"/>
  <c r="H125" i="31"/>
  <c r="M125" i="31" s="1"/>
  <c r="H124" i="31"/>
  <c r="M124" i="31" s="1"/>
  <c r="M122" i="31"/>
  <c r="H120" i="31"/>
  <c r="Q114" i="31"/>
  <c r="M106" i="31"/>
  <c r="M105" i="31"/>
  <c r="H105" i="31"/>
  <c r="G105" i="31"/>
  <c r="F105" i="31"/>
  <c r="E105" i="31"/>
  <c r="D105" i="31"/>
  <c r="C105" i="31"/>
  <c r="B105" i="31"/>
  <c r="M104" i="31"/>
  <c r="G103" i="31"/>
  <c r="F103" i="31"/>
  <c r="E103" i="31"/>
  <c r="D103" i="31"/>
  <c r="C103" i="31"/>
  <c r="B103" i="31"/>
  <c r="H102" i="31"/>
  <c r="H101" i="31"/>
  <c r="M101" i="31" s="1"/>
  <c r="H100" i="31"/>
  <c r="F100" i="32" s="1"/>
  <c r="F103" i="32" s="1"/>
  <c r="H99" i="31"/>
  <c r="M99" i="31" s="1"/>
  <c r="M98" i="31"/>
  <c r="G96" i="31"/>
  <c r="F96" i="31"/>
  <c r="D96" i="31"/>
  <c r="C96" i="31"/>
  <c r="B96" i="31"/>
  <c r="M95" i="31"/>
  <c r="H95" i="31"/>
  <c r="H94" i="31"/>
  <c r="M94" i="31" s="1"/>
  <c r="H92" i="31"/>
  <c r="M91" i="31"/>
  <c r="G90" i="31"/>
  <c r="G97" i="31" s="1"/>
  <c r="E90" i="31"/>
  <c r="B90" i="31"/>
  <c r="M89" i="31"/>
  <c r="H89" i="31"/>
  <c r="G88" i="31"/>
  <c r="G185" i="31" s="1"/>
  <c r="H87" i="31"/>
  <c r="G87" i="31"/>
  <c r="G169" i="31" s="1"/>
  <c r="H86" i="31"/>
  <c r="F86" i="32" s="1"/>
  <c r="F85" i="31"/>
  <c r="H85" i="31" s="1"/>
  <c r="M85" i="31" s="1"/>
  <c r="M81" i="31"/>
  <c r="D79" i="31"/>
  <c r="D80" i="31" s="1"/>
  <c r="M78" i="31"/>
  <c r="H78" i="31"/>
  <c r="B76" i="31"/>
  <c r="H76" i="31" s="1"/>
  <c r="M76" i="31" s="1"/>
  <c r="M73" i="31"/>
  <c r="M72" i="31"/>
  <c r="H72" i="31"/>
  <c r="G72" i="31"/>
  <c r="F72" i="31"/>
  <c r="E72" i="31"/>
  <c r="D72" i="31"/>
  <c r="C72" i="31"/>
  <c r="B72" i="31"/>
  <c r="M71" i="31"/>
  <c r="M66" i="31"/>
  <c r="G63" i="31"/>
  <c r="M62" i="31"/>
  <c r="G61" i="31"/>
  <c r="G64" i="31" s="1"/>
  <c r="G65" i="31" s="1"/>
  <c r="G136" i="31" s="1"/>
  <c r="F61" i="31"/>
  <c r="F64" i="31" s="1"/>
  <c r="E61" i="31"/>
  <c r="E64" i="31" s="1"/>
  <c r="D61" i="31"/>
  <c r="D64" i="31" s="1"/>
  <c r="C61" i="31"/>
  <c r="C64" i="31" s="1"/>
  <c r="B61" i="31"/>
  <c r="B64" i="31" s="1"/>
  <c r="H60" i="31"/>
  <c r="M60" i="31" s="1"/>
  <c r="H59" i="31"/>
  <c r="H58" i="31"/>
  <c r="F58" i="32" s="1"/>
  <c r="H57" i="31"/>
  <c r="F57" i="32" s="1"/>
  <c r="H56" i="31"/>
  <c r="F56" i="32" s="1"/>
  <c r="H55" i="31"/>
  <c r="F55" i="32" s="1"/>
  <c r="H54" i="31"/>
  <c r="F54" i="32" s="1"/>
  <c r="H53" i="31"/>
  <c r="F53" i="32" s="1"/>
  <c r="H52" i="31"/>
  <c r="F52" i="32" s="1"/>
  <c r="H51" i="31"/>
  <c r="F51" i="32" s="1"/>
  <c r="H50" i="31"/>
  <c r="F50" i="32" s="1"/>
  <c r="H49" i="31"/>
  <c r="F49" i="32" s="1"/>
  <c r="H48" i="31"/>
  <c r="F48" i="32" s="1"/>
  <c r="H47" i="31"/>
  <c r="F47" i="32" s="1"/>
  <c r="H46" i="31"/>
  <c r="F46" i="32" s="1"/>
  <c r="H44" i="31"/>
  <c r="H43" i="31"/>
  <c r="F43" i="32" s="1"/>
  <c r="H42" i="31"/>
  <c r="F42" i="32" s="1"/>
  <c r="H41" i="31"/>
  <c r="F41" i="32" s="1"/>
  <c r="H40" i="31"/>
  <c r="F40" i="32" s="1"/>
  <c r="H39" i="31"/>
  <c r="F39" i="32" s="1"/>
  <c r="M38" i="31"/>
  <c r="H38" i="31"/>
  <c r="G38" i="31"/>
  <c r="F38" i="31"/>
  <c r="E38" i="31"/>
  <c r="D38" i="31"/>
  <c r="C38" i="31"/>
  <c r="B38" i="31"/>
  <c r="M37" i="31"/>
  <c r="G36" i="31"/>
  <c r="G140" i="31" s="1"/>
  <c r="F36" i="31"/>
  <c r="F140" i="31" s="1"/>
  <c r="E36" i="31"/>
  <c r="E140" i="31" s="1"/>
  <c r="D36" i="31"/>
  <c r="D140" i="31" s="1"/>
  <c r="C36" i="31"/>
  <c r="C140" i="31" s="1"/>
  <c r="B36" i="31"/>
  <c r="H35" i="31"/>
  <c r="H34" i="31"/>
  <c r="H33" i="31"/>
  <c r="F33" i="32" s="1"/>
  <c r="M32" i="31"/>
  <c r="H32" i="31"/>
  <c r="F32" i="32" s="1"/>
  <c r="H31" i="31"/>
  <c r="M31" i="31" s="1"/>
  <c r="H30" i="31"/>
  <c r="H29" i="31"/>
  <c r="M29" i="31" s="1"/>
  <c r="H28" i="31"/>
  <c r="H27" i="31"/>
  <c r="F27" i="32" s="1"/>
  <c r="M26" i="31"/>
  <c r="H26" i="31"/>
  <c r="G26" i="31"/>
  <c r="F26" i="31"/>
  <c r="E26" i="31"/>
  <c r="D26" i="31"/>
  <c r="C26" i="31"/>
  <c r="B26" i="31"/>
  <c r="M25" i="31"/>
  <c r="M23" i="31"/>
  <c r="H23" i="31"/>
  <c r="H22" i="31"/>
  <c r="M22" i="31" s="1"/>
  <c r="M19" i="31"/>
  <c r="H19" i="31"/>
  <c r="G19" i="31"/>
  <c r="F19" i="31"/>
  <c r="E19" i="31"/>
  <c r="D19" i="31"/>
  <c r="C19" i="31"/>
  <c r="B19" i="31"/>
  <c r="M18" i="31"/>
  <c r="L17" i="31"/>
  <c r="G17" i="31"/>
  <c r="F17" i="31"/>
  <c r="E17" i="31"/>
  <c r="D17" i="31"/>
  <c r="C17" i="31"/>
  <c r="H16" i="31"/>
  <c r="B3" i="31"/>
  <c r="H3" i="31" s="1"/>
  <c r="M3" i="31" s="1"/>
  <c r="H14" i="31"/>
  <c r="F14" i="32" s="1"/>
  <c r="H13" i="31"/>
  <c r="H12" i="31"/>
  <c r="F12" i="32" s="1"/>
  <c r="H11" i="31"/>
  <c r="F11" i="32" s="1"/>
  <c r="H10" i="31"/>
  <c r="F10" i="32" s="1"/>
  <c r="H9" i="31"/>
  <c r="F9" i="32" s="1"/>
  <c r="H8" i="31"/>
  <c r="F8" i="32" s="1"/>
  <c r="H7" i="31"/>
  <c r="H6" i="31"/>
  <c r="H5" i="31"/>
  <c r="H4" i="31"/>
  <c r="L16" i="5"/>
  <c r="B213" i="30"/>
  <c r="H213" i="30"/>
  <c r="M45" i="30"/>
  <c r="L17" i="30"/>
  <c r="L17" i="29"/>
  <c r="M222" i="30"/>
  <c r="H222" i="30"/>
  <c r="G222" i="30"/>
  <c r="F222" i="30"/>
  <c r="E222" i="30"/>
  <c r="D222" i="30"/>
  <c r="C222" i="30"/>
  <c r="B222" i="30"/>
  <c r="A222" i="30"/>
  <c r="H218" i="30"/>
  <c r="M218" i="30" s="1"/>
  <c r="M217" i="30"/>
  <c r="H217" i="30"/>
  <c r="B216" i="30"/>
  <c r="H216" i="30" s="1"/>
  <c r="M216" i="30" s="1"/>
  <c r="H215" i="30"/>
  <c r="M215" i="30" s="1"/>
  <c r="H214" i="30"/>
  <c r="M214" i="30" s="1"/>
  <c r="M212" i="30"/>
  <c r="M210" i="30"/>
  <c r="G209" i="30"/>
  <c r="F209" i="30"/>
  <c r="E209" i="30"/>
  <c r="D209" i="30"/>
  <c r="C209" i="30"/>
  <c r="H208" i="30"/>
  <c r="E208" i="32" s="1"/>
  <c r="H207" i="30"/>
  <c r="M206" i="30"/>
  <c r="H206" i="30"/>
  <c r="H205" i="30"/>
  <c r="E205" i="32" s="1"/>
  <c r="H203" i="30"/>
  <c r="M203" i="30" s="1"/>
  <c r="B200" i="30"/>
  <c r="H200" i="30" s="1"/>
  <c r="M198" i="30"/>
  <c r="H198" i="30"/>
  <c r="G198" i="30"/>
  <c r="F198" i="30"/>
  <c r="E198" i="30"/>
  <c r="D198" i="30"/>
  <c r="C198" i="30"/>
  <c r="B198" i="30"/>
  <c r="F197" i="30"/>
  <c r="C197" i="30"/>
  <c r="H195" i="30"/>
  <c r="M195" i="30" s="1"/>
  <c r="M193" i="30"/>
  <c r="H193" i="30"/>
  <c r="M192" i="30"/>
  <c r="H192" i="30"/>
  <c r="H191" i="30"/>
  <c r="H190" i="30"/>
  <c r="M190" i="31" s="1"/>
  <c r="H189" i="30"/>
  <c r="E189" i="32" s="1"/>
  <c r="H188" i="30"/>
  <c r="M188" i="30" s="1"/>
  <c r="B186" i="30"/>
  <c r="H186" i="30" s="1"/>
  <c r="M186" i="30" s="1"/>
  <c r="G185" i="30"/>
  <c r="G197" i="30" s="1"/>
  <c r="H184" i="30"/>
  <c r="H175" i="30"/>
  <c r="M175" i="30" s="1"/>
  <c r="H174" i="30"/>
  <c r="M174" i="30" s="1"/>
  <c r="M171" i="30"/>
  <c r="H171" i="30"/>
  <c r="G171" i="30"/>
  <c r="F171" i="30"/>
  <c r="E171" i="30"/>
  <c r="D171" i="30"/>
  <c r="C171" i="30"/>
  <c r="B171" i="30"/>
  <c r="F170" i="30"/>
  <c r="E170" i="30"/>
  <c r="D170" i="30"/>
  <c r="H165" i="30"/>
  <c r="B163" i="30"/>
  <c r="H163" i="30" s="1"/>
  <c r="M163" i="30" s="1"/>
  <c r="M159" i="30"/>
  <c r="H159" i="30"/>
  <c r="M158" i="30"/>
  <c r="H158" i="30"/>
  <c r="H156" i="30"/>
  <c r="M155" i="30"/>
  <c r="H155" i="30"/>
  <c r="G155" i="30"/>
  <c r="F155" i="30"/>
  <c r="E155" i="30"/>
  <c r="D155" i="30"/>
  <c r="C155" i="30"/>
  <c r="B155" i="30"/>
  <c r="G154" i="30"/>
  <c r="F154" i="30"/>
  <c r="E154" i="30"/>
  <c r="D154" i="30"/>
  <c r="H152" i="30"/>
  <c r="E152" i="32" s="1"/>
  <c r="H146" i="30"/>
  <c r="E146" i="32" s="1"/>
  <c r="H145" i="30"/>
  <c r="M145" i="30" s="1"/>
  <c r="M143" i="30"/>
  <c r="H143" i="30"/>
  <c r="G143" i="30"/>
  <c r="F143" i="30"/>
  <c r="E143" i="30"/>
  <c r="D143" i="30"/>
  <c r="C143" i="30"/>
  <c r="B143" i="30"/>
  <c r="F140" i="30"/>
  <c r="E140" i="30"/>
  <c r="H139" i="30"/>
  <c r="M138" i="30"/>
  <c r="H138" i="30"/>
  <c r="H137" i="30"/>
  <c r="E137" i="32" s="1"/>
  <c r="G135" i="30"/>
  <c r="E135" i="30"/>
  <c r="H130" i="30"/>
  <c r="C129" i="30"/>
  <c r="B129" i="30"/>
  <c r="B131" i="30" s="1"/>
  <c r="H128" i="30"/>
  <c r="M128" i="30" s="1"/>
  <c r="H127" i="30"/>
  <c r="M127" i="30" s="1"/>
  <c r="H126" i="30"/>
  <c r="M126" i="30" s="1"/>
  <c r="M125" i="30"/>
  <c r="H125" i="30"/>
  <c r="H124" i="30"/>
  <c r="M124" i="30" s="1"/>
  <c r="M122" i="30"/>
  <c r="H120" i="30"/>
  <c r="M120" i="30" s="1"/>
  <c r="H117" i="30"/>
  <c r="Q114" i="30"/>
  <c r="M106" i="30"/>
  <c r="M105" i="30"/>
  <c r="H105" i="30"/>
  <c r="G105" i="30"/>
  <c r="F105" i="30"/>
  <c r="E105" i="30"/>
  <c r="D105" i="30"/>
  <c r="C105" i="30"/>
  <c r="B105" i="30"/>
  <c r="M104" i="30"/>
  <c r="G103" i="30"/>
  <c r="F103" i="30"/>
  <c r="E103" i="30"/>
  <c r="D103" i="30"/>
  <c r="C103" i="30"/>
  <c r="B103" i="30"/>
  <c r="H102" i="30"/>
  <c r="M102" i="30" s="1"/>
  <c r="M101" i="30"/>
  <c r="H101" i="30"/>
  <c r="H100" i="30"/>
  <c r="M99" i="30"/>
  <c r="H99" i="30"/>
  <c r="M98" i="30"/>
  <c r="G96" i="30"/>
  <c r="F96" i="30"/>
  <c r="D96" i="30"/>
  <c r="C96" i="30"/>
  <c r="B96" i="30"/>
  <c r="M95" i="30"/>
  <c r="H95" i="30"/>
  <c r="M94" i="30"/>
  <c r="H94" i="30"/>
  <c r="H92" i="30"/>
  <c r="M91" i="30"/>
  <c r="E90" i="30"/>
  <c r="B90" i="30"/>
  <c r="H89" i="30"/>
  <c r="M89" i="30" s="1"/>
  <c r="G88" i="30"/>
  <c r="H88" i="30" s="1"/>
  <c r="G87" i="30"/>
  <c r="G90" i="30" s="1"/>
  <c r="G97" i="30" s="1"/>
  <c r="H86" i="30"/>
  <c r="E86" i="32" s="1"/>
  <c r="F85" i="30"/>
  <c r="F90" i="30" s="1"/>
  <c r="F97" i="30" s="1"/>
  <c r="M81" i="30"/>
  <c r="D80" i="30"/>
  <c r="D79" i="30"/>
  <c r="M78" i="30"/>
  <c r="H78" i="30"/>
  <c r="M76" i="30"/>
  <c r="H76" i="30"/>
  <c r="B76" i="30"/>
  <c r="M73" i="30"/>
  <c r="M72" i="30"/>
  <c r="H72" i="30"/>
  <c r="G72" i="30"/>
  <c r="F72" i="30"/>
  <c r="E72" i="30"/>
  <c r="D72" i="30"/>
  <c r="C72" i="30"/>
  <c r="B72" i="30"/>
  <c r="M71" i="30"/>
  <c r="M66" i="30"/>
  <c r="F63" i="30"/>
  <c r="D63" i="30"/>
  <c r="M62" i="30"/>
  <c r="G61" i="30"/>
  <c r="G64" i="30" s="1"/>
  <c r="F61" i="30"/>
  <c r="F64" i="30" s="1"/>
  <c r="E61" i="30"/>
  <c r="E64" i="30" s="1"/>
  <c r="D61" i="30"/>
  <c r="D64" i="30" s="1"/>
  <c r="C61" i="30"/>
  <c r="C64" i="30" s="1"/>
  <c r="B61" i="30"/>
  <c r="B64" i="30" s="1"/>
  <c r="H60" i="30"/>
  <c r="M60" i="30" s="1"/>
  <c r="H59" i="30"/>
  <c r="E59" i="32" s="1"/>
  <c r="H58" i="30"/>
  <c r="H57" i="30"/>
  <c r="M57" i="31" s="1"/>
  <c r="H56" i="30"/>
  <c r="E56" i="32" s="1"/>
  <c r="H55" i="30"/>
  <c r="E55" i="32" s="1"/>
  <c r="H54" i="30"/>
  <c r="H53" i="30"/>
  <c r="M53" i="31" s="1"/>
  <c r="H52" i="30"/>
  <c r="H51" i="30"/>
  <c r="H50" i="30"/>
  <c r="E50" i="32" s="1"/>
  <c r="H49" i="30"/>
  <c r="M49" i="31" s="1"/>
  <c r="H48" i="30"/>
  <c r="E48" i="32" s="1"/>
  <c r="H47" i="30"/>
  <c r="H46" i="30"/>
  <c r="E46" i="32" s="1"/>
  <c r="H44" i="30"/>
  <c r="E44" i="32" s="1"/>
  <c r="H43" i="30"/>
  <c r="E43" i="32" s="1"/>
  <c r="H42" i="30"/>
  <c r="H41" i="30"/>
  <c r="H40" i="30"/>
  <c r="E40" i="32" s="1"/>
  <c r="H39" i="30"/>
  <c r="M38" i="30"/>
  <c r="H38" i="30"/>
  <c r="G38" i="30"/>
  <c r="F38" i="30"/>
  <c r="E38" i="30"/>
  <c r="D38" i="30"/>
  <c r="C38" i="30"/>
  <c r="B38" i="30"/>
  <c r="M37" i="30"/>
  <c r="G36" i="30"/>
  <c r="G63" i="30" s="1"/>
  <c r="F36" i="30"/>
  <c r="F135" i="30" s="1"/>
  <c r="E36" i="30"/>
  <c r="E63" i="30" s="1"/>
  <c r="D36" i="30"/>
  <c r="D135" i="30" s="1"/>
  <c r="C36" i="30"/>
  <c r="C135" i="30" s="1"/>
  <c r="B36" i="30"/>
  <c r="H35" i="30"/>
  <c r="H34" i="30"/>
  <c r="H33" i="30"/>
  <c r="H32" i="30"/>
  <c r="E32" i="32" s="1"/>
  <c r="H31" i="30"/>
  <c r="E31" i="32" s="1"/>
  <c r="H30" i="30"/>
  <c r="E30" i="32" s="1"/>
  <c r="H29" i="30"/>
  <c r="H28" i="30"/>
  <c r="H27" i="30"/>
  <c r="E27" i="32" s="1"/>
  <c r="M26" i="30"/>
  <c r="H26" i="30"/>
  <c r="G26" i="30"/>
  <c r="F26" i="30"/>
  <c r="E26" i="30"/>
  <c r="D26" i="30"/>
  <c r="C26" i="30"/>
  <c r="B26" i="30"/>
  <c r="M25" i="30"/>
  <c r="H23" i="30"/>
  <c r="M23" i="30" s="1"/>
  <c r="M22" i="30"/>
  <c r="H22" i="30"/>
  <c r="M19" i="30"/>
  <c r="H19" i="30"/>
  <c r="G19" i="30"/>
  <c r="F19" i="30"/>
  <c r="E19" i="30"/>
  <c r="D19" i="30"/>
  <c r="C19" i="30"/>
  <c r="B19" i="30"/>
  <c r="M18" i="30"/>
  <c r="G17" i="30"/>
  <c r="F17" i="30"/>
  <c r="E17" i="30"/>
  <c r="D17" i="30"/>
  <c r="C17" i="30"/>
  <c r="H16" i="30"/>
  <c r="H15" i="30"/>
  <c r="H14" i="30"/>
  <c r="H13" i="30"/>
  <c r="H12" i="30"/>
  <c r="H11" i="30"/>
  <c r="E11" i="32" s="1"/>
  <c r="H10" i="30"/>
  <c r="H9" i="30"/>
  <c r="E9" i="32" s="1"/>
  <c r="H8" i="30"/>
  <c r="H7" i="30"/>
  <c r="H6" i="30"/>
  <c r="E6" i="32" s="1"/>
  <c r="H5" i="30"/>
  <c r="E5" i="32" s="1"/>
  <c r="B3" i="30"/>
  <c r="H3" i="30" s="1"/>
  <c r="M3" i="30" s="1"/>
  <c r="H2" i="30"/>
  <c r="L15" i="5"/>
  <c r="H117" i="29"/>
  <c r="D117" i="32" s="1"/>
  <c r="B213" i="29"/>
  <c r="B201" i="29"/>
  <c r="B201" i="30" s="1"/>
  <c r="B199" i="29"/>
  <c r="B199" i="30" s="1"/>
  <c r="B199" i="31" s="1"/>
  <c r="H199" i="31" s="1"/>
  <c r="M45" i="29"/>
  <c r="H12" i="29"/>
  <c r="B216" i="29"/>
  <c r="H216" i="29" s="1"/>
  <c r="H213" i="29"/>
  <c r="M222" i="29"/>
  <c r="H222" i="29"/>
  <c r="G222" i="29"/>
  <c r="F222" i="29"/>
  <c r="E222" i="29"/>
  <c r="D222" i="29"/>
  <c r="C222" i="29"/>
  <c r="B222" i="29"/>
  <c r="A222" i="29"/>
  <c r="H218" i="29"/>
  <c r="M218" i="29" s="1"/>
  <c r="M217" i="29"/>
  <c r="H217" i="29"/>
  <c r="H215" i="29"/>
  <c r="H214" i="29"/>
  <c r="M212" i="29"/>
  <c r="M210" i="29"/>
  <c r="G209" i="29"/>
  <c r="F209" i="29"/>
  <c r="E209" i="29"/>
  <c r="D209" i="29"/>
  <c r="C209" i="29"/>
  <c r="H208" i="29"/>
  <c r="H207" i="29"/>
  <c r="D207" i="32" s="1"/>
  <c r="H206" i="29"/>
  <c r="H205" i="29"/>
  <c r="D205" i="32" s="1"/>
  <c r="H203" i="29"/>
  <c r="H201" i="29"/>
  <c r="B200" i="29"/>
  <c r="H200" i="29" s="1"/>
  <c r="D200" i="32" s="1"/>
  <c r="H199" i="29"/>
  <c r="M198" i="29"/>
  <c r="H198" i="29"/>
  <c r="G198" i="29"/>
  <c r="F198" i="29"/>
  <c r="E198" i="29"/>
  <c r="D198" i="29"/>
  <c r="C198" i="29"/>
  <c r="B198" i="29"/>
  <c r="F197" i="29"/>
  <c r="C197" i="29"/>
  <c r="H195" i="29"/>
  <c r="H193" i="29"/>
  <c r="H192" i="29"/>
  <c r="H191" i="29"/>
  <c r="D191" i="32" s="1"/>
  <c r="H190" i="29"/>
  <c r="D190" i="32" s="1"/>
  <c r="H189" i="29"/>
  <c r="H188" i="29"/>
  <c r="B186" i="29"/>
  <c r="H186" i="29" s="1"/>
  <c r="H184" i="29"/>
  <c r="H175" i="29"/>
  <c r="H174" i="29"/>
  <c r="M171" i="29"/>
  <c r="H171" i="29"/>
  <c r="G171" i="29"/>
  <c r="F171" i="29"/>
  <c r="E171" i="29"/>
  <c r="D171" i="29"/>
  <c r="C171" i="29"/>
  <c r="B171" i="29"/>
  <c r="F170" i="29"/>
  <c r="E170" i="29"/>
  <c r="D170" i="29"/>
  <c r="H165" i="29"/>
  <c r="H163" i="29"/>
  <c r="B163" i="29"/>
  <c r="H159" i="29"/>
  <c r="H158" i="29"/>
  <c r="H156" i="29"/>
  <c r="M155" i="29"/>
  <c r="H155" i="29"/>
  <c r="G155" i="29"/>
  <c r="F155" i="29"/>
  <c r="E155" i="29"/>
  <c r="D155" i="29"/>
  <c r="C155" i="29"/>
  <c r="B155" i="29"/>
  <c r="G154" i="29"/>
  <c r="F154" i="29"/>
  <c r="E154" i="29"/>
  <c r="D154" i="29"/>
  <c r="H152" i="29"/>
  <c r="H146" i="29"/>
  <c r="H145" i="29"/>
  <c r="M143" i="29"/>
  <c r="H143" i="29"/>
  <c r="G143" i="29"/>
  <c r="F143" i="29"/>
  <c r="E143" i="29"/>
  <c r="D143" i="29"/>
  <c r="C143" i="29"/>
  <c r="B143" i="29"/>
  <c r="H139" i="29"/>
  <c r="H138" i="29"/>
  <c r="H137" i="29"/>
  <c r="D131" i="29"/>
  <c r="H130" i="29"/>
  <c r="D130" i="32" s="1"/>
  <c r="C129" i="29"/>
  <c r="B129" i="29"/>
  <c r="B131" i="29" s="1"/>
  <c r="H128" i="29"/>
  <c r="H127" i="29"/>
  <c r="H126" i="29"/>
  <c r="H125" i="29"/>
  <c r="H124" i="29"/>
  <c r="M122" i="29"/>
  <c r="H120" i="29"/>
  <c r="H119" i="29"/>
  <c r="D119" i="32" s="1"/>
  <c r="Q114" i="29"/>
  <c r="M106" i="29"/>
  <c r="M105" i="29"/>
  <c r="H105" i="29"/>
  <c r="G105" i="29"/>
  <c r="F105" i="29"/>
  <c r="E105" i="29"/>
  <c r="D105" i="29"/>
  <c r="C105" i="29"/>
  <c r="B105" i="29"/>
  <c r="M104" i="29"/>
  <c r="G103" i="29"/>
  <c r="F103" i="29"/>
  <c r="E103" i="29"/>
  <c r="D103" i="29"/>
  <c r="C103" i="29"/>
  <c r="B103" i="29"/>
  <c r="H102" i="29"/>
  <c r="H101" i="29"/>
  <c r="H100" i="29"/>
  <c r="H99" i="29"/>
  <c r="M98" i="29"/>
  <c r="G96" i="29"/>
  <c r="F96" i="29"/>
  <c r="D96" i="29"/>
  <c r="C96" i="29"/>
  <c r="B96" i="29"/>
  <c r="H95" i="29"/>
  <c r="H94" i="29"/>
  <c r="H92" i="29"/>
  <c r="M91" i="29"/>
  <c r="G90" i="29"/>
  <c r="G97" i="29" s="1"/>
  <c r="E90" i="29"/>
  <c r="B90" i="29"/>
  <c r="H89" i="29"/>
  <c r="G88" i="29"/>
  <c r="H88" i="29" s="1"/>
  <c r="H87" i="29"/>
  <c r="G87" i="29"/>
  <c r="G169" i="29" s="1"/>
  <c r="H86" i="29"/>
  <c r="F85" i="29"/>
  <c r="H85" i="29" s="1"/>
  <c r="M81" i="29"/>
  <c r="D79" i="29"/>
  <c r="D80" i="29" s="1"/>
  <c r="H78" i="29"/>
  <c r="B76" i="29"/>
  <c r="H76" i="29" s="1"/>
  <c r="M73" i="29"/>
  <c r="M72" i="29"/>
  <c r="H72" i="29"/>
  <c r="G72" i="29"/>
  <c r="F72" i="29"/>
  <c r="E72" i="29"/>
  <c r="D72" i="29"/>
  <c r="C72" i="29"/>
  <c r="B72" i="29"/>
  <c r="M71" i="29"/>
  <c r="M66" i="29"/>
  <c r="G64" i="29"/>
  <c r="F64" i="29"/>
  <c r="G63" i="29"/>
  <c r="F63" i="29"/>
  <c r="M62" i="29"/>
  <c r="G61" i="29"/>
  <c r="F61" i="29"/>
  <c r="E61" i="29"/>
  <c r="E64" i="29" s="1"/>
  <c r="D61" i="29"/>
  <c r="D64" i="29" s="1"/>
  <c r="C61" i="29"/>
  <c r="C64" i="29" s="1"/>
  <c r="B61" i="29"/>
  <c r="B64" i="29" s="1"/>
  <c r="H60" i="29"/>
  <c r="H59" i="29"/>
  <c r="D59" i="32" s="1"/>
  <c r="H58" i="29"/>
  <c r="D58" i="32" s="1"/>
  <c r="H57" i="29"/>
  <c r="D57" i="32" s="1"/>
  <c r="H56" i="29"/>
  <c r="H55" i="29"/>
  <c r="D55" i="32" s="1"/>
  <c r="H54" i="29"/>
  <c r="D54" i="32" s="1"/>
  <c r="H53" i="29"/>
  <c r="H52" i="29"/>
  <c r="H51" i="29"/>
  <c r="D51" i="32" s="1"/>
  <c r="H50" i="29"/>
  <c r="H49" i="29"/>
  <c r="D49" i="32" s="1"/>
  <c r="H48" i="29"/>
  <c r="H47" i="29"/>
  <c r="H46" i="29"/>
  <c r="H44" i="29"/>
  <c r="M44" i="30" s="1"/>
  <c r="H43" i="29"/>
  <c r="D43" i="32" s="1"/>
  <c r="H42" i="29"/>
  <c r="D42" i="32" s="1"/>
  <c r="H41" i="29"/>
  <c r="M41" i="30" s="1"/>
  <c r="H40" i="29"/>
  <c r="M40" i="30" s="1"/>
  <c r="H39" i="29"/>
  <c r="D39" i="32" s="1"/>
  <c r="M38" i="29"/>
  <c r="H38" i="29"/>
  <c r="G38" i="29"/>
  <c r="F38" i="29"/>
  <c r="E38" i="29"/>
  <c r="D38" i="29"/>
  <c r="C38" i="29"/>
  <c r="B38" i="29"/>
  <c r="M37" i="29"/>
  <c r="G36" i="29"/>
  <c r="G135" i="29" s="1"/>
  <c r="F36" i="29"/>
  <c r="F140" i="29" s="1"/>
  <c r="E36" i="29"/>
  <c r="E135" i="29" s="1"/>
  <c r="D36" i="29"/>
  <c r="D135" i="29" s="1"/>
  <c r="C36" i="29"/>
  <c r="C135" i="29" s="1"/>
  <c r="B36" i="29"/>
  <c r="B114" i="29" s="1"/>
  <c r="H35" i="29"/>
  <c r="H34" i="29"/>
  <c r="D34" i="32" s="1"/>
  <c r="H33" i="29"/>
  <c r="D33" i="32" s="1"/>
  <c r="H32" i="29"/>
  <c r="H31" i="29"/>
  <c r="D31" i="32" s="1"/>
  <c r="H30" i="29"/>
  <c r="D30" i="32" s="1"/>
  <c r="H29" i="29"/>
  <c r="H28" i="29"/>
  <c r="H27" i="29"/>
  <c r="M26" i="29"/>
  <c r="H26" i="29"/>
  <c r="G26" i="29"/>
  <c r="F26" i="29"/>
  <c r="E26" i="29"/>
  <c r="D26" i="29"/>
  <c r="C26" i="29"/>
  <c r="B26" i="29"/>
  <c r="M25" i="29"/>
  <c r="H23" i="29"/>
  <c r="H22" i="29"/>
  <c r="M19" i="29"/>
  <c r="H19" i="29"/>
  <c r="G19" i="29"/>
  <c r="F19" i="29"/>
  <c r="E19" i="29"/>
  <c r="D19" i="29"/>
  <c r="C19" i="29"/>
  <c r="B19" i="29"/>
  <c r="M18" i="29"/>
  <c r="G17" i="29"/>
  <c r="F17" i="29"/>
  <c r="E17" i="29"/>
  <c r="D17" i="29"/>
  <c r="C17" i="29"/>
  <c r="B17" i="29"/>
  <c r="H16" i="29"/>
  <c r="H15" i="29"/>
  <c r="D15" i="32" s="1"/>
  <c r="H14" i="29"/>
  <c r="D14" i="32" s="1"/>
  <c r="H13" i="29"/>
  <c r="H11" i="29"/>
  <c r="D11" i="32" s="1"/>
  <c r="H10" i="29"/>
  <c r="I10" i="29" s="1"/>
  <c r="H9" i="29"/>
  <c r="H8" i="29"/>
  <c r="H7" i="29"/>
  <c r="D7" i="32" s="1"/>
  <c r="H6" i="29"/>
  <c r="D6" i="32" s="1"/>
  <c r="H5" i="29"/>
  <c r="D5" i="32" s="1"/>
  <c r="H4" i="29"/>
  <c r="D4" i="32" s="1"/>
  <c r="B180" i="27"/>
  <c r="B180" i="29" s="1"/>
  <c r="B181" i="27"/>
  <c r="B181" i="29" s="1"/>
  <c r="H181" i="29" s="1"/>
  <c r="B179" i="27"/>
  <c r="B179" i="29" s="1"/>
  <c r="H179" i="29" s="1"/>
  <c r="L14" i="5"/>
  <c r="B204" i="27"/>
  <c r="B204" i="29" s="1"/>
  <c r="H204" i="29" s="1"/>
  <c r="D204" i="32" s="1"/>
  <c r="B202" i="27"/>
  <c r="B202" i="29" s="1"/>
  <c r="B201" i="27"/>
  <c r="B199" i="27"/>
  <c r="B213" i="27"/>
  <c r="E49" i="32" l="1"/>
  <c r="E57" i="32"/>
  <c r="G65" i="30"/>
  <c r="G136" i="30" s="1"/>
  <c r="E53" i="32"/>
  <c r="F13" i="32"/>
  <c r="E12" i="32"/>
  <c r="D13" i="32"/>
  <c r="B63" i="30"/>
  <c r="B65" i="30" s="1"/>
  <c r="B136" i="30" s="1"/>
  <c r="B114" i="30"/>
  <c r="E120" i="32"/>
  <c r="C115" i="29"/>
  <c r="H115" i="29" s="1"/>
  <c r="M130" i="30"/>
  <c r="B140" i="31"/>
  <c r="H140" i="31" s="1"/>
  <c r="B114" i="31"/>
  <c r="H114" i="31" s="1"/>
  <c r="F114" i="32" s="1"/>
  <c r="M30" i="31"/>
  <c r="E2" i="32"/>
  <c r="M2" i="31"/>
  <c r="M41" i="31"/>
  <c r="H118" i="31"/>
  <c r="F118" i="32" s="1"/>
  <c r="H129" i="31"/>
  <c r="F129" i="32" s="1"/>
  <c r="E58" i="32"/>
  <c r="E54" i="32"/>
  <c r="E42" i="32"/>
  <c r="H129" i="30"/>
  <c r="M58" i="31"/>
  <c r="E41" i="32"/>
  <c r="M39" i="30"/>
  <c r="M59" i="31"/>
  <c r="E52" i="32"/>
  <c r="E130" i="32"/>
  <c r="D65" i="30"/>
  <c r="D136" i="30" s="1"/>
  <c r="M55" i="31"/>
  <c r="E47" i="32"/>
  <c r="F65" i="30"/>
  <c r="F136" i="30" s="1"/>
  <c r="M52" i="31"/>
  <c r="M40" i="31"/>
  <c r="E65" i="30"/>
  <c r="E136" i="30" s="1"/>
  <c r="E51" i="32"/>
  <c r="M42" i="31"/>
  <c r="M130" i="31"/>
  <c r="M43" i="31"/>
  <c r="M54" i="31"/>
  <c r="M56" i="30"/>
  <c r="D56" i="32"/>
  <c r="D53" i="32"/>
  <c r="D50" i="32"/>
  <c r="D46" i="32"/>
  <c r="M46" i="30"/>
  <c r="M58" i="30"/>
  <c r="M43" i="30"/>
  <c r="D40" i="32"/>
  <c r="M42" i="30"/>
  <c r="D52" i="32"/>
  <c r="H129" i="29"/>
  <c r="M119" i="30"/>
  <c r="M55" i="30"/>
  <c r="F65" i="29"/>
  <c r="F136" i="29" s="1"/>
  <c r="M52" i="30"/>
  <c r="M51" i="30"/>
  <c r="M54" i="30"/>
  <c r="G65" i="29"/>
  <c r="G136" i="29" s="1"/>
  <c r="M53" i="30"/>
  <c r="D47" i="32"/>
  <c r="D32" i="32"/>
  <c r="M31" i="30"/>
  <c r="M30" i="30"/>
  <c r="M32" i="30"/>
  <c r="M33" i="30"/>
  <c r="D27" i="32"/>
  <c r="F4" i="32"/>
  <c r="F5" i="32"/>
  <c r="M16" i="31"/>
  <c r="F16" i="32"/>
  <c r="F7" i="32"/>
  <c r="E16" i="32"/>
  <c r="M11" i="31"/>
  <c r="E8" i="32"/>
  <c r="E15" i="32"/>
  <c r="E7" i="32"/>
  <c r="M7" i="31"/>
  <c r="M5" i="31"/>
  <c r="E14" i="32"/>
  <c r="E10" i="32"/>
  <c r="M9" i="30"/>
  <c r="M8" i="31"/>
  <c r="E13" i="32"/>
  <c r="M10" i="30"/>
  <c r="D12" i="32"/>
  <c r="D9" i="32"/>
  <c r="D183" i="29"/>
  <c r="H183" i="29" s="1"/>
  <c r="B187" i="29"/>
  <c r="H187" i="29" s="1"/>
  <c r="M14" i="30"/>
  <c r="M13" i="30"/>
  <c r="M11" i="30"/>
  <c r="D8" i="32"/>
  <c r="M7" i="30"/>
  <c r="D10" i="32"/>
  <c r="F28" i="32"/>
  <c r="F36" i="32" s="1"/>
  <c r="F63" i="32" s="1"/>
  <c r="C115" i="31"/>
  <c r="C63" i="30"/>
  <c r="C65" i="30" s="1"/>
  <c r="C136" i="30" s="1"/>
  <c r="C140" i="30"/>
  <c r="H115" i="30"/>
  <c r="E28" i="32"/>
  <c r="E36" i="32" s="1"/>
  <c r="E63" i="32" s="1"/>
  <c r="M28" i="30"/>
  <c r="D28" i="32"/>
  <c r="B180" i="30"/>
  <c r="H180" i="30" s="1"/>
  <c r="H180" i="29"/>
  <c r="B162" i="30"/>
  <c r="H162" i="29"/>
  <c r="D162" i="32" s="1"/>
  <c r="B176" i="30"/>
  <c r="B176" i="31" s="1"/>
  <c r="H176" i="31" s="1"/>
  <c r="F176" i="32" s="1"/>
  <c r="H176" i="29"/>
  <c r="B61" i="32"/>
  <c r="B64" i="32" s="1"/>
  <c r="B36" i="32"/>
  <c r="B103" i="32"/>
  <c r="M146" i="31"/>
  <c r="M100" i="31"/>
  <c r="E100" i="32"/>
  <c r="E103" i="32" s="1"/>
  <c r="M191" i="30"/>
  <c r="H202" i="29"/>
  <c r="D202" i="32" s="1"/>
  <c r="B202" i="30"/>
  <c r="H202" i="30" s="1"/>
  <c r="H173" i="29"/>
  <c r="D173" i="32" s="1"/>
  <c r="M180" i="30"/>
  <c r="E180" i="32"/>
  <c r="D181" i="32"/>
  <c r="F199" i="32"/>
  <c r="H201" i="30"/>
  <c r="B201" i="31"/>
  <c r="H201" i="31" s="1"/>
  <c r="E202" i="32"/>
  <c r="H176" i="30"/>
  <c r="E176" i="32" s="1"/>
  <c r="B162" i="31"/>
  <c r="H162" i="31" s="1"/>
  <c r="F162" i="32" s="1"/>
  <c r="H162" i="30"/>
  <c r="E162" i="32" s="1"/>
  <c r="B180" i="31"/>
  <c r="H180" i="31" s="1"/>
  <c r="D180" i="32"/>
  <c r="D201" i="32"/>
  <c r="M200" i="30"/>
  <c r="M202" i="30"/>
  <c r="B204" i="30"/>
  <c r="D176" i="32"/>
  <c r="B179" i="30"/>
  <c r="D179" i="32"/>
  <c r="B181" i="30"/>
  <c r="D199" i="32"/>
  <c r="E156" i="32"/>
  <c r="D156" i="32"/>
  <c r="E207" i="32"/>
  <c r="M207" i="30"/>
  <c r="M189" i="31"/>
  <c r="M189" i="30"/>
  <c r="D189" i="32"/>
  <c r="E190" i="32"/>
  <c r="M190" i="30"/>
  <c r="H61" i="31"/>
  <c r="H64" i="31" s="1"/>
  <c r="M48" i="31"/>
  <c r="E117" i="32"/>
  <c r="H61" i="30"/>
  <c r="H64" i="30" s="1"/>
  <c r="D48" i="32"/>
  <c r="M48" i="30"/>
  <c r="H115" i="31"/>
  <c r="F115" i="32" s="1"/>
  <c r="M28" i="31"/>
  <c r="H36" i="31"/>
  <c r="H63" i="31" s="1"/>
  <c r="B135" i="31"/>
  <c r="M86" i="31"/>
  <c r="M86" i="30"/>
  <c r="D86" i="32"/>
  <c r="M137" i="31"/>
  <c r="D137" i="32"/>
  <c r="M137" i="30"/>
  <c r="M152" i="30"/>
  <c r="D146" i="32"/>
  <c r="D100" i="32"/>
  <c r="D103" i="32" s="1"/>
  <c r="H103" i="29"/>
  <c r="M191" i="31"/>
  <c r="B177" i="30"/>
  <c r="H177" i="30" s="1"/>
  <c r="M177" i="30" s="1"/>
  <c r="H177" i="29"/>
  <c r="B172" i="30"/>
  <c r="B172" i="31" s="1"/>
  <c r="H172" i="31" s="1"/>
  <c r="F172" i="32" s="1"/>
  <c r="H172" i="29"/>
  <c r="B173" i="31"/>
  <c r="H173" i="31" s="1"/>
  <c r="F173" i="32" s="1"/>
  <c r="H173" i="30"/>
  <c r="H177" i="31"/>
  <c r="F177" i="32" s="1"/>
  <c r="M208" i="31"/>
  <c r="D208" i="32"/>
  <c r="M208" i="30"/>
  <c r="M205" i="30"/>
  <c r="B96" i="32"/>
  <c r="E61" i="32"/>
  <c r="E64" i="32" s="1"/>
  <c r="F61" i="32"/>
  <c r="F64" i="32" s="1"/>
  <c r="B121" i="32"/>
  <c r="B63" i="32"/>
  <c r="B65" i="32" s="1"/>
  <c r="D3" i="32"/>
  <c r="B3" i="32"/>
  <c r="B17" i="32"/>
  <c r="B131" i="32"/>
  <c r="B209" i="32"/>
  <c r="M117" i="31"/>
  <c r="M119" i="31"/>
  <c r="H118" i="30"/>
  <c r="M207" i="31"/>
  <c r="M186" i="31"/>
  <c r="M152" i="31"/>
  <c r="M138" i="31"/>
  <c r="M139" i="31"/>
  <c r="M127" i="31"/>
  <c r="M128" i="31"/>
  <c r="M102" i="31"/>
  <c r="M87" i="31"/>
  <c r="M50" i="31"/>
  <c r="M51" i="31"/>
  <c r="M44" i="31"/>
  <c r="M46" i="31"/>
  <c r="M56" i="31"/>
  <c r="M47" i="31"/>
  <c r="M34" i="31"/>
  <c r="M35" i="31"/>
  <c r="M33" i="31"/>
  <c r="M14" i="31"/>
  <c r="M10" i="31"/>
  <c r="B17" i="31"/>
  <c r="B148" i="31" s="1"/>
  <c r="H148" i="31" s="1"/>
  <c r="F148" i="32" s="1"/>
  <c r="B74" i="31"/>
  <c r="B196" i="31" s="1"/>
  <c r="M213" i="31"/>
  <c r="M12" i="31"/>
  <c r="G170" i="31"/>
  <c r="H169" i="31"/>
  <c r="M169" i="31" s="1"/>
  <c r="M9" i="31"/>
  <c r="M13" i="31"/>
  <c r="H185" i="31"/>
  <c r="M185" i="31" s="1"/>
  <c r="G197" i="31"/>
  <c r="M6" i="31"/>
  <c r="H15" i="31"/>
  <c r="I27" i="31"/>
  <c r="F90" i="31"/>
  <c r="F97" i="31" s="1"/>
  <c r="C135" i="31"/>
  <c r="H156" i="31"/>
  <c r="F156" i="32" s="1"/>
  <c r="M39" i="31"/>
  <c r="M27" i="31"/>
  <c r="B63" i="31"/>
  <c r="B65" i="31" s="1"/>
  <c r="B136" i="31" s="1"/>
  <c r="H88" i="31"/>
  <c r="M88" i="31" s="1"/>
  <c r="E135" i="31"/>
  <c r="C63" i="31"/>
  <c r="C65" i="31" s="1"/>
  <c r="C136" i="31" s="1"/>
  <c r="F135" i="31"/>
  <c r="D63" i="31"/>
  <c r="D65" i="31" s="1"/>
  <c r="D136" i="31" s="1"/>
  <c r="G135" i="31"/>
  <c r="E63" i="31"/>
  <c r="E65" i="31" s="1"/>
  <c r="E136" i="31" s="1"/>
  <c r="F63" i="31"/>
  <c r="F65" i="31" s="1"/>
  <c r="F136" i="31" s="1"/>
  <c r="H103" i="31"/>
  <c r="B209" i="30"/>
  <c r="M184" i="30"/>
  <c r="M165" i="30"/>
  <c r="M156" i="30"/>
  <c r="M139" i="30"/>
  <c r="M117" i="30"/>
  <c r="M88" i="30"/>
  <c r="M50" i="30"/>
  <c r="M47" i="30"/>
  <c r="M59" i="30"/>
  <c r="M49" i="30"/>
  <c r="M57" i="30"/>
  <c r="M29" i="30"/>
  <c r="M35" i="30"/>
  <c r="M34" i="30"/>
  <c r="M27" i="30"/>
  <c r="M16" i="30"/>
  <c r="M5" i="30"/>
  <c r="M6" i="30"/>
  <c r="M15" i="30"/>
  <c r="M213" i="30"/>
  <c r="M8" i="30"/>
  <c r="M12" i="30"/>
  <c r="B74" i="30"/>
  <c r="H85" i="30"/>
  <c r="M85" i="30" s="1"/>
  <c r="M92" i="30"/>
  <c r="G140" i="30"/>
  <c r="H185" i="30"/>
  <c r="M185" i="30" s="1"/>
  <c r="H4" i="30"/>
  <c r="H114" i="30"/>
  <c r="G169" i="30"/>
  <c r="B17" i="30"/>
  <c r="H36" i="30"/>
  <c r="H103" i="30"/>
  <c r="H87" i="30"/>
  <c r="M87" i="30" s="1"/>
  <c r="I27" i="30"/>
  <c r="B140" i="30"/>
  <c r="B135" i="30"/>
  <c r="H135" i="30" s="1"/>
  <c r="D140" i="30"/>
  <c r="H199" i="30"/>
  <c r="H118" i="29"/>
  <c r="H114" i="29"/>
  <c r="B209" i="29"/>
  <c r="C63" i="29"/>
  <c r="C65" i="29" s="1"/>
  <c r="C136" i="29" s="1"/>
  <c r="H61" i="29"/>
  <c r="H64" i="29" s="1"/>
  <c r="H36" i="29"/>
  <c r="H63" i="29" s="1"/>
  <c r="B135" i="29"/>
  <c r="B140" i="29"/>
  <c r="B63" i="29"/>
  <c r="B65" i="29" s="1"/>
  <c r="B136" i="29" s="1"/>
  <c r="C157" i="29"/>
  <c r="H157" i="29" s="1"/>
  <c r="G170" i="29"/>
  <c r="H169" i="29"/>
  <c r="H17" i="29"/>
  <c r="M17" i="29" s="1"/>
  <c r="H209" i="29"/>
  <c r="F135" i="29"/>
  <c r="G140" i="29"/>
  <c r="D83" i="29"/>
  <c r="F90" i="29"/>
  <c r="F97" i="29" s="1"/>
  <c r="B148" i="29"/>
  <c r="H148" i="29" s="1"/>
  <c r="D63" i="29"/>
  <c r="D65" i="29" s="1"/>
  <c r="D136" i="29" s="1"/>
  <c r="D84" i="29"/>
  <c r="H84" i="29" s="1"/>
  <c r="B149" i="29"/>
  <c r="H149" i="29" s="1"/>
  <c r="B153" i="29"/>
  <c r="H153" i="29" s="1"/>
  <c r="G185" i="29"/>
  <c r="B144" i="29"/>
  <c r="E63" i="29"/>
  <c r="E65" i="29" s="1"/>
  <c r="E136" i="29" s="1"/>
  <c r="B150" i="29"/>
  <c r="H150" i="29" s="1"/>
  <c r="H2" i="29"/>
  <c r="C140" i="29"/>
  <c r="B178" i="29"/>
  <c r="H178" i="29" s="1"/>
  <c r="D182" i="29"/>
  <c r="D140" i="29"/>
  <c r="B164" i="29"/>
  <c r="H164" i="29" s="1"/>
  <c r="B3" i="29"/>
  <c r="H3" i="29" s="1"/>
  <c r="M3" i="29" s="1"/>
  <c r="I27" i="29"/>
  <c r="E140" i="29"/>
  <c r="B147" i="29"/>
  <c r="H147" i="29" s="1"/>
  <c r="M118" i="31" l="1"/>
  <c r="F15" i="32"/>
  <c r="F17" i="32" s="1"/>
  <c r="B164" i="31"/>
  <c r="H164" i="31" s="1"/>
  <c r="F164" i="32" s="1"/>
  <c r="D36" i="32"/>
  <c r="D63" i="32" s="1"/>
  <c r="D115" i="32"/>
  <c r="E114" i="32"/>
  <c r="M2" i="30"/>
  <c r="D2" i="32"/>
  <c r="M129" i="31"/>
  <c r="E129" i="32"/>
  <c r="E65" i="32"/>
  <c r="D118" i="32"/>
  <c r="M118" i="30"/>
  <c r="D129" i="32"/>
  <c r="M129" i="30"/>
  <c r="D61" i="32"/>
  <c r="D64" i="32" s="1"/>
  <c r="B168" i="31"/>
  <c r="H168" i="31" s="1"/>
  <c r="F168" i="32" s="1"/>
  <c r="H196" i="31"/>
  <c r="F196" i="32" s="1"/>
  <c r="D182" i="31"/>
  <c r="B187" i="31"/>
  <c r="H187" i="31" s="1"/>
  <c r="F187" i="32" s="1"/>
  <c r="H160" i="31"/>
  <c r="F160" i="32" s="1"/>
  <c r="F3" i="32"/>
  <c r="H17" i="31"/>
  <c r="M17" i="31" s="1"/>
  <c r="B147" i="31"/>
  <c r="H147" i="31" s="1"/>
  <c r="F147" i="32" s="1"/>
  <c r="D83" i="31"/>
  <c r="H83" i="31" s="1"/>
  <c r="F83" i="32" s="1"/>
  <c r="E4" i="32"/>
  <c r="E17" i="32" s="1"/>
  <c r="M4" i="31"/>
  <c r="B187" i="30"/>
  <c r="H187" i="30" s="1"/>
  <c r="M187" i="30" s="1"/>
  <c r="D17" i="32"/>
  <c r="D84" i="32"/>
  <c r="D183" i="32"/>
  <c r="D149" i="32"/>
  <c r="D148" i="32"/>
  <c r="D150" i="32"/>
  <c r="D164" i="32"/>
  <c r="D147" i="32"/>
  <c r="D157" i="32"/>
  <c r="I17" i="29"/>
  <c r="D153" i="32"/>
  <c r="E115" i="32"/>
  <c r="M115" i="30"/>
  <c r="H136" i="30"/>
  <c r="E136" i="32" s="1"/>
  <c r="M162" i="30"/>
  <c r="M176" i="30"/>
  <c r="D209" i="32"/>
  <c r="M100" i="30"/>
  <c r="M162" i="31"/>
  <c r="M176" i="31"/>
  <c r="M173" i="30"/>
  <c r="B202" i="31"/>
  <c r="H202" i="31" s="1"/>
  <c r="F202" i="32" s="1"/>
  <c r="F201" i="32"/>
  <c r="H181" i="30"/>
  <c r="B181" i="31"/>
  <c r="H181" i="31" s="1"/>
  <c r="M201" i="30"/>
  <c r="M201" i="31"/>
  <c r="E201" i="32"/>
  <c r="M180" i="31"/>
  <c r="F180" i="32"/>
  <c r="M202" i="31"/>
  <c r="H179" i="30"/>
  <c r="B179" i="31"/>
  <c r="H179" i="31" s="1"/>
  <c r="H204" i="30"/>
  <c r="H209" i="30" s="1"/>
  <c r="M209" i="30" s="1"/>
  <c r="B204" i="31"/>
  <c r="H204" i="31" s="1"/>
  <c r="H209" i="31" s="1"/>
  <c r="D178" i="32"/>
  <c r="E199" i="32"/>
  <c r="M114" i="30"/>
  <c r="D114" i="32"/>
  <c r="D187" i="32"/>
  <c r="H135" i="31"/>
  <c r="F135" i="32" s="1"/>
  <c r="F65" i="32"/>
  <c r="H135" i="29"/>
  <c r="D65" i="32"/>
  <c r="M115" i="31"/>
  <c r="M36" i="31"/>
  <c r="M114" i="31"/>
  <c r="F140" i="32"/>
  <c r="E135" i="32"/>
  <c r="E118" i="32"/>
  <c r="M146" i="30"/>
  <c r="M103" i="30"/>
  <c r="D177" i="32"/>
  <c r="H172" i="30"/>
  <c r="M172" i="30" s="1"/>
  <c r="D172" i="32"/>
  <c r="M173" i="31"/>
  <c r="E173" i="32"/>
  <c r="E177" i="32"/>
  <c r="M177" i="31"/>
  <c r="B132" i="32"/>
  <c r="B197" i="32"/>
  <c r="B154" i="32"/>
  <c r="M103" i="31"/>
  <c r="M64" i="31"/>
  <c r="M61" i="31"/>
  <c r="D183" i="31"/>
  <c r="H183" i="31" s="1"/>
  <c r="F183" i="32" s="1"/>
  <c r="B77" i="31"/>
  <c r="H77" i="31" s="1"/>
  <c r="B153" i="31"/>
  <c r="H153" i="31" s="1"/>
  <c r="F153" i="32" s="1"/>
  <c r="H74" i="31"/>
  <c r="F74" i="32" s="1"/>
  <c r="B144" i="31"/>
  <c r="B149" i="31"/>
  <c r="H149" i="31" s="1"/>
  <c r="F149" i="32" s="1"/>
  <c r="B150" i="31"/>
  <c r="H150" i="31" s="1"/>
  <c r="F150" i="32" s="1"/>
  <c r="B178" i="31"/>
  <c r="H178" i="31" s="1"/>
  <c r="F178" i="32" s="1"/>
  <c r="B167" i="31"/>
  <c r="H167" i="31" s="1"/>
  <c r="F167" i="32" s="1"/>
  <c r="D84" i="31"/>
  <c r="H84" i="31" s="1"/>
  <c r="F84" i="32" s="1"/>
  <c r="C157" i="31"/>
  <c r="C170" i="31" s="1"/>
  <c r="H136" i="31"/>
  <c r="M63" i="31"/>
  <c r="H65" i="31"/>
  <c r="H157" i="31"/>
  <c r="F157" i="32" s="1"/>
  <c r="H182" i="31"/>
  <c r="F182" i="32" s="1"/>
  <c r="H24" i="31"/>
  <c r="M15" i="31"/>
  <c r="I17" i="31"/>
  <c r="H21" i="31"/>
  <c r="B75" i="31"/>
  <c r="M156" i="31"/>
  <c r="M64" i="30"/>
  <c r="M61" i="30"/>
  <c r="H136" i="29"/>
  <c r="H140" i="30"/>
  <c r="H169" i="30"/>
  <c r="M169" i="30" s="1"/>
  <c r="G170" i="30"/>
  <c r="B167" i="30"/>
  <c r="H167" i="30" s="1"/>
  <c r="B168" i="30"/>
  <c r="H168" i="30" s="1"/>
  <c r="H74" i="30"/>
  <c r="B196" i="30"/>
  <c r="H196" i="30" s="1"/>
  <c r="B150" i="30"/>
  <c r="H150" i="30" s="1"/>
  <c r="D84" i="30"/>
  <c r="H84" i="30" s="1"/>
  <c r="C157" i="30"/>
  <c r="B153" i="30"/>
  <c r="H153" i="30" s="1"/>
  <c r="B149" i="30"/>
  <c r="H149" i="30" s="1"/>
  <c r="D183" i="30"/>
  <c r="H183" i="30" s="1"/>
  <c r="B144" i="30"/>
  <c r="D83" i="30"/>
  <c r="B148" i="30"/>
  <c r="H148" i="30" s="1"/>
  <c r="B147" i="30"/>
  <c r="H147" i="30" s="1"/>
  <c r="D182" i="30"/>
  <c r="B178" i="30"/>
  <c r="B164" i="30"/>
  <c r="H164" i="30" s="1"/>
  <c r="H17" i="30"/>
  <c r="M17" i="30" s="1"/>
  <c r="M4" i="30"/>
  <c r="I17" i="30"/>
  <c r="H63" i="30"/>
  <c r="M199" i="30"/>
  <c r="H140" i="29"/>
  <c r="C170" i="29"/>
  <c r="H160" i="29"/>
  <c r="B154" i="29"/>
  <c r="H144" i="29"/>
  <c r="H24" i="29"/>
  <c r="B77" i="29"/>
  <c r="H77" i="29" s="1"/>
  <c r="H185" i="29"/>
  <c r="G197" i="29"/>
  <c r="D90" i="29"/>
  <c r="D97" i="29" s="1"/>
  <c r="H83" i="29"/>
  <c r="B74" i="29"/>
  <c r="B196" i="29" s="1"/>
  <c r="D197" i="29"/>
  <c r="H182" i="29"/>
  <c r="H21" i="29"/>
  <c r="B75" i="29"/>
  <c r="H75" i="29" s="1"/>
  <c r="H65" i="29"/>
  <c r="B161" i="29" s="1"/>
  <c r="H161" i="29" s="1"/>
  <c r="D197" i="31" l="1"/>
  <c r="M36" i="30"/>
  <c r="M135" i="31"/>
  <c r="B154" i="31"/>
  <c r="L196" i="32"/>
  <c r="M164" i="30"/>
  <c r="M164" i="31"/>
  <c r="E164" i="32"/>
  <c r="M150" i="31"/>
  <c r="E150" i="32"/>
  <c r="E196" i="32"/>
  <c r="M196" i="31"/>
  <c r="E167" i="32"/>
  <c r="M167" i="31"/>
  <c r="M187" i="31"/>
  <c r="E187" i="32"/>
  <c r="M147" i="30"/>
  <c r="M147" i="31"/>
  <c r="E147" i="32"/>
  <c r="E74" i="32"/>
  <c r="M74" i="31"/>
  <c r="E149" i="32"/>
  <c r="M149" i="31"/>
  <c r="E3" i="32"/>
  <c r="M168" i="31"/>
  <c r="E168" i="32"/>
  <c r="E183" i="32"/>
  <c r="M183" i="31"/>
  <c r="E148" i="32"/>
  <c r="M148" i="31"/>
  <c r="E153" i="32"/>
  <c r="M153" i="31"/>
  <c r="M84" i="31"/>
  <c r="E84" i="32"/>
  <c r="M183" i="30"/>
  <c r="M149" i="30"/>
  <c r="M84" i="30"/>
  <c r="M153" i="30"/>
  <c r="D144" i="32"/>
  <c r="M150" i="30"/>
  <c r="M148" i="30"/>
  <c r="D182" i="32"/>
  <c r="D83" i="32"/>
  <c r="M65" i="31"/>
  <c r="B161" i="31"/>
  <c r="H161" i="31" s="1"/>
  <c r="F161" i="32" s="1"/>
  <c r="M140" i="31"/>
  <c r="E140" i="32"/>
  <c r="D161" i="32"/>
  <c r="M140" i="30"/>
  <c r="D140" i="32"/>
  <c r="M199" i="31"/>
  <c r="M181" i="30"/>
  <c r="E181" i="32"/>
  <c r="M181" i="31"/>
  <c r="B209" i="31"/>
  <c r="F204" i="32"/>
  <c r="F209" i="32" s="1"/>
  <c r="F181" i="32"/>
  <c r="B197" i="31"/>
  <c r="E172" i="32"/>
  <c r="M204" i="30"/>
  <c r="E204" i="32"/>
  <c r="E209" i="32" s="1"/>
  <c r="M204" i="31"/>
  <c r="F179" i="32"/>
  <c r="M179" i="30"/>
  <c r="E179" i="32"/>
  <c r="D160" i="32"/>
  <c r="D77" i="32"/>
  <c r="F77" i="32"/>
  <c r="D24" i="32"/>
  <c r="F24" i="32"/>
  <c r="D21" i="32"/>
  <c r="D75" i="32"/>
  <c r="F21" i="32"/>
  <c r="D136" i="32"/>
  <c r="M136" i="30"/>
  <c r="M135" i="30"/>
  <c r="D135" i="32"/>
  <c r="M136" i="31"/>
  <c r="F136" i="32"/>
  <c r="M172" i="31"/>
  <c r="B68" i="32"/>
  <c r="B69" i="32"/>
  <c r="B80" i="32"/>
  <c r="H144" i="31"/>
  <c r="F144" i="32" s="1"/>
  <c r="D90" i="31"/>
  <c r="D97" i="31" s="1"/>
  <c r="H75" i="31"/>
  <c r="F75" i="32" s="1"/>
  <c r="B80" i="31"/>
  <c r="B97" i="31" s="1"/>
  <c r="B166" i="31"/>
  <c r="H21" i="30"/>
  <c r="B75" i="30"/>
  <c r="B154" i="30"/>
  <c r="H144" i="30"/>
  <c r="B77" i="30"/>
  <c r="H77" i="30" s="1"/>
  <c r="H24" i="30"/>
  <c r="C170" i="30"/>
  <c r="H157" i="30"/>
  <c r="D197" i="30"/>
  <c r="H182" i="30"/>
  <c r="H83" i="30"/>
  <c r="D90" i="30"/>
  <c r="D97" i="30" s="1"/>
  <c r="H160" i="30"/>
  <c r="H65" i="30"/>
  <c r="M63" i="30"/>
  <c r="H178" i="30"/>
  <c r="B197" i="30"/>
  <c r="H74" i="29"/>
  <c r="B168" i="29"/>
  <c r="H168" i="29" s="1"/>
  <c r="B167" i="29"/>
  <c r="H167" i="29" s="1"/>
  <c r="B80" i="29"/>
  <c r="B97" i="29" s="1"/>
  <c r="B166" i="29"/>
  <c r="M178" i="31" l="1"/>
  <c r="E178" i="32"/>
  <c r="E144" i="32"/>
  <c r="M182" i="31"/>
  <c r="E182" i="32"/>
  <c r="K196" i="32"/>
  <c r="M83" i="31"/>
  <c r="E83" i="32"/>
  <c r="M144" i="31"/>
  <c r="M157" i="31"/>
  <c r="E157" i="32"/>
  <c r="M182" i="30"/>
  <c r="M167" i="30"/>
  <c r="D167" i="32"/>
  <c r="M168" i="30"/>
  <c r="D168" i="32"/>
  <c r="M74" i="30"/>
  <c r="D74" i="32"/>
  <c r="M65" i="30"/>
  <c r="B161" i="30"/>
  <c r="H161" i="30" s="1"/>
  <c r="M161" i="30" s="1"/>
  <c r="M179" i="31"/>
  <c r="M209" i="31"/>
  <c r="M160" i="31"/>
  <c r="E160" i="32"/>
  <c r="M160" i="30"/>
  <c r="M24" i="30"/>
  <c r="M24" i="31"/>
  <c r="E24" i="32"/>
  <c r="M77" i="30"/>
  <c r="M77" i="31"/>
  <c r="E77" i="32"/>
  <c r="M21" i="30"/>
  <c r="E21" i="32"/>
  <c r="M21" i="31"/>
  <c r="H166" i="31"/>
  <c r="F166" i="32" s="1"/>
  <c r="F170" i="32" s="1"/>
  <c r="B170" i="31"/>
  <c r="H75" i="30"/>
  <c r="B80" i="30"/>
  <c r="B97" i="30" s="1"/>
  <c r="B166" i="30"/>
  <c r="M178" i="30"/>
  <c r="M157" i="30"/>
  <c r="M83" i="30"/>
  <c r="M144" i="30"/>
  <c r="H166" i="29"/>
  <c r="B170" i="29"/>
  <c r="H196" i="29"/>
  <c r="B197" i="29"/>
  <c r="M161" i="31" l="1"/>
  <c r="E161" i="32"/>
  <c r="D196" i="32"/>
  <c r="J196" i="32" s="1"/>
  <c r="E75" i="32"/>
  <c r="D166" i="32"/>
  <c r="D170" i="32" s="1"/>
  <c r="H170" i="31"/>
  <c r="M75" i="30"/>
  <c r="H166" i="30"/>
  <c r="B170" i="30"/>
  <c r="H170" i="29"/>
  <c r="M196" i="30" l="1"/>
  <c r="E166" i="32"/>
  <c r="E170" i="32" s="1"/>
  <c r="M75" i="31"/>
  <c r="M166" i="30"/>
  <c r="H170" i="30"/>
  <c r="M170" i="30" s="1"/>
  <c r="M166" i="31" l="1"/>
  <c r="M170" i="31" l="1"/>
  <c r="D129" i="27" l="1"/>
  <c r="C123" i="29"/>
  <c r="G118" i="27"/>
  <c r="F118" i="27"/>
  <c r="B116" i="29"/>
  <c r="Q114" i="27"/>
  <c r="C107" i="27"/>
  <c r="C107" i="29" s="1"/>
  <c r="D107" i="27"/>
  <c r="D107" i="29" s="1"/>
  <c r="E107" i="27"/>
  <c r="E107" i="29" s="1"/>
  <c r="E107" i="30" s="1"/>
  <c r="F107" i="27"/>
  <c r="F107" i="29" s="1"/>
  <c r="G107" i="27"/>
  <c r="G107" i="29" s="1"/>
  <c r="C108" i="27"/>
  <c r="C108" i="29" s="1"/>
  <c r="C108" i="30" s="1"/>
  <c r="C108" i="31" s="1"/>
  <c r="D108" i="27"/>
  <c r="D108" i="29" s="1"/>
  <c r="D108" i="30" s="1"/>
  <c r="D108" i="31" s="1"/>
  <c r="E108" i="27"/>
  <c r="E108" i="29" s="1"/>
  <c r="E108" i="30" s="1"/>
  <c r="E108" i="31" s="1"/>
  <c r="F108" i="29"/>
  <c r="F108" i="30" s="1"/>
  <c r="F108" i="31" s="1"/>
  <c r="G108" i="27"/>
  <c r="G108" i="29" s="1"/>
  <c r="G108" i="30" s="1"/>
  <c r="G108" i="31" s="1"/>
  <c r="C109" i="27"/>
  <c r="C109" i="29" s="1"/>
  <c r="C109" i="30" s="1"/>
  <c r="C109" i="31" s="1"/>
  <c r="D109" i="27"/>
  <c r="D109" i="29" s="1"/>
  <c r="D109" i="30" s="1"/>
  <c r="D109" i="31" s="1"/>
  <c r="E109" i="27"/>
  <c r="E109" i="29" s="1"/>
  <c r="E109" i="30" s="1"/>
  <c r="E109" i="31" s="1"/>
  <c r="F109" i="29"/>
  <c r="F109" i="30" s="1"/>
  <c r="F109" i="31" s="1"/>
  <c r="G109" i="27"/>
  <c r="G109" i="29" s="1"/>
  <c r="G109" i="30" s="1"/>
  <c r="G109" i="31" s="1"/>
  <c r="C110" i="27"/>
  <c r="C110" i="29" s="1"/>
  <c r="C110" i="30" s="1"/>
  <c r="C110" i="31" s="1"/>
  <c r="D110" i="27"/>
  <c r="D110" i="29" s="1"/>
  <c r="D110" i="30" s="1"/>
  <c r="D110" i="31" s="1"/>
  <c r="E110" i="27"/>
  <c r="E110" i="29" s="1"/>
  <c r="F110" i="29"/>
  <c r="F110" i="30" s="1"/>
  <c r="F110" i="31" s="1"/>
  <c r="G110" i="27"/>
  <c r="G110" i="29" s="1"/>
  <c r="G110" i="30" s="1"/>
  <c r="G110" i="31" s="1"/>
  <c r="C111" i="27"/>
  <c r="C111" i="29" s="1"/>
  <c r="D111" i="27"/>
  <c r="D111" i="29" s="1"/>
  <c r="D111" i="30" s="1"/>
  <c r="D111" i="31" s="1"/>
  <c r="E111" i="27"/>
  <c r="E111" i="29" s="1"/>
  <c r="E111" i="30" s="1"/>
  <c r="E111" i="31" s="1"/>
  <c r="F111" i="27"/>
  <c r="F111" i="29" s="1"/>
  <c r="F111" i="30" s="1"/>
  <c r="F111" i="31" s="1"/>
  <c r="G111" i="27"/>
  <c r="G111" i="29" s="1"/>
  <c r="G111" i="30" s="1"/>
  <c r="G111" i="31" s="1"/>
  <c r="C112" i="27"/>
  <c r="C112" i="29" s="1"/>
  <c r="C112" i="30" s="1"/>
  <c r="C112" i="31" s="1"/>
  <c r="D112" i="27"/>
  <c r="D112" i="29" s="1"/>
  <c r="D112" i="30" s="1"/>
  <c r="D112" i="31" s="1"/>
  <c r="E112" i="27"/>
  <c r="E112" i="29" s="1"/>
  <c r="E112" i="30" s="1"/>
  <c r="E112" i="31" s="1"/>
  <c r="F112" i="29"/>
  <c r="F112" i="30" s="1"/>
  <c r="F112" i="31" s="1"/>
  <c r="G112" i="27"/>
  <c r="G112" i="29" s="1"/>
  <c r="G112" i="30" s="1"/>
  <c r="G112" i="31" s="1"/>
  <c r="C113" i="27"/>
  <c r="C113" i="29" s="1"/>
  <c r="C113" i="30" s="1"/>
  <c r="C113" i="31" s="1"/>
  <c r="D113" i="27"/>
  <c r="D113" i="29" s="1"/>
  <c r="D113" i="30" s="1"/>
  <c r="D113" i="31" s="1"/>
  <c r="E113" i="27"/>
  <c r="E113" i="29" s="1"/>
  <c r="F113" i="27"/>
  <c r="F113" i="29" s="1"/>
  <c r="F113" i="30" s="1"/>
  <c r="F113" i="31" s="1"/>
  <c r="G113" i="27"/>
  <c r="G113" i="29" s="1"/>
  <c r="G113" i="30" s="1"/>
  <c r="G113" i="31" s="1"/>
  <c r="B108" i="29"/>
  <c r="B109" i="29"/>
  <c r="B110" i="29"/>
  <c r="B111" i="29"/>
  <c r="B111" i="30" s="1"/>
  <c r="B112" i="29"/>
  <c r="B113" i="27"/>
  <c r="B113" i="29" s="1"/>
  <c r="B113" i="30" s="1"/>
  <c r="B107" i="29"/>
  <c r="E107" i="31" l="1"/>
  <c r="H123" i="29"/>
  <c r="C123" i="30"/>
  <c r="C131" i="29"/>
  <c r="B109" i="30"/>
  <c r="H109" i="29"/>
  <c r="C107" i="30"/>
  <c r="C121" i="29"/>
  <c r="B110" i="30"/>
  <c r="H110" i="29"/>
  <c r="B108" i="30"/>
  <c r="H108" i="29"/>
  <c r="B111" i="31"/>
  <c r="D107" i="30"/>
  <c r="D121" i="29"/>
  <c r="D132" i="29" s="1"/>
  <c r="D133" i="29" s="1"/>
  <c r="H113" i="29"/>
  <c r="E113" i="30"/>
  <c r="E113" i="31" s="1"/>
  <c r="H111" i="29"/>
  <c r="C111" i="30"/>
  <c r="C111" i="31" s="1"/>
  <c r="H116" i="29"/>
  <c r="B116" i="30"/>
  <c r="B112" i="30"/>
  <c r="H112" i="29"/>
  <c r="H107" i="29"/>
  <c r="B107" i="30"/>
  <c r="B121" i="29"/>
  <c r="B132" i="29" s="1"/>
  <c r="B133" i="29" s="1"/>
  <c r="E121" i="29"/>
  <c r="E132" i="29" s="1"/>
  <c r="E133" i="29" s="1"/>
  <c r="E110" i="30"/>
  <c r="E110" i="31" s="1"/>
  <c r="B113" i="31"/>
  <c r="H113" i="31" s="1"/>
  <c r="F113" i="32" s="1"/>
  <c r="G107" i="30"/>
  <c r="G121" i="29"/>
  <c r="G132" i="29" s="1"/>
  <c r="G133" i="29" s="1"/>
  <c r="F107" i="30"/>
  <c r="F121" i="29"/>
  <c r="F132" i="29" s="1"/>
  <c r="F133" i="29" s="1"/>
  <c r="M222" i="27"/>
  <c r="K222" i="27"/>
  <c r="H222" i="27"/>
  <c r="G222" i="27"/>
  <c r="F222" i="27"/>
  <c r="E222" i="27"/>
  <c r="D222" i="27"/>
  <c r="C222" i="27"/>
  <c r="B222" i="27"/>
  <c r="A222" i="27"/>
  <c r="H218" i="27"/>
  <c r="H217" i="27"/>
  <c r="M217" i="27" s="1"/>
  <c r="H216" i="27"/>
  <c r="H215" i="27"/>
  <c r="H214" i="27"/>
  <c r="H213" i="27"/>
  <c r="M212" i="27"/>
  <c r="M210" i="27"/>
  <c r="G209" i="27"/>
  <c r="F209" i="27"/>
  <c r="E209" i="27"/>
  <c r="D209" i="27"/>
  <c r="C209" i="27"/>
  <c r="H208" i="27"/>
  <c r="H207" i="27"/>
  <c r="H206" i="27"/>
  <c r="H205" i="27"/>
  <c r="H204" i="27"/>
  <c r="H203" i="27"/>
  <c r="H202" i="27"/>
  <c r="H201" i="27"/>
  <c r="B200" i="27"/>
  <c r="H200" i="27" s="1"/>
  <c r="H199" i="27"/>
  <c r="M198" i="27"/>
  <c r="H198" i="27"/>
  <c r="G198" i="27"/>
  <c r="F198" i="27"/>
  <c r="E198" i="27"/>
  <c r="D198" i="27"/>
  <c r="C198" i="27"/>
  <c r="B198" i="27"/>
  <c r="F197" i="27"/>
  <c r="C197" i="27"/>
  <c r="H195" i="27"/>
  <c r="H193" i="27"/>
  <c r="H192" i="27"/>
  <c r="H191" i="27"/>
  <c r="H190" i="27"/>
  <c r="H189" i="27"/>
  <c r="H188" i="27"/>
  <c r="B186" i="27"/>
  <c r="H186" i="27" s="1"/>
  <c r="H184" i="27"/>
  <c r="H181" i="27"/>
  <c r="H180" i="27"/>
  <c r="H179" i="27"/>
  <c r="H177" i="27"/>
  <c r="H176" i="27"/>
  <c r="H175" i="27"/>
  <c r="H174" i="27"/>
  <c r="H173" i="27"/>
  <c r="M171" i="27"/>
  <c r="H171" i="27"/>
  <c r="G171" i="27"/>
  <c r="F171" i="27"/>
  <c r="E171" i="27"/>
  <c r="D171" i="27"/>
  <c r="C171" i="27"/>
  <c r="B171" i="27"/>
  <c r="F170" i="27"/>
  <c r="E170" i="27"/>
  <c r="D170" i="27"/>
  <c r="H165" i="27"/>
  <c r="H163" i="27"/>
  <c r="H162" i="27"/>
  <c r="H159" i="27"/>
  <c r="H158" i="27"/>
  <c r="H156" i="27"/>
  <c r="M155" i="27"/>
  <c r="H155" i="27"/>
  <c r="G155" i="27"/>
  <c r="F155" i="27"/>
  <c r="E155" i="27"/>
  <c r="D155" i="27"/>
  <c r="C155" i="27"/>
  <c r="B155" i="27"/>
  <c r="G154" i="27"/>
  <c r="F154" i="27"/>
  <c r="E154" i="27"/>
  <c r="D154" i="27"/>
  <c r="H152" i="27"/>
  <c r="H146" i="27"/>
  <c r="H145" i="27"/>
  <c r="M143" i="27"/>
  <c r="H143" i="27"/>
  <c r="G143" i="27"/>
  <c r="F143" i="27"/>
  <c r="E143" i="27"/>
  <c r="D143" i="27"/>
  <c r="C143" i="27"/>
  <c r="B143" i="27"/>
  <c r="H139" i="27"/>
  <c r="H138" i="27"/>
  <c r="H137" i="27"/>
  <c r="E132" i="27"/>
  <c r="E134" i="27" s="1"/>
  <c r="D131" i="27"/>
  <c r="H130" i="27"/>
  <c r="C129" i="27"/>
  <c r="B129" i="27"/>
  <c r="H128" i="27"/>
  <c r="H127" i="27"/>
  <c r="H126" i="27"/>
  <c r="H125" i="27"/>
  <c r="H124" i="27"/>
  <c r="H123" i="27"/>
  <c r="M122" i="27"/>
  <c r="E121" i="27"/>
  <c r="H120" i="27"/>
  <c r="H119" i="27"/>
  <c r="G121" i="27"/>
  <c r="G132" i="27" s="1"/>
  <c r="F121" i="27"/>
  <c r="F132" i="27" s="1"/>
  <c r="D118" i="27"/>
  <c r="D121" i="27" s="1"/>
  <c r="D132" i="27" s="1"/>
  <c r="H117" i="27"/>
  <c r="H116" i="27"/>
  <c r="H113" i="27"/>
  <c r="H112" i="27"/>
  <c r="H111" i="27"/>
  <c r="H110" i="27"/>
  <c r="H109" i="27"/>
  <c r="H108" i="27"/>
  <c r="H107" i="27"/>
  <c r="M106" i="27"/>
  <c r="M105" i="27"/>
  <c r="H105" i="27"/>
  <c r="G105" i="27"/>
  <c r="F105" i="27"/>
  <c r="E105" i="27"/>
  <c r="D105" i="27"/>
  <c r="C105" i="27"/>
  <c r="B105" i="27"/>
  <c r="M104" i="27"/>
  <c r="G103" i="27"/>
  <c r="F103" i="27"/>
  <c r="E103" i="27"/>
  <c r="D103" i="27"/>
  <c r="C103" i="27"/>
  <c r="H102" i="27"/>
  <c r="H101" i="27"/>
  <c r="H100" i="27"/>
  <c r="H99" i="27"/>
  <c r="M98" i="27"/>
  <c r="G96" i="27"/>
  <c r="F96" i="27"/>
  <c r="D96" i="27"/>
  <c r="C96" i="27"/>
  <c r="B96" i="27"/>
  <c r="H95" i="27"/>
  <c r="H94" i="27"/>
  <c r="H92" i="27"/>
  <c r="M91" i="27"/>
  <c r="E90" i="27"/>
  <c r="B90" i="27"/>
  <c r="H89" i="27"/>
  <c r="G88" i="27"/>
  <c r="G87" i="27"/>
  <c r="H87" i="27" s="1"/>
  <c r="H86" i="27"/>
  <c r="F85" i="27"/>
  <c r="F90" i="27" s="1"/>
  <c r="F97" i="27" s="1"/>
  <c r="H82" i="27"/>
  <c r="M81" i="27"/>
  <c r="D79" i="27"/>
  <c r="D80" i="27" s="1"/>
  <c r="H78" i="27"/>
  <c r="B77" i="27"/>
  <c r="H77" i="27" s="1"/>
  <c r="B76" i="27"/>
  <c r="H76" i="27" s="1"/>
  <c r="B75" i="27"/>
  <c r="H75" i="27" s="1"/>
  <c r="M73" i="27"/>
  <c r="M72" i="27"/>
  <c r="H72" i="27"/>
  <c r="G72" i="27"/>
  <c r="F72" i="27"/>
  <c r="E72" i="27"/>
  <c r="D72" i="27"/>
  <c r="C72" i="27"/>
  <c r="B72" i="27"/>
  <c r="M71" i="27"/>
  <c r="M66" i="27"/>
  <c r="F63" i="27"/>
  <c r="M62" i="27"/>
  <c r="G61" i="27"/>
  <c r="G64" i="27" s="1"/>
  <c r="F61" i="27"/>
  <c r="F64" i="27" s="1"/>
  <c r="E61" i="27"/>
  <c r="E64" i="27" s="1"/>
  <c r="D61" i="27"/>
  <c r="D64" i="27" s="1"/>
  <c r="C61" i="27"/>
  <c r="C64" i="27" s="1"/>
  <c r="B61" i="27"/>
  <c r="B64" i="27" s="1"/>
  <c r="H60" i="27"/>
  <c r="H59" i="27"/>
  <c r="H58" i="27"/>
  <c r="H57" i="27"/>
  <c r="H56" i="27"/>
  <c r="H55" i="27"/>
  <c r="H54" i="27"/>
  <c r="M54" i="27" s="1"/>
  <c r="H53" i="27"/>
  <c r="H52" i="27"/>
  <c r="H51" i="27"/>
  <c r="H50" i="27"/>
  <c r="H49" i="27"/>
  <c r="H48" i="27"/>
  <c r="H47" i="27"/>
  <c r="H46" i="27"/>
  <c r="M46" i="27" s="1"/>
  <c r="M45" i="27"/>
  <c r="H44" i="27"/>
  <c r="H43" i="27"/>
  <c r="H42" i="27"/>
  <c r="H41" i="27"/>
  <c r="H40" i="27"/>
  <c r="H39" i="27"/>
  <c r="M38" i="27"/>
  <c r="H38" i="27"/>
  <c r="G38" i="27"/>
  <c r="F38" i="27"/>
  <c r="E38" i="27"/>
  <c r="D38" i="27"/>
  <c r="C38" i="27"/>
  <c r="B38" i="27"/>
  <c r="M37" i="27"/>
  <c r="G36" i="27"/>
  <c r="G140" i="27" s="1"/>
  <c r="F36" i="27"/>
  <c r="F140" i="27" s="1"/>
  <c r="E36" i="27"/>
  <c r="E140" i="27" s="1"/>
  <c r="D36" i="27"/>
  <c r="D135" i="27" s="1"/>
  <c r="C36" i="27"/>
  <c r="C140" i="27" s="1"/>
  <c r="B36" i="27"/>
  <c r="B114" i="27" s="1"/>
  <c r="H35" i="27"/>
  <c r="H34" i="27"/>
  <c r="H33" i="27"/>
  <c r="H32" i="27"/>
  <c r="H31" i="27"/>
  <c r="H30" i="27"/>
  <c r="H29" i="27"/>
  <c r="H28" i="27"/>
  <c r="H27" i="27"/>
  <c r="M26" i="27"/>
  <c r="H26" i="27"/>
  <c r="G26" i="27"/>
  <c r="F26" i="27"/>
  <c r="E26" i="27"/>
  <c r="D26" i="27"/>
  <c r="C26" i="27"/>
  <c r="B26" i="27"/>
  <c r="M25" i="27"/>
  <c r="H24" i="27"/>
  <c r="H23" i="27"/>
  <c r="H22" i="27"/>
  <c r="H21" i="27"/>
  <c r="M19" i="27"/>
  <c r="H19" i="27"/>
  <c r="G19" i="27"/>
  <c r="F19" i="27"/>
  <c r="E19" i="27"/>
  <c r="D19" i="27"/>
  <c r="C19" i="27"/>
  <c r="B19" i="27"/>
  <c r="M18" i="27"/>
  <c r="L17" i="27"/>
  <c r="G17" i="27"/>
  <c r="F17" i="27"/>
  <c r="E17" i="27"/>
  <c r="D17" i="27"/>
  <c r="C17" i="27"/>
  <c r="B17" i="27"/>
  <c r="E93" i="27" s="1"/>
  <c r="H16" i="27"/>
  <c r="M16" i="27" s="1"/>
  <c r="H15" i="27"/>
  <c r="H14" i="27"/>
  <c r="H13" i="27"/>
  <c r="H12" i="27"/>
  <c r="H11" i="27"/>
  <c r="H10" i="27"/>
  <c r="H9" i="27"/>
  <c r="H8" i="27"/>
  <c r="H7" i="27"/>
  <c r="H6" i="27"/>
  <c r="H5" i="27"/>
  <c r="H4" i="27"/>
  <c r="B3" i="27"/>
  <c r="B74" i="27" s="1"/>
  <c r="H2" i="27"/>
  <c r="D134" i="27" l="1"/>
  <c r="D133" i="27"/>
  <c r="G134" i="27"/>
  <c r="G133" i="27"/>
  <c r="C132" i="29"/>
  <c r="C133" i="29" s="1"/>
  <c r="H111" i="31"/>
  <c r="F111" i="32" s="1"/>
  <c r="F134" i="27"/>
  <c r="F133" i="27"/>
  <c r="E93" i="29"/>
  <c r="E194" i="27"/>
  <c r="E96" i="27"/>
  <c r="C63" i="27"/>
  <c r="M195" i="27"/>
  <c r="C195" i="32"/>
  <c r="M195" i="29"/>
  <c r="G107" i="31"/>
  <c r="G121" i="31" s="1"/>
  <c r="G132" i="31" s="1"/>
  <c r="G133" i="31" s="1"/>
  <c r="G121" i="30"/>
  <c r="G132" i="30" s="1"/>
  <c r="G133" i="30" s="1"/>
  <c r="D110" i="32"/>
  <c r="M5" i="27"/>
  <c r="C5" i="32"/>
  <c r="M5" i="29"/>
  <c r="M32" i="27"/>
  <c r="C32" i="32"/>
  <c r="M32" i="29"/>
  <c r="M44" i="27"/>
  <c r="C44" i="32"/>
  <c r="M44" i="29"/>
  <c r="C82" i="32"/>
  <c r="M95" i="27"/>
  <c r="C95" i="32"/>
  <c r="M95" i="29"/>
  <c r="B131" i="27"/>
  <c r="M159" i="27"/>
  <c r="M159" i="29"/>
  <c r="C159" i="32"/>
  <c r="M181" i="27"/>
  <c r="M181" i="29"/>
  <c r="C181" i="32"/>
  <c r="M200" i="29"/>
  <c r="C200" i="32"/>
  <c r="H113" i="30"/>
  <c r="D111" i="32"/>
  <c r="B110" i="31"/>
  <c r="H110" i="31" s="1"/>
  <c r="H110" i="30"/>
  <c r="M128" i="27"/>
  <c r="C128" i="32"/>
  <c r="M128" i="29"/>
  <c r="M180" i="27"/>
  <c r="M180" i="29"/>
  <c r="C180" i="32"/>
  <c r="B187" i="27"/>
  <c r="H187" i="27" s="1"/>
  <c r="H160" i="27"/>
  <c r="B23" i="27"/>
  <c r="B23" i="29" s="1"/>
  <c r="B23" i="30" s="1"/>
  <c r="B23" i="31" s="1"/>
  <c r="C20" i="27"/>
  <c r="M107" i="27"/>
  <c r="C107" i="32"/>
  <c r="M119" i="27"/>
  <c r="M119" i="29"/>
  <c r="C119" i="32"/>
  <c r="M130" i="27"/>
  <c r="M130" i="29"/>
  <c r="C130" i="32"/>
  <c r="M186" i="27"/>
  <c r="C186" i="32"/>
  <c r="M186" i="29"/>
  <c r="M202" i="27"/>
  <c r="C202" i="32"/>
  <c r="M202" i="29"/>
  <c r="D113" i="32"/>
  <c r="C107" i="31"/>
  <c r="C121" i="31" s="1"/>
  <c r="C121" i="30"/>
  <c r="M8" i="27"/>
  <c r="C8" i="32"/>
  <c r="M8" i="29"/>
  <c r="M35" i="27"/>
  <c r="C35" i="32"/>
  <c r="M35" i="29"/>
  <c r="M57" i="27"/>
  <c r="C57" i="32"/>
  <c r="M57" i="29"/>
  <c r="D63" i="27"/>
  <c r="M87" i="27"/>
  <c r="M87" i="29"/>
  <c r="C87" i="32"/>
  <c r="M108" i="27"/>
  <c r="M108" i="29"/>
  <c r="C108" i="32"/>
  <c r="M120" i="27"/>
  <c r="M120" i="29"/>
  <c r="C120" i="32"/>
  <c r="M188" i="27"/>
  <c r="C188" i="32"/>
  <c r="M188" i="29"/>
  <c r="M203" i="27"/>
  <c r="C203" i="32"/>
  <c r="M203" i="29"/>
  <c r="E134" i="29"/>
  <c r="E141" i="29" s="1"/>
  <c r="E142" i="29" s="1"/>
  <c r="D109" i="32"/>
  <c r="M16" i="29"/>
  <c r="C16" i="32"/>
  <c r="M31" i="27"/>
  <c r="C31" i="32"/>
  <c r="M31" i="29"/>
  <c r="C54" i="32"/>
  <c r="M54" i="29"/>
  <c r="M55" i="27"/>
  <c r="M55" i="29"/>
  <c r="C55" i="32"/>
  <c r="M184" i="27"/>
  <c r="M184" i="29"/>
  <c r="C184" i="32"/>
  <c r="M201" i="27"/>
  <c r="M201" i="29"/>
  <c r="C201" i="32"/>
  <c r="M9" i="29"/>
  <c r="C9" i="32"/>
  <c r="M47" i="27"/>
  <c r="C47" i="32"/>
  <c r="M47" i="29"/>
  <c r="M165" i="27"/>
  <c r="C165" i="32"/>
  <c r="M165" i="29"/>
  <c r="M204" i="27"/>
  <c r="C204" i="32"/>
  <c r="M204" i="29"/>
  <c r="M213" i="27"/>
  <c r="M213" i="29"/>
  <c r="C213" i="32"/>
  <c r="B134" i="29"/>
  <c r="D134" i="29"/>
  <c r="B109" i="31"/>
  <c r="H109" i="31" s="1"/>
  <c r="F109" i="32" s="1"/>
  <c r="H109" i="30"/>
  <c r="M10" i="27"/>
  <c r="M10" i="29"/>
  <c r="C10" i="32"/>
  <c r="M48" i="27"/>
  <c r="C48" i="32"/>
  <c r="M48" i="29"/>
  <c r="M59" i="27"/>
  <c r="C59" i="32"/>
  <c r="M59" i="29"/>
  <c r="M89" i="27"/>
  <c r="C89" i="32"/>
  <c r="M89" i="29"/>
  <c r="M110" i="27"/>
  <c r="C110" i="32"/>
  <c r="M110" i="29"/>
  <c r="C135" i="27"/>
  <c r="G169" i="27"/>
  <c r="H169" i="27" s="1"/>
  <c r="M205" i="27"/>
  <c r="M205" i="29"/>
  <c r="C205" i="32"/>
  <c r="M214" i="27"/>
  <c r="C214" i="32"/>
  <c r="M214" i="29"/>
  <c r="B107" i="31"/>
  <c r="H107" i="30"/>
  <c r="B121" i="30"/>
  <c r="B132" i="30" s="1"/>
  <c r="B133" i="30" s="1"/>
  <c r="D107" i="31"/>
  <c r="D121" i="31" s="1"/>
  <c r="D132" i="31" s="1"/>
  <c r="D133" i="31" s="1"/>
  <c r="D121" i="30"/>
  <c r="D132" i="30" s="1"/>
  <c r="D133" i="30" s="1"/>
  <c r="M4" i="27"/>
  <c r="C4" i="32"/>
  <c r="M4" i="29"/>
  <c r="M94" i="27"/>
  <c r="C94" i="32"/>
  <c r="M94" i="29"/>
  <c r="M49" i="27"/>
  <c r="C49" i="32"/>
  <c r="M49" i="29"/>
  <c r="M60" i="27"/>
  <c r="C60" i="32"/>
  <c r="M60" i="29"/>
  <c r="M76" i="27"/>
  <c r="C76" i="32"/>
  <c r="M76" i="29"/>
  <c r="M111" i="27"/>
  <c r="C111" i="32"/>
  <c r="M111" i="29"/>
  <c r="C123" i="32"/>
  <c r="E135" i="27"/>
  <c r="M145" i="27"/>
  <c r="C145" i="32"/>
  <c r="M145" i="29"/>
  <c r="M174" i="27"/>
  <c r="M174" i="29"/>
  <c r="C174" i="32"/>
  <c r="M191" i="27"/>
  <c r="M191" i="29"/>
  <c r="C191" i="32"/>
  <c r="M206" i="27"/>
  <c r="C206" i="32"/>
  <c r="M206" i="29"/>
  <c r="M215" i="27"/>
  <c r="M215" i="29"/>
  <c r="C215" i="32"/>
  <c r="D107" i="32"/>
  <c r="M107" i="29"/>
  <c r="H121" i="29"/>
  <c r="C131" i="30"/>
  <c r="C123" i="31"/>
  <c r="H123" i="30"/>
  <c r="M43" i="27"/>
  <c r="M43" i="29"/>
  <c r="C43" i="32"/>
  <c r="M158" i="27"/>
  <c r="C158" i="32"/>
  <c r="M158" i="29"/>
  <c r="C46" i="32"/>
  <c r="M46" i="29"/>
  <c r="M12" i="27"/>
  <c r="C12" i="32"/>
  <c r="M12" i="29"/>
  <c r="M22" i="27"/>
  <c r="C22" i="32"/>
  <c r="M22" i="29"/>
  <c r="M27" i="27"/>
  <c r="C27" i="32"/>
  <c r="M39" i="27"/>
  <c r="C39" i="32"/>
  <c r="M50" i="27"/>
  <c r="C50" i="32"/>
  <c r="M50" i="29"/>
  <c r="M99" i="27"/>
  <c r="C99" i="32"/>
  <c r="M99" i="29"/>
  <c r="M112" i="27"/>
  <c r="C112" i="32"/>
  <c r="M124" i="27"/>
  <c r="M124" i="29"/>
  <c r="C124" i="32"/>
  <c r="M146" i="27"/>
  <c r="M146" i="29"/>
  <c r="C146" i="32"/>
  <c r="M175" i="27"/>
  <c r="M175" i="29"/>
  <c r="C175" i="32"/>
  <c r="M192" i="27"/>
  <c r="M192" i="29"/>
  <c r="C192" i="32"/>
  <c r="M216" i="29"/>
  <c r="C216" i="32"/>
  <c r="M112" i="29"/>
  <c r="D112" i="32"/>
  <c r="H111" i="30"/>
  <c r="M123" i="29"/>
  <c r="H131" i="29"/>
  <c r="D123" i="32"/>
  <c r="D131" i="32" s="1"/>
  <c r="M199" i="27"/>
  <c r="C199" i="32"/>
  <c r="M199" i="29"/>
  <c r="M6" i="27"/>
  <c r="C6" i="32"/>
  <c r="M6" i="29"/>
  <c r="M33" i="27"/>
  <c r="M33" i="29"/>
  <c r="C33" i="32"/>
  <c r="M58" i="27"/>
  <c r="M58" i="29"/>
  <c r="C58" i="32"/>
  <c r="M11" i="27"/>
  <c r="M11" i="29"/>
  <c r="C11" i="32"/>
  <c r="M13" i="27"/>
  <c r="M13" i="29"/>
  <c r="C13" i="32"/>
  <c r="M23" i="27"/>
  <c r="C23" i="32"/>
  <c r="M23" i="29"/>
  <c r="C28" i="32"/>
  <c r="M28" i="29"/>
  <c r="H115" i="27"/>
  <c r="M40" i="27"/>
  <c r="M40" i="29"/>
  <c r="C40" i="32"/>
  <c r="M51" i="27"/>
  <c r="C51" i="32"/>
  <c r="M51" i="29"/>
  <c r="M78" i="27"/>
  <c r="C78" i="32"/>
  <c r="M78" i="29"/>
  <c r="M113" i="27"/>
  <c r="C113" i="32"/>
  <c r="M113" i="29"/>
  <c r="M125" i="27"/>
  <c r="C125" i="32"/>
  <c r="M125" i="29"/>
  <c r="M138" i="27"/>
  <c r="M138" i="29"/>
  <c r="C138" i="32"/>
  <c r="M193" i="29"/>
  <c r="C193" i="32"/>
  <c r="M208" i="27"/>
  <c r="C208" i="32"/>
  <c r="M208" i="29"/>
  <c r="F134" i="29"/>
  <c r="B112" i="31"/>
  <c r="H112" i="31" s="1"/>
  <c r="F112" i="32" s="1"/>
  <c r="H112" i="30"/>
  <c r="E121" i="30"/>
  <c r="E132" i="30" s="1"/>
  <c r="E133" i="30" s="1"/>
  <c r="M56" i="27"/>
  <c r="M56" i="29"/>
  <c r="C56" i="32"/>
  <c r="M189" i="27"/>
  <c r="M189" i="29"/>
  <c r="C189" i="32"/>
  <c r="C2" i="32"/>
  <c r="M2" i="29"/>
  <c r="M14" i="27"/>
  <c r="M14" i="29"/>
  <c r="C14" i="32"/>
  <c r="M29" i="27"/>
  <c r="M29" i="29"/>
  <c r="C29" i="32"/>
  <c r="M41" i="27"/>
  <c r="M41" i="29"/>
  <c r="C41" i="32"/>
  <c r="M52" i="27"/>
  <c r="M52" i="29"/>
  <c r="C52" i="32"/>
  <c r="C92" i="32"/>
  <c r="M116" i="27"/>
  <c r="C116" i="32"/>
  <c r="M116" i="29"/>
  <c r="M126" i="27"/>
  <c r="C126" i="32"/>
  <c r="M126" i="29"/>
  <c r="M139" i="27"/>
  <c r="M139" i="29"/>
  <c r="C139" i="32"/>
  <c r="M193" i="27"/>
  <c r="F107" i="31"/>
  <c r="F121" i="31" s="1"/>
  <c r="F132" i="31" s="1"/>
  <c r="F133" i="31" s="1"/>
  <c r="F121" i="30"/>
  <c r="F132" i="30" s="1"/>
  <c r="F133" i="30" s="1"/>
  <c r="H116" i="30"/>
  <c r="B116" i="31"/>
  <c r="H116" i="31" s="1"/>
  <c r="D108" i="32"/>
  <c r="E121" i="31"/>
  <c r="E132" i="31" s="1"/>
  <c r="E133" i="31" s="1"/>
  <c r="M7" i="27"/>
  <c r="C7" i="32"/>
  <c r="M7" i="29"/>
  <c r="M34" i="27"/>
  <c r="M34" i="29"/>
  <c r="C34" i="32"/>
  <c r="M109" i="27"/>
  <c r="M109" i="29"/>
  <c r="C109" i="32"/>
  <c r="M15" i="27"/>
  <c r="C15" i="32"/>
  <c r="M15" i="29"/>
  <c r="C30" i="32"/>
  <c r="M30" i="29"/>
  <c r="M42" i="27"/>
  <c r="M42" i="29"/>
  <c r="C42" i="32"/>
  <c r="M53" i="27"/>
  <c r="M53" i="29"/>
  <c r="C53" i="32"/>
  <c r="M102" i="27"/>
  <c r="M102" i="29"/>
  <c r="C102" i="32"/>
  <c r="M117" i="27"/>
  <c r="M117" i="29"/>
  <c r="C117" i="32"/>
  <c r="M127" i="27"/>
  <c r="M127" i="29"/>
  <c r="C127" i="32"/>
  <c r="M179" i="27"/>
  <c r="C179" i="32"/>
  <c r="M179" i="29"/>
  <c r="G134" i="29"/>
  <c r="D116" i="32"/>
  <c r="B108" i="31"/>
  <c r="H108" i="31" s="1"/>
  <c r="F108" i="32" s="1"/>
  <c r="H108" i="30"/>
  <c r="M100" i="27"/>
  <c r="C100" i="32"/>
  <c r="M101" i="27"/>
  <c r="M101" i="29"/>
  <c r="C101" i="32"/>
  <c r="M156" i="29"/>
  <c r="C156" i="32"/>
  <c r="C24" i="32"/>
  <c r="M24" i="29"/>
  <c r="M24" i="27"/>
  <c r="M77" i="27"/>
  <c r="C77" i="32"/>
  <c r="M77" i="29"/>
  <c r="M75" i="27"/>
  <c r="C75" i="32"/>
  <c r="M21" i="27"/>
  <c r="M21" i="29"/>
  <c r="C21" i="32"/>
  <c r="M207" i="27"/>
  <c r="C207" i="32"/>
  <c r="M190" i="27"/>
  <c r="M190" i="29"/>
  <c r="C190" i="32"/>
  <c r="M86" i="27"/>
  <c r="C86" i="32"/>
  <c r="M137" i="27"/>
  <c r="C137" i="32"/>
  <c r="M176" i="27"/>
  <c r="M176" i="29"/>
  <c r="C176" i="32"/>
  <c r="M162" i="27"/>
  <c r="C162" i="32"/>
  <c r="M162" i="29"/>
  <c r="M163" i="27"/>
  <c r="C163" i="32"/>
  <c r="M152" i="27"/>
  <c r="C152" i="32"/>
  <c r="M177" i="27"/>
  <c r="M177" i="29"/>
  <c r="C177" i="32"/>
  <c r="M173" i="27"/>
  <c r="M173" i="29"/>
  <c r="C173" i="32"/>
  <c r="C157" i="27"/>
  <c r="C170" i="27" s="1"/>
  <c r="B144" i="27"/>
  <c r="H144" i="27" s="1"/>
  <c r="M9" i="27"/>
  <c r="H93" i="27"/>
  <c r="H96" i="27" s="1"/>
  <c r="M96" i="27" s="1"/>
  <c r="H36" i="27"/>
  <c r="M36" i="27" s="1"/>
  <c r="H85" i="27"/>
  <c r="C65" i="27"/>
  <c r="C136" i="27" s="1"/>
  <c r="F65" i="27"/>
  <c r="F136" i="27" s="1"/>
  <c r="G90" i="27"/>
  <c r="G97" i="27" s="1"/>
  <c r="H88" i="27"/>
  <c r="F135" i="27"/>
  <c r="D65" i="27"/>
  <c r="C131" i="27"/>
  <c r="B103" i="27"/>
  <c r="E97" i="27"/>
  <c r="H3" i="27"/>
  <c r="M3" i="27" s="1"/>
  <c r="M123" i="27"/>
  <c r="M216" i="27"/>
  <c r="M156" i="27"/>
  <c r="B166" i="27"/>
  <c r="H166" i="27" s="1"/>
  <c r="H196" i="27"/>
  <c r="B168" i="27"/>
  <c r="H168" i="27" s="1"/>
  <c r="H74" i="27"/>
  <c r="B80" i="27"/>
  <c r="B97" i="27" s="1"/>
  <c r="B167" i="27"/>
  <c r="H167" i="27" s="1"/>
  <c r="M200" i="27"/>
  <c r="H209" i="27"/>
  <c r="M209" i="27" s="1"/>
  <c r="M82" i="27"/>
  <c r="B121" i="27"/>
  <c r="H114" i="27"/>
  <c r="B140" i="27"/>
  <c r="B209" i="27"/>
  <c r="H17" i="27"/>
  <c r="M17" i="27" s="1"/>
  <c r="M28" i="27"/>
  <c r="E63" i="27"/>
  <c r="E65" i="27" s="1"/>
  <c r="D83" i="27"/>
  <c r="G135" i="27"/>
  <c r="B148" i="27"/>
  <c r="H148" i="27" s="1"/>
  <c r="B164" i="27"/>
  <c r="H164" i="27" s="1"/>
  <c r="H61" i="27"/>
  <c r="D140" i="27"/>
  <c r="G63" i="27"/>
  <c r="G65" i="27" s="1"/>
  <c r="M92" i="27"/>
  <c r="M218" i="27"/>
  <c r="M30" i="27"/>
  <c r="H129" i="27"/>
  <c r="B178" i="27"/>
  <c r="H178" i="27" s="1"/>
  <c r="D84" i="27"/>
  <c r="H84" i="27" s="1"/>
  <c r="C90" i="27"/>
  <c r="H103" i="27"/>
  <c r="M103" i="27" s="1"/>
  <c r="B149" i="27"/>
  <c r="H149" i="27" s="1"/>
  <c r="G185" i="27"/>
  <c r="D182" i="27"/>
  <c r="H172" i="27"/>
  <c r="I27" i="27"/>
  <c r="H118" i="27"/>
  <c r="B135" i="27"/>
  <c r="M2" i="27"/>
  <c r="B147" i="27"/>
  <c r="B150" i="27"/>
  <c r="H150" i="27" s="1"/>
  <c r="B153" i="27"/>
  <c r="H153" i="27" s="1"/>
  <c r="B63" i="27"/>
  <c r="B65" i="27" s="1"/>
  <c r="D183" i="27"/>
  <c r="H183" i="27" s="1"/>
  <c r="C134" i="29" l="1"/>
  <c r="C141" i="29" s="1"/>
  <c r="C142" i="29" s="1"/>
  <c r="C121" i="27"/>
  <c r="H157" i="27"/>
  <c r="M157" i="27" s="1"/>
  <c r="E197" i="27"/>
  <c r="H194" i="27"/>
  <c r="E93" i="30"/>
  <c r="E194" i="29"/>
  <c r="H93" i="29"/>
  <c r="E96" i="29"/>
  <c r="E97" i="29" s="1"/>
  <c r="M109" i="30"/>
  <c r="H134" i="29"/>
  <c r="M115" i="27"/>
  <c r="C115" i="32"/>
  <c r="M115" i="29"/>
  <c r="M118" i="27"/>
  <c r="M118" i="29"/>
  <c r="C118" i="32"/>
  <c r="M88" i="27"/>
  <c r="M88" i="29"/>
  <c r="C88" i="32"/>
  <c r="M27" i="29"/>
  <c r="C20" i="29"/>
  <c r="C82" i="29" s="1"/>
  <c r="C79" i="27"/>
  <c r="C151" i="27"/>
  <c r="H20" i="27"/>
  <c r="E134" i="31"/>
  <c r="E141" i="31"/>
  <c r="E142" i="31" s="1"/>
  <c r="H133" i="29"/>
  <c r="B141" i="29"/>
  <c r="B142" i="29" s="1"/>
  <c r="B211" i="29" s="1"/>
  <c r="B219" i="29" s="1"/>
  <c r="B220" i="29" s="1"/>
  <c r="C3" i="32"/>
  <c r="C17" i="32"/>
  <c r="M167" i="27"/>
  <c r="M167" i="29"/>
  <c r="C167" i="32"/>
  <c r="D134" i="30"/>
  <c r="C132" i="30"/>
  <c r="C133" i="30" s="1"/>
  <c r="C209" i="32"/>
  <c r="M111" i="30"/>
  <c r="E111" i="32"/>
  <c r="M111" i="31"/>
  <c r="E123" i="32"/>
  <c r="E131" i="32" s="1"/>
  <c r="H131" i="30"/>
  <c r="M131" i="30" s="1"/>
  <c r="M123" i="30"/>
  <c r="C131" i="32"/>
  <c r="D134" i="31"/>
  <c r="M149" i="27"/>
  <c r="M149" i="29"/>
  <c r="C149" i="32"/>
  <c r="B132" i="27"/>
  <c r="M168" i="27"/>
  <c r="M168" i="29"/>
  <c r="C168" i="32"/>
  <c r="M108" i="31"/>
  <c r="M108" i="30"/>
  <c r="E108" i="32"/>
  <c r="M116" i="31"/>
  <c r="M116" i="30"/>
  <c r="E116" i="32"/>
  <c r="E134" i="30"/>
  <c r="H123" i="31"/>
  <c r="C131" i="31"/>
  <c r="C132" i="31" s="1"/>
  <c r="C133" i="31" s="1"/>
  <c r="M131" i="29"/>
  <c r="B134" i="30"/>
  <c r="C114" i="32"/>
  <c r="M85" i="27"/>
  <c r="M85" i="29"/>
  <c r="C85" i="32"/>
  <c r="M153" i="27"/>
  <c r="C153" i="32"/>
  <c r="M153" i="29"/>
  <c r="M196" i="27"/>
  <c r="M196" i="29"/>
  <c r="C196" i="32"/>
  <c r="M93" i="27"/>
  <c r="C93" i="32"/>
  <c r="C96" i="32" s="1"/>
  <c r="F134" i="30"/>
  <c r="M92" i="29"/>
  <c r="M112" i="30"/>
  <c r="M112" i="31"/>
  <c r="E112" i="32"/>
  <c r="E107" i="32"/>
  <c r="M107" i="30"/>
  <c r="H121" i="30"/>
  <c r="G134" i="30"/>
  <c r="M169" i="27"/>
  <c r="M169" i="29"/>
  <c r="C169" i="32"/>
  <c r="M113" i="31"/>
  <c r="E113" i="32"/>
  <c r="M113" i="30"/>
  <c r="G170" i="27"/>
  <c r="M150" i="27"/>
  <c r="C150" i="32"/>
  <c r="M150" i="29"/>
  <c r="M164" i="27"/>
  <c r="C164" i="32"/>
  <c r="M164" i="29"/>
  <c r="F134" i="31"/>
  <c r="G134" i="31"/>
  <c r="M39" i="29"/>
  <c r="M84" i="27"/>
  <c r="M84" i="29"/>
  <c r="C84" i="32"/>
  <c r="M148" i="27"/>
  <c r="C148" i="32"/>
  <c r="M148" i="29"/>
  <c r="F141" i="29"/>
  <c r="F142" i="29" s="1"/>
  <c r="F211" i="29" s="1"/>
  <c r="F219" i="29" s="1"/>
  <c r="F220" i="29" s="1"/>
  <c r="C61" i="32"/>
  <c r="C64" i="32" s="1"/>
  <c r="H132" i="29"/>
  <c r="M109" i="31"/>
  <c r="E109" i="32"/>
  <c r="C74" i="32"/>
  <c r="M74" i="29"/>
  <c r="F116" i="32"/>
  <c r="B121" i="31"/>
  <c r="B132" i="31" s="1"/>
  <c r="B133" i="31" s="1"/>
  <c r="H107" i="31"/>
  <c r="M144" i="27"/>
  <c r="C144" i="32"/>
  <c r="M144" i="29"/>
  <c r="M110" i="30"/>
  <c r="E110" i="32"/>
  <c r="M110" i="31"/>
  <c r="M183" i="27"/>
  <c r="C183" i="32"/>
  <c r="M183" i="29"/>
  <c r="M178" i="27"/>
  <c r="M178" i="29"/>
  <c r="C178" i="32"/>
  <c r="H135" i="27"/>
  <c r="M129" i="27"/>
  <c r="M129" i="29"/>
  <c r="C129" i="32"/>
  <c r="G141" i="29"/>
  <c r="G142" i="29" s="1"/>
  <c r="G211" i="29" s="1"/>
  <c r="G219" i="29" s="1"/>
  <c r="G220" i="29" s="1"/>
  <c r="C36" i="32"/>
  <c r="C63" i="32" s="1"/>
  <c r="D121" i="32"/>
  <c r="D132" i="32" s="1"/>
  <c r="D141" i="29"/>
  <c r="D142" i="29" s="1"/>
  <c r="D211" i="29" s="1"/>
  <c r="D219" i="29" s="1"/>
  <c r="D220" i="29" s="1"/>
  <c r="F110" i="32"/>
  <c r="C103" i="32"/>
  <c r="M103" i="29"/>
  <c r="M100" i="29"/>
  <c r="M160" i="27"/>
  <c r="M160" i="29"/>
  <c r="C160" i="32"/>
  <c r="M166" i="27"/>
  <c r="C166" i="32"/>
  <c r="M166" i="29"/>
  <c r="M75" i="29"/>
  <c r="M187" i="27"/>
  <c r="M187" i="29"/>
  <c r="C187" i="32"/>
  <c r="M209" i="29"/>
  <c r="M207" i="29"/>
  <c r="M86" i="29"/>
  <c r="M137" i="29"/>
  <c r="M163" i="29"/>
  <c r="M152" i="29"/>
  <c r="C172" i="32"/>
  <c r="C132" i="27"/>
  <c r="H63" i="27"/>
  <c r="M63" i="27" s="1"/>
  <c r="D136" i="27"/>
  <c r="H131" i="27"/>
  <c r="M131" i="27" s="1"/>
  <c r="H121" i="27"/>
  <c r="M121" i="27" s="1"/>
  <c r="B197" i="27"/>
  <c r="H185" i="27"/>
  <c r="G197" i="27"/>
  <c r="D141" i="27"/>
  <c r="D142" i="27" s="1"/>
  <c r="H140" i="27"/>
  <c r="G136" i="27"/>
  <c r="M114" i="27"/>
  <c r="F141" i="27"/>
  <c r="F142" i="27" s="1"/>
  <c r="F211" i="27" s="1"/>
  <c r="F219" i="27" s="1"/>
  <c r="F220" i="27" s="1"/>
  <c r="M172" i="27"/>
  <c r="E136" i="27"/>
  <c r="B136" i="27"/>
  <c r="H147" i="27"/>
  <c r="B154" i="27"/>
  <c r="M61" i="27"/>
  <c r="H64" i="27"/>
  <c r="M64" i="27" s="1"/>
  <c r="M74" i="27"/>
  <c r="D90" i="27"/>
  <c r="D97" i="27" s="1"/>
  <c r="H83" i="27"/>
  <c r="D197" i="27"/>
  <c r="H182" i="27"/>
  <c r="D68" i="32" l="1"/>
  <c r="C90" i="29"/>
  <c r="H82" i="29"/>
  <c r="M132" i="29"/>
  <c r="I134" i="29"/>
  <c r="D134" i="32"/>
  <c r="J134" i="32" s="1"/>
  <c r="C65" i="32"/>
  <c r="B134" i="27"/>
  <c r="B133" i="27"/>
  <c r="M157" i="29"/>
  <c r="C157" i="32"/>
  <c r="I196" i="32"/>
  <c r="D93" i="32"/>
  <c r="D96" i="32" s="1"/>
  <c r="H96" i="29"/>
  <c r="E197" i="29"/>
  <c r="E211" i="29" s="1"/>
  <c r="E219" i="29" s="1"/>
  <c r="E220" i="29" s="1"/>
  <c r="H194" i="29"/>
  <c r="E96" i="30"/>
  <c r="E97" i="30" s="1"/>
  <c r="H93" i="30"/>
  <c r="E93" i="31"/>
  <c r="E194" i="30"/>
  <c r="C194" i="32"/>
  <c r="M93" i="29"/>
  <c r="C134" i="27"/>
  <c r="C133" i="27"/>
  <c r="M121" i="29"/>
  <c r="F141" i="31"/>
  <c r="F142" i="31" s="1"/>
  <c r="F211" i="31" s="1"/>
  <c r="F219" i="31" s="1"/>
  <c r="F220" i="31" s="1"/>
  <c r="C147" i="32"/>
  <c r="M147" i="29"/>
  <c r="H132" i="30"/>
  <c r="M121" i="30"/>
  <c r="D141" i="31"/>
  <c r="D142" i="31" s="1"/>
  <c r="D211" i="31" s="1"/>
  <c r="D219" i="31" s="1"/>
  <c r="D220" i="31" s="1"/>
  <c r="D141" i="30"/>
  <c r="D142" i="30" s="1"/>
  <c r="D211" i="30" s="1"/>
  <c r="D219" i="30" s="1"/>
  <c r="D220" i="30" s="1"/>
  <c r="I133" i="29"/>
  <c r="D133" i="32"/>
  <c r="J133" i="32" s="1"/>
  <c r="H141" i="29"/>
  <c r="H142" i="29" s="1"/>
  <c r="M36" i="29"/>
  <c r="C134" i="30"/>
  <c r="H134" i="30" s="1"/>
  <c r="C83" i="32"/>
  <c r="C90" i="32" s="1"/>
  <c r="D69" i="32"/>
  <c r="B134" i="31"/>
  <c r="G141" i="31"/>
  <c r="G142" i="31" s="1"/>
  <c r="G211" i="31" s="1"/>
  <c r="G219" i="31" s="1"/>
  <c r="G220" i="31" s="1"/>
  <c r="M114" i="29"/>
  <c r="B141" i="30"/>
  <c r="B142" i="30" s="1"/>
  <c r="B211" i="30" s="1"/>
  <c r="B219" i="30" s="1"/>
  <c r="B220" i="30" s="1"/>
  <c r="M64" i="29"/>
  <c r="M61" i="29"/>
  <c r="M182" i="27"/>
  <c r="M182" i="29"/>
  <c r="C182" i="32"/>
  <c r="M185" i="27"/>
  <c r="C185" i="32"/>
  <c r="M185" i="29"/>
  <c r="F107" i="32"/>
  <c r="H121" i="31"/>
  <c r="M107" i="31"/>
  <c r="M20" i="27"/>
  <c r="C20" i="32"/>
  <c r="I82" i="27"/>
  <c r="I28" i="27"/>
  <c r="C134" i="31"/>
  <c r="C141" i="31" s="1"/>
  <c r="C142" i="31" s="1"/>
  <c r="C154" i="27"/>
  <c r="H151" i="27"/>
  <c r="H154" i="27" s="1"/>
  <c r="M154" i="27" s="1"/>
  <c r="M135" i="27"/>
  <c r="C135" i="32"/>
  <c r="M135" i="29"/>
  <c r="H68" i="29"/>
  <c r="H69" i="29"/>
  <c r="F123" i="32"/>
  <c r="F131" i="32" s="1"/>
  <c r="H131" i="31"/>
  <c r="M131" i="31" s="1"/>
  <c r="M123" i="31"/>
  <c r="C80" i="27"/>
  <c r="C97" i="27" s="1"/>
  <c r="H79" i="27"/>
  <c r="E121" i="32"/>
  <c r="E132" i="32" s="1"/>
  <c r="M140" i="27"/>
  <c r="C140" i="32"/>
  <c r="M140" i="29"/>
  <c r="G141" i="30"/>
  <c r="G142" i="30" s="1"/>
  <c r="G211" i="30" s="1"/>
  <c r="G219" i="30" s="1"/>
  <c r="G220" i="30" s="1"/>
  <c r="E141" i="30"/>
  <c r="E142" i="30" s="1"/>
  <c r="C20" i="30"/>
  <c r="C82" i="30" s="1"/>
  <c r="C79" i="29"/>
  <c r="H20" i="29"/>
  <c r="C151" i="29"/>
  <c r="C121" i="32"/>
  <c r="C132" i="32" s="1"/>
  <c r="C69" i="32" s="1"/>
  <c r="F141" i="30"/>
  <c r="F142" i="30" s="1"/>
  <c r="F211" i="30" s="1"/>
  <c r="F219" i="30" s="1"/>
  <c r="F220" i="30" s="1"/>
  <c r="M172" i="29"/>
  <c r="H65" i="27"/>
  <c r="H132" i="27"/>
  <c r="H68" i="27" s="1"/>
  <c r="M68" i="27" s="1"/>
  <c r="G141" i="27"/>
  <c r="G142" i="27" s="1"/>
  <c r="G211" i="27" s="1"/>
  <c r="G219" i="27" s="1"/>
  <c r="G220" i="27" s="1"/>
  <c r="E141" i="27"/>
  <c r="E142" i="27" s="1"/>
  <c r="E211" i="27" s="1"/>
  <c r="E219" i="27" s="1"/>
  <c r="E220" i="27" s="1"/>
  <c r="H197" i="27"/>
  <c r="M197" i="27" s="1"/>
  <c r="M147" i="27"/>
  <c r="D211" i="27"/>
  <c r="D219" i="27" s="1"/>
  <c r="D220" i="27" s="1"/>
  <c r="H136" i="27"/>
  <c r="M83" i="27"/>
  <c r="H90" i="27"/>
  <c r="M90" i="27" s="1"/>
  <c r="E68" i="32" l="1"/>
  <c r="C90" i="30"/>
  <c r="H82" i="30"/>
  <c r="D82" i="32"/>
  <c r="D90" i="32" s="1"/>
  <c r="H90" i="29"/>
  <c r="M82" i="29"/>
  <c r="C141" i="30"/>
  <c r="C142" i="30" s="1"/>
  <c r="D141" i="32"/>
  <c r="H134" i="27"/>
  <c r="I134" i="27" s="1"/>
  <c r="B141" i="27"/>
  <c r="B142" i="27" s="1"/>
  <c r="H133" i="27"/>
  <c r="I133" i="27" s="1"/>
  <c r="C141" i="27"/>
  <c r="C142" i="27" s="1"/>
  <c r="C211" i="27" s="1"/>
  <c r="C219" i="27" s="1"/>
  <c r="C220" i="27" s="1"/>
  <c r="M68" i="29"/>
  <c r="M96" i="29"/>
  <c r="C197" i="32"/>
  <c r="E93" i="32"/>
  <c r="E96" i="32" s="1"/>
  <c r="M93" i="30"/>
  <c r="H96" i="30"/>
  <c r="M96" i="30" s="1"/>
  <c r="E197" i="30"/>
  <c r="E211" i="30" s="1"/>
  <c r="E219" i="30" s="1"/>
  <c r="E220" i="30" s="1"/>
  <c r="H194" i="30"/>
  <c r="D194" i="32"/>
  <c r="D197" i="32" s="1"/>
  <c r="H197" i="29"/>
  <c r="H93" i="31"/>
  <c r="E96" i="31"/>
  <c r="E97" i="31" s="1"/>
  <c r="E194" i="31"/>
  <c r="B141" i="31"/>
  <c r="B142" i="31" s="1"/>
  <c r="B211" i="31" s="1"/>
  <c r="B219" i="31" s="1"/>
  <c r="B220" i="31" s="1"/>
  <c r="H133" i="31"/>
  <c r="H134" i="31"/>
  <c r="M121" i="31"/>
  <c r="H132" i="31"/>
  <c r="H133" i="30"/>
  <c r="C68" i="32"/>
  <c r="E134" i="32"/>
  <c r="K134" i="32" s="1"/>
  <c r="M134" i="30"/>
  <c r="I134" i="30"/>
  <c r="M83" i="29"/>
  <c r="M90" i="29"/>
  <c r="M65" i="27"/>
  <c r="B161" i="27"/>
  <c r="M79" i="27"/>
  <c r="C79" i="32"/>
  <c r="C80" i="32" s="1"/>
  <c r="C97" i="32" s="1"/>
  <c r="C70" i="32" s="1"/>
  <c r="H80" i="27"/>
  <c r="M80" i="27" s="1"/>
  <c r="H151" i="29"/>
  <c r="C154" i="29"/>
  <c r="C211" i="29" s="1"/>
  <c r="M151" i="27"/>
  <c r="C151" i="32"/>
  <c r="C154" i="32" s="1"/>
  <c r="F121" i="32"/>
  <c r="F132" i="32" s="1"/>
  <c r="E69" i="32"/>
  <c r="I82" i="29"/>
  <c r="D20" i="32"/>
  <c r="I28" i="29"/>
  <c r="M20" i="29"/>
  <c r="H68" i="30"/>
  <c r="M68" i="30" s="1"/>
  <c r="M132" i="30"/>
  <c r="H69" i="30"/>
  <c r="M69" i="30" s="1"/>
  <c r="M134" i="29"/>
  <c r="C134" i="32"/>
  <c r="C80" i="29"/>
  <c r="C97" i="29" s="1"/>
  <c r="H79" i="29"/>
  <c r="M136" i="27"/>
  <c r="C136" i="32"/>
  <c r="M136" i="29"/>
  <c r="C20" i="31"/>
  <c r="C82" i="31" s="1"/>
  <c r="H20" i="30"/>
  <c r="C79" i="30"/>
  <c r="C151" i="30"/>
  <c r="M65" i="29"/>
  <c r="M63" i="29"/>
  <c r="M69" i="29"/>
  <c r="M132" i="27"/>
  <c r="H69" i="27"/>
  <c r="M69" i="27" s="1"/>
  <c r="F68" i="32" l="1"/>
  <c r="D142" i="32"/>
  <c r="H82" i="31"/>
  <c r="C90" i="31"/>
  <c r="M82" i="30"/>
  <c r="E82" i="32"/>
  <c r="E90" i="32" s="1"/>
  <c r="H90" i="30"/>
  <c r="M90" i="30" s="1"/>
  <c r="M134" i="27"/>
  <c r="C133" i="32"/>
  <c r="C141" i="32" s="1"/>
  <c r="C142" i="32" s="1"/>
  <c r="M133" i="27"/>
  <c r="H141" i="27"/>
  <c r="M141" i="27" s="1"/>
  <c r="M133" i="29"/>
  <c r="M197" i="29"/>
  <c r="F93" i="32"/>
  <c r="F96" i="32" s="1"/>
  <c r="M93" i="31"/>
  <c r="H96" i="31"/>
  <c r="M96" i="31" s="1"/>
  <c r="E194" i="32"/>
  <c r="E197" i="32" s="1"/>
  <c r="H197" i="30"/>
  <c r="M197" i="30" s="1"/>
  <c r="H194" i="31"/>
  <c r="E197" i="31"/>
  <c r="E211" i="31" s="1"/>
  <c r="E219" i="31" s="1"/>
  <c r="E220" i="31" s="1"/>
  <c r="F69" i="32"/>
  <c r="C80" i="30"/>
  <c r="C97" i="30" s="1"/>
  <c r="H79" i="30"/>
  <c r="I28" i="30"/>
  <c r="M20" i="30"/>
  <c r="E20" i="32"/>
  <c r="I82" i="30"/>
  <c r="H154" i="29"/>
  <c r="H211" i="29" s="1"/>
  <c r="H67" i="29" s="1"/>
  <c r="M151" i="29"/>
  <c r="D151" i="32"/>
  <c r="D154" i="32" s="1"/>
  <c r="D211" i="32" s="1"/>
  <c r="M134" i="31"/>
  <c r="I134" i="31"/>
  <c r="F134" i="32"/>
  <c r="L134" i="32" s="1"/>
  <c r="I133" i="30"/>
  <c r="M133" i="30"/>
  <c r="H141" i="30"/>
  <c r="E133" i="32"/>
  <c r="H141" i="31"/>
  <c r="I133" i="31"/>
  <c r="F133" i="32"/>
  <c r="L133" i="32" s="1"/>
  <c r="M132" i="31"/>
  <c r="H68" i="31"/>
  <c r="M68" i="31" s="1"/>
  <c r="H69" i="31"/>
  <c r="M69" i="31" s="1"/>
  <c r="C151" i="31"/>
  <c r="C79" i="31"/>
  <c r="H20" i="31"/>
  <c r="H80" i="29"/>
  <c r="H97" i="29" s="1"/>
  <c r="M79" i="29"/>
  <c r="D79" i="32"/>
  <c r="D80" i="32" s="1"/>
  <c r="D97" i="32" s="1"/>
  <c r="C219" i="29"/>
  <c r="C220" i="29" s="1"/>
  <c r="H161" i="27"/>
  <c r="B170" i="27"/>
  <c r="B211" i="27" s="1"/>
  <c r="B219" i="27" s="1"/>
  <c r="B220" i="27" s="1"/>
  <c r="C154" i="30"/>
  <c r="C211" i="30" s="1"/>
  <c r="H151" i="30"/>
  <c r="H97" i="27"/>
  <c r="M97" i="27" s="1"/>
  <c r="E141" i="32" l="1"/>
  <c r="K133" i="32"/>
  <c r="D67" i="32"/>
  <c r="D249" i="32"/>
  <c r="D246" i="32"/>
  <c r="D250" i="32"/>
  <c r="D252" i="32"/>
  <c r="D254" i="32"/>
  <c r="D248" i="32"/>
  <c r="D225" i="32"/>
  <c r="D232" i="32" s="1"/>
  <c r="D247" i="32"/>
  <c r="D251" i="32"/>
  <c r="D245" i="32"/>
  <c r="D253" i="32"/>
  <c r="D255" i="32"/>
  <c r="D244" i="32"/>
  <c r="D242" i="32"/>
  <c r="D243" i="32"/>
  <c r="M82" i="31"/>
  <c r="F82" i="32"/>
  <c r="F90" i="32" s="1"/>
  <c r="H90" i="31"/>
  <c r="H142" i="27"/>
  <c r="M142" i="27" s="1"/>
  <c r="M141" i="29"/>
  <c r="M141" i="31"/>
  <c r="F194" i="32"/>
  <c r="F197" i="32" s="1"/>
  <c r="H197" i="31"/>
  <c r="M197" i="31" s="1"/>
  <c r="C219" i="30"/>
  <c r="C220" i="30" s="1"/>
  <c r="M80" i="29"/>
  <c r="H70" i="27"/>
  <c r="M70" i="27" s="1"/>
  <c r="F20" i="32"/>
  <c r="I28" i="31"/>
  <c r="I82" i="31"/>
  <c r="C80" i="31"/>
  <c r="C97" i="31" s="1"/>
  <c r="H79" i="31"/>
  <c r="H154" i="30"/>
  <c r="M154" i="30" s="1"/>
  <c r="M151" i="30"/>
  <c r="E151" i="32"/>
  <c r="E154" i="32" s="1"/>
  <c r="M141" i="30"/>
  <c r="H142" i="30"/>
  <c r="M154" i="29"/>
  <c r="C154" i="31"/>
  <c r="C211" i="31" s="1"/>
  <c r="H151" i="31"/>
  <c r="H142" i="31"/>
  <c r="M20" i="31"/>
  <c r="M161" i="27"/>
  <c r="C161" i="32"/>
  <c r="C170" i="32" s="1"/>
  <c r="C211" i="32" s="1"/>
  <c r="H170" i="27"/>
  <c r="M170" i="27" s="1"/>
  <c r="M79" i="30"/>
  <c r="H80" i="30"/>
  <c r="E79" i="32"/>
  <c r="E80" i="32" s="1"/>
  <c r="E97" i="32" s="1"/>
  <c r="D70" i="32"/>
  <c r="D219" i="32"/>
  <c r="M133" i="31"/>
  <c r="H70" i="29"/>
  <c r="M70" i="29" s="1"/>
  <c r="H219" i="29"/>
  <c r="M97" i="29"/>
  <c r="F141" i="32"/>
  <c r="F142" i="32" l="1"/>
  <c r="E142" i="32"/>
  <c r="E211" i="32" s="1"/>
  <c r="D257" i="32"/>
  <c r="D220" i="32"/>
  <c r="D237" i="32"/>
  <c r="D238" i="32" s="1"/>
  <c r="M90" i="31"/>
  <c r="C219" i="31"/>
  <c r="C220" i="31" s="1"/>
  <c r="C219" i="32"/>
  <c r="C220" i="32" s="1"/>
  <c r="C67" i="32"/>
  <c r="H211" i="27"/>
  <c r="H67" i="27" s="1"/>
  <c r="M67" i="27" s="1"/>
  <c r="H97" i="30"/>
  <c r="M80" i="30"/>
  <c r="H80" i="31"/>
  <c r="F79" i="32"/>
  <c r="F80" i="32" s="1"/>
  <c r="F97" i="32" s="1"/>
  <c r="F70" i="32" s="1"/>
  <c r="M142" i="31"/>
  <c r="M142" i="29"/>
  <c r="M79" i="31"/>
  <c r="E70" i="32"/>
  <c r="H154" i="31"/>
  <c r="H211" i="31" s="1"/>
  <c r="F151" i="32"/>
  <c r="F154" i="32" s="1"/>
  <c r="F211" i="32" s="1"/>
  <c r="M151" i="31"/>
  <c r="M161" i="29"/>
  <c r="M170" i="29"/>
  <c r="D223" i="32"/>
  <c r="H220" i="29"/>
  <c r="M220" i="29" s="1"/>
  <c r="M142" i="30"/>
  <c r="H211" i="30"/>
  <c r="H67" i="30" s="1"/>
  <c r="M67" i="30" s="1"/>
  <c r="F253" i="32" l="1"/>
  <c r="F248" i="32"/>
  <c r="F250" i="32"/>
  <c r="F252" i="32"/>
  <c r="F247" i="32"/>
  <c r="F225" i="32"/>
  <c r="F232" i="32" s="1"/>
  <c r="F251" i="32"/>
  <c r="F254" i="32"/>
  <c r="F249" i="32"/>
  <c r="F245" i="32"/>
  <c r="F255" i="32"/>
  <c r="F246" i="32"/>
  <c r="F244" i="32"/>
  <c r="F242" i="32"/>
  <c r="F243" i="32"/>
  <c r="E243" i="32"/>
  <c r="H243" i="32" s="1"/>
  <c r="E219" i="32"/>
  <c r="E237" i="32" s="1"/>
  <c r="E67" i="32"/>
  <c r="E255" i="32"/>
  <c r="E254" i="32"/>
  <c r="E251" i="32"/>
  <c r="E247" i="32"/>
  <c r="H247" i="32" s="1"/>
  <c r="E250" i="32"/>
  <c r="H250" i="32" s="1"/>
  <c r="E253" i="32"/>
  <c r="H253" i="32" s="1"/>
  <c r="E249" i="32"/>
  <c r="E225" i="32"/>
  <c r="E232" i="32" s="1"/>
  <c r="E252" i="32"/>
  <c r="E248" i="32"/>
  <c r="H248" i="32" s="1"/>
  <c r="E245" i="32"/>
  <c r="E246" i="32"/>
  <c r="E244" i="32"/>
  <c r="H244" i="32" s="1"/>
  <c r="E242" i="32"/>
  <c r="D239" i="32"/>
  <c r="E235" i="32"/>
  <c r="E238" i="32" s="1"/>
  <c r="M211" i="31"/>
  <c r="H67" i="31"/>
  <c r="M67" i="31" s="1"/>
  <c r="F219" i="32"/>
  <c r="F67" i="32"/>
  <c r="H97" i="31"/>
  <c r="M80" i="31"/>
  <c r="M211" i="27"/>
  <c r="E220" i="32"/>
  <c r="H219" i="27"/>
  <c r="C223" i="32" s="1"/>
  <c r="M97" i="30"/>
  <c r="H70" i="30"/>
  <c r="M70" i="30" s="1"/>
  <c r="H219" i="30"/>
  <c r="E223" i="32" s="1"/>
  <c r="M211" i="30"/>
  <c r="M154" i="31"/>
  <c r="H254" i="32" l="1"/>
  <c r="H252" i="32"/>
  <c r="H249" i="32"/>
  <c r="H251" i="32"/>
  <c r="H246" i="32"/>
  <c r="H245" i="32"/>
  <c r="H255" i="32"/>
  <c r="F257" i="32"/>
  <c r="F220" i="32"/>
  <c r="F237" i="32"/>
  <c r="E257" i="32"/>
  <c r="H242" i="32"/>
  <c r="F235" i="32"/>
  <c r="E239" i="32"/>
  <c r="M219" i="27"/>
  <c r="H220" i="27"/>
  <c r="M220" i="27" s="1"/>
  <c r="H70" i="31"/>
  <c r="M70" i="31" s="1"/>
  <c r="H219" i="31"/>
  <c r="M219" i="31" s="1"/>
  <c r="M97" i="31"/>
  <c r="M219" i="29"/>
  <c r="M211" i="29"/>
  <c r="M67" i="29"/>
  <c r="M219" i="30"/>
  <c r="H220" i="30"/>
  <c r="M220" i="30" s="1"/>
  <c r="F238" i="32" l="1"/>
  <c r="F239" i="32" s="1"/>
  <c r="H257" i="32"/>
  <c r="F223" i="32"/>
  <c r="H220" i="31"/>
  <c r="M220" i="31" s="1"/>
  <c r="Q2" i="26" l="1"/>
  <c r="N6" i="26" a="1"/>
  <c r="N6" i="26" s="1"/>
  <c r="I6" i="26" s="1"/>
  <c r="O6" i="26" s="1"/>
  <c r="N7" i="26" a="1"/>
  <c r="N7" i="26" s="1"/>
  <c r="I7" i="26" s="1"/>
  <c r="N8" i="26" a="1"/>
  <c r="N8" i="26" s="1"/>
  <c r="I8" i="26" s="1"/>
  <c r="N9" i="26" a="1"/>
  <c r="N9" i="26" s="1"/>
  <c r="I9" i="26" s="1"/>
  <c r="O9" i="26" s="1"/>
  <c r="N10" i="26" a="1"/>
  <c r="N10" i="26" s="1"/>
  <c r="N11" i="26" a="1"/>
  <c r="N11" i="26"/>
  <c r="I11" i="26" s="1"/>
  <c r="N12" i="26" a="1"/>
  <c r="N12" i="26" s="1"/>
  <c r="N13" i="26" a="1"/>
  <c r="N13" i="26" s="1"/>
  <c r="N14" i="26" a="1"/>
  <c r="N14" i="26"/>
  <c r="I14" i="26" s="1"/>
  <c r="N15" i="26" a="1"/>
  <c r="N15" i="26"/>
  <c r="I15" i="26" s="1"/>
  <c r="N16" i="26" a="1"/>
  <c r="N16" i="26"/>
  <c r="I16" i="26" s="1"/>
  <c r="O16" i="26" s="1"/>
  <c r="N17" i="26" a="1"/>
  <c r="N17" i="26" s="1"/>
  <c r="I17" i="26" s="1"/>
  <c r="N18" i="26" a="1"/>
  <c r="N18" i="26" s="1"/>
  <c r="I18" i="26" s="1"/>
  <c r="N19" i="26" a="1"/>
  <c r="N19" i="26" s="1"/>
  <c r="I19" i="26" s="1"/>
  <c r="N20" i="26" a="1"/>
  <c r="N20" i="26" s="1"/>
  <c r="I20" i="26" s="1"/>
  <c r="N21" i="26" a="1"/>
  <c r="N21" i="26" s="1"/>
  <c r="I21" i="26" s="1"/>
  <c r="N22" i="26" a="1"/>
  <c r="N22" i="26" s="1"/>
  <c r="N23" i="26" a="1"/>
  <c r="N23" i="26"/>
  <c r="I23" i="26" s="1"/>
  <c r="N24" i="26" a="1"/>
  <c r="N24" i="26" s="1"/>
  <c r="N25" i="26" a="1"/>
  <c r="N25" i="26" s="1"/>
  <c r="N26" i="26" a="1"/>
  <c r="N26" i="26"/>
  <c r="I26" i="26" s="1"/>
  <c r="N27" i="26" a="1"/>
  <c r="N27" i="26"/>
  <c r="I27" i="26" s="1"/>
  <c r="N28" i="26" a="1"/>
  <c r="N28" i="26"/>
  <c r="I28" i="26" s="1"/>
  <c r="O28" i="26" s="1"/>
  <c r="N29" i="26" a="1"/>
  <c r="N29" i="26" s="1"/>
  <c r="I29" i="26" s="1"/>
  <c r="N30" i="26" a="1"/>
  <c r="N30" i="26" s="1"/>
  <c r="I30" i="26" s="1"/>
  <c r="N31" i="26" a="1"/>
  <c r="N31" i="26" s="1"/>
  <c r="I31" i="26" s="1"/>
  <c r="N32" i="26" a="1"/>
  <c r="N32" i="26" s="1"/>
  <c r="I32" i="26" s="1"/>
  <c r="N33" i="26" a="1"/>
  <c r="N33" i="26" s="1"/>
  <c r="I33" i="26" s="1"/>
  <c r="N34" i="26" a="1"/>
  <c r="N34" i="26" s="1"/>
  <c r="N35" i="26" a="1"/>
  <c r="N35" i="26"/>
  <c r="I35" i="26" s="1"/>
  <c r="O35" i="26" s="1"/>
  <c r="N36" i="26" a="1"/>
  <c r="N36" i="26" s="1"/>
  <c r="N37" i="26" a="1"/>
  <c r="N37" i="26" s="1"/>
  <c r="N38" i="26" a="1"/>
  <c r="N38" i="26"/>
  <c r="I38" i="26" s="1"/>
  <c r="O38" i="26" s="1"/>
  <c r="N39" i="26" a="1"/>
  <c r="N39" i="26"/>
  <c r="I39" i="26" s="1"/>
  <c r="N40" i="26" a="1"/>
  <c r="N40" i="26"/>
  <c r="I40" i="26" s="1"/>
  <c r="O40" i="26" s="1"/>
  <c r="N41" i="26" a="1"/>
  <c r="N41" i="26" s="1"/>
  <c r="N42" i="26" a="1"/>
  <c r="N42" i="26" s="1"/>
  <c r="N43" i="26" a="1"/>
  <c r="N43" i="26" s="1"/>
  <c r="N44" i="26" a="1"/>
  <c r="N44" i="26" s="1"/>
  <c r="N45" i="26" a="1"/>
  <c r="N45" i="26" s="1"/>
  <c r="N46" i="26" a="1"/>
  <c r="N46" i="26" s="1"/>
  <c r="N47" i="26" a="1"/>
  <c r="N47" i="26" s="1"/>
  <c r="N48" i="26" a="1"/>
  <c r="N48" i="26"/>
  <c r="I48" i="26" s="1"/>
  <c r="N49" i="26" a="1"/>
  <c r="N49" i="26" s="1"/>
  <c r="I49" i="26" s="1"/>
  <c r="O49" i="26" s="1"/>
  <c r="N50" i="26" a="1"/>
  <c r="N50" i="26" s="1"/>
  <c r="N51" i="26" a="1"/>
  <c r="N51" i="26"/>
  <c r="I51" i="26" s="1"/>
  <c r="N52" i="26" a="1"/>
  <c r="N52" i="26" s="1"/>
  <c r="N53" i="26" a="1"/>
  <c r="N53" i="26" s="1"/>
  <c r="N54" i="26" a="1"/>
  <c r="N54" i="26"/>
  <c r="I54" i="26" s="1"/>
  <c r="O54" i="26"/>
  <c r="N55" i="26" a="1"/>
  <c r="N55" i="26" s="1"/>
  <c r="N56" i="26" a="1"/>
  <c r="N56" i="26" s="1"/>
  <c r="N57" i="26" a="1"/>
  <c r="N57" i="26"/>
  <c r="I57" i="26" s="1"/>
  <c r="N58" i="26" a="1"/>
  <c r="N58" i="26" s="1"/>
  <c r="I58" i="26" s="1"/>
  <c r="O58" i="26" s="1"/>
  <c r="N59" i="26" a="1"/>
  <c r="N59" i="26" s="1"/>
  <c r="N60" i="26" a="1"/>
  <c r="N60" i="26"/>
  <c r="I60" i="26" s="1"/>
  <c r="O60" i="26"/>
  <c r="N61" i="26" a="1"/>
  <c r="N61" i="26" s="1"/>
  <c r="N62" i="26" a="1"/>
  <c r="N62" i="26" s="1"/>
  <c r="N63" i="26" a="1"/>
  <c r="N63" i="26" s="1"/>
  <c r="N64" i="26" a="1"/>
  <c r="N64" i="26" s="1"/>
  <c r="N65" i="26" a="1"/>
  <c r="N65" i="26" s="1"/>
  <c r="N66" i="26" a="1"/>
  <c r="N66" i="26"/>
  <c r="I66" i="26" s="1"/>
  <c r="N67" i="26" a="1"/>
  <c r="N67" i="26"/>
  <c r="I67" i="26" s="1"/>
  <c r="O67" i="26" s="1"/>
  <c r="N68" i="26" a="1"/>
  <c r="N68" i="26" s="1"/>
  <c r="N69" i="26" a="1"/>
  <c r="N69" i="26" s="1"/>
  <c r="N70" i="26" a="1"/>
  <c r="N70" i="26" s="1"/>
  <c r="N71" i="26" a="1"/>
  <c r="N71" i="26" s="1"/>
  <c r="N72" i="26" a="1"/>
  <c r="N72" i="26" s="1"/>
  <c r="I73" i="26"/>
  <c r="N73" i="26" a="1"/>
  <c r="N73" i="26" s="1"/>
  <c r="O73" i="26" s="1"/>
  <c r="I74" i="26"/>
  <c r="N74" i="26" a="1"/>
  <c r="N74" i="26" s="1"/>
  <c r="O74" i="26" s="1"/>
  <c r="I75" i="26"/>
  <c r="N75" i="26" a="1"/>
  <c r="N75" i="26" s="1"/>
  <c r="O75" i="26" s="1"/>
  <c r="I76" i="26"/>
  <c r="N76" i="26" a="1"/>
  <c r="N76" i="26" s="1"/>
  <c r="O76" i="26" s="1"/>
  <c r="I77" i="26"/>
  <c r="N77" i="26" a="1"/>
  <c r="N77" i="26" s="1"/>
  <c r="N78" i="26" a="1"/>
  <c r="N78" i="26" s="1"/>
  <c r="I78" i="26" s="1"/>
  <c r="I79" i="26"/>
  <c r="N79" i="26" a="1"/>
  <c r="N79" i="26" s="1"/>
  <c r="O79" i="26" s="1"/>
  <c r="I80" i="26"/>
  <c r="N80" i="26" a="1"/>
  <c r="N80" i="26" s="1"/>
  <c r="I81" i="26"/>
  <c r="N81" i="26" a="1"/>
  <c r="N81" i="26"/>
  <c r="I82" i="26"/>
  <c r="N82" i="26" a="1"/>
  <c r="N82" i="26" s="1"/>
  <c r="O82" i="26" s="1"/>
  <c r="I83" i="26"/>
  <c r="N83" i="26" a="1"/>
  <c r="N83" i="26" s="1"/>
  <c r="I84" i="26"/>
  <c r="N84" i="26" a="1"/>
  <c r="N84" i="26"/>
  <c r="O84" i="26" s="1"/>
  <c r="I85" i="26"/>
  <c r="N85" i="26" a="1"/>
  <c r="N85" i="26" s="1"/>
  <c r="O85" i="26" s="1"/>
  <c r="I86" i="26"/>
  <c r="N86" i="26" a="1"/>
  <c r="N86" i="26" s="1"/>
  <c r="I87" i="26"/>
  <c r="N87" i="26" a="1"/>
  <c r="N87" i="26"/>
  <c r="O87" i="26" s="1"/>
  <c r="I88" i="26"/>
  <c r="N88" i="26" a="1"/>
  <c r="N88" i="26"/>
  <c r="O88" i="26" s="1"/>
  <c r="I89" i="26"/>
  <c r="N89" i="26" a="1"/>
  <c r="N89" i="26" s="1"/>
  <c r="O89" i="26" s="1"/>
  <c r="I90" i="26"/>
  <c r="N90" i="26" a="1"/>
  <c r="N90" i="26" s="1"/>
  <c r="O90" i="26" s="1"/>
  <c r="I91" i="26"/>
  <c r="N91" i="26" a="1"/>
  <c r="N91" i="26" s="1"/>
  <c r="O91" i="26" s="1"/>
  <c r="I92" i="26"/>
  <c r="N92" i="26" a="1"/>
  <c r="N92" i="26" s="1"/>
  <c r="I93" i="26"/>
  <c r="N93" i="26" a="1"/>
  <c r="N93" i="26" s="1"/>
  <c r="O93" i="26" s="1"/>
  <c r="I94" i="26"/>
  <c r="N94" i="26" a="1"/>
  <c r="N94" i="26"/>
  <c r="O94" i="26" s="1"/>
  <c r="I95" i="26"/>
  <c r="N95" i="26" a="1"/>
  <c r="N95" i="26" s="1"/>
  <c r="I96" i="26"/>
  <c r="N96" i="26" a="1"/>
  <c r="N96" i="26" s="1"/>
  <c r="O96" i="26" s="1"/>
  <c r="I97" i="26"/>
  <c r="N97" i="26" a="1"/>
  <c r="N97" i="26" s="1"/>
  <c r="O97" i="26" s="1"/>
  <c r="I98" i="26"/>
  <c r="N98" i="26" a="1"/>
  <c r="N98" i="26" s="1"/>
  <c r="O98" i="26" s="1"/>
  <c r="I99" i="26"/>
  <c r="N99" i="26" a="1"/>
  <c r="N99" i="26" s="1"/>
  <c r="O99" i="26" s="1"/>
  <c r="I100" i="26"/>
  <c r="N100" i="26" a="1"/>
  <c r="N100" i="26" s="1"/>
  <c r="O100" i="26" s="1"/>
  <c r="I101" i="26"/>
  <c r="N101" i="26" a="1"/>
  <c r="N101" i="26" s="1"/>
  <c r="I102" i="26"/>
  <c r="N102" i="26" a="1"/>
  <c r="N102" i="26"/>
  <c r="I103" i="26"/>
  <c r="N103" i="26" a="1"/>
  <c r="N103" i="26" s="1"/>
  <c r="O103" i="26" s="1"/>
  <c r="I104" i="26"/>
  <c r="N104" i="26" a="1"/>
  <c r="N104" i="26" s="1"/>
  <c r="I105" i="26"/>
  <c r="N105" i="26" a="1"/>
  <c r="N105" i="26"/>
  <c r="O105" i="26" s="1"/>
  <c r="I106" i="26"/>
  <c r="N106" i="26" a="1"/>
  <c r="N106" i="26" s="1"/>
  <c r="I107" i="26"/>
  <c r="N107" i="26" a="1"/>
  <c r="N107" i="26" s="1"/>
  <c r="I108" i="26"/>
  <c r="N108" i="26" a="1"/>
  <c r="N108" i="26"/>
  <c r="O108" i="26" s="1"/>
  <c r="I109" i="26"/>
  <c r="N109" i="26" a="1"/>
  <c r="N109" i="26" s="1"/>
  <c r="I110" i="26"/>
  <c r="N110" i="26" a="1"/>
  <c r="N110" i="26" s="1"/>
  <c r="I111" i="26"/>
  <c r="N111" i="26" a="1"/>
  <c r="N111" i="26"/>
  <c r="I112" i="26"/>
  <c r="N112" i="26" a="1"/>
  <c r="N112" i="26" s="1"/>
  <c r="O112" i="26" s="1"/>
  <c r="I113" i="26"/>
  <c r="N113" i="26" a="1"/>
  <c r="N113" i="26" s="1"/>
  <c r="I114" i="26"/>
  <c r="N114" i="26" a="1"/>
  <c r="N114" i="26" s="1"/>
  <c r="O114" i="26" s="1"/>
  <c r="I115" i="26"/>
  <c r="N115" i="26" a="1"/>
  <c r="N115" i="26"/>
  <c r="O115" i="26" s="1"/>
  <c r="I116" i="26"/>
  <c r="N116" i="26" a="1"/>
  <c r="N116" i="26" s="1"/>
  <c r="I117" i="26"/>
  <c r="N117" i="26" a="1"/>
  <c r="N117" i="26" s="1"/>
  <c r="O117" i="26" s="1"/>
  <c r="I118" i="26"/>
  <c r="N118" i="26" a="1"/>
  <c r="N118" i="26"/>
  <c r="I119" i="26"/>
  <c r="N119" i="26" a="1"/>
  <c r="N119" i="26" s="1"/>
  <c r="O119" i="26" s="1"/>
  <c r="I120" i="26"/>
  <c r="N120" i="26" a="1"/>
  <c r="N120" i="26" s="1"/>
  <c r="O120" i="26" s="1"/>
  <c r="I121" i="26"/>
  <c r="N121" i="26" a="1"/>
  <c r="N121" i="26" s="1"/>
  <c r="O121" i="26" s="1"/>
  <c r="I122" i="26"/>
  <c r="N122" i="26" a="1"/>
  <c r="N122" i="26" s="1"/>
  <c r="O122" i="26" s="1"/>
  <c r="I123" i="26"/>
  <c r="N123" i="26" a="1"/>
  <c r="N123" i="26" s="1"/>
  <c r="O123" i="26" s="1"/>
  <c r="I124" i="26"/>
  <c r="N124" i="26" a="1"/>
  <c r="N124" i="26" s="1"/>
  <c r="O124" i="26" s="1"/>
  <c r="I125" i="26"/>
  <c r="N125" i="26" a="1"/>
  <c r="N125" i="26" s="1"/>
  <c r="O125" i="26" s="1"/>
  <c r="I126" i="26"/>
  <c r="N126" i="26" a="1"/>
  <c r="N126" i="26" s="1"/>
  <c r="O126" i="26" s="1"/>
  <c r="I127" i="26"/>
  <c r="N127" i="26" a="1"/>
  <c r="N127" i="26" s="1"/>
  <c r="O127" i="26" s="1"/>
  <c r="I128" i="26"/>
  <c r="N128" i="26" a="1"/>
  <c r="N128" i="26" s="1"/>
  <c r="O128" i="26" s="1"/>
  <c r="I129" i="26"/>
  <c r="N129" i="26" a="1"/>
  <c r="N129" i="26" s="1"/>
  <c r="O129" i="26" s="1"/>
  <c r="I130" i="26"/>
  <c r="N130" i="26" a="1"/>
  <c r="N130" i="26" s="1"/>
  <c r="O130" i="26" s="1"/>
  <c r="I131" i="26"/>
  <c r="N131" i="26" a="1"/>
  <c r="N131" i="26" s="1"/>
  <c r="I132" i="26"/>
  <c r="N132" i="26" a="1"/>
  <c r="N132" i="26"/>
  <c r="I133" i="26"/>
  <c r="N133" i="26" a="1"/>
  <c r="N133" i="26" s="1"/>
  <c r="O133" i="26" s="1"/>
  <c r="I134" i="26"/>
  <c r="N134" i="26" a="1"/>
  <c r="N134" i="26" s="1"/>
  <c r="I135" i="26"/>
  <c r="N135" i="26" a="1"/>
  <c r="N135" i="26" s="1"/>
  <c r="O135" i="26" s="1"/>
  <c r="I136" i="26"/>
  <c r="N136" i="26" a="1"/>
  <c r="N136" i="26" s="1"/>
  <c r="O136" i="26" s="1"/>
  <c r="I137" i="26"/>
  <c r="N137" i="26" a="1"/>
  <c r="N137" i="26" s="1"/>
  <c r="I138" i="26"/>
  <c r="N138" i="26" a="1"/>
  <c r="N138" i="26" s="1"/>
  <c r="O138" i="26" s="1"/>
  <c r="I139" i="26"/>
  <c r="N139" i="26" a="1"/>
  <c r="N139" i="26" s="1"/>
  <c r="O139" i="26" s="1"/>
  <c r="I140" i="26"/>
  <c r="N140" i="26" a="1"/>
  <c r="N140" i="26" s="1"/>
  <c r="I141" i="26"/>
  <c r="N141" i="26" a="1"/>
  <c r="N141" i="26"/>
  <c r="O141" i="26" s="1"/>
  <c r="I142" i="26"/>
  <c r="N142" i="26" a="1"/>
  <c r="N142" i="26" s="1"/>
  <c r="I143" i="26"/>
  <c r="N143" i="26" a="1"/>
  <c r="N143" i="26" s="1"/>
  <c r="I144" i="26"/>
  <c r="N144" i="26" a="1"/>
  <c r="N144" i="26"/>
  <c r="O144" i="26" s="1"/>
  <c r="I145" i="26"/>
  <c r="N145" i="26" a="1"/>
  <c r="N145" i="26" s="1"/>
  <c r="I146" i="26"/>
  <c r="N146" i="26" a="1"/>
  <c r="N146" i="26" s="1"/>
  <c r="I147" i="26"/>
  <c r="N147" i="26" a="1"/>
  <c r="N147" i="26" s="1"/>
  <c r="O147" i="26" s="1"/>
  <c r="I148" i="26"/>
  <c r="N148" i="26" a="1"/>
  <c r="N148" i="26" s="1"/>
  <c r="O148" i="26" s="1"/>
  <c r="I149" i="26"/>
  <c r="N149" i="26" a="1"/>
  <c r="N149" i="26" s="1"/>
  <c r="O149" i="26" s="1"/>
  <c r="I150" i="26"/>
  <c r="N150" i="26" a="1"/>
  <c r="N150" i="26" s="1"/>
  <c r="O150" i="26" s="1"/>
  <c r="I151" i="26"/>
  <c r="N151" i="26" a="1"/>
  <c r="N151" i="26"/>
  <c r="O151" i="26" s="1"/>
  <c r="I152" i="26"/>
  <c r="N152" i="26" a="1"/>
  <c r="N152" i="26" s="1"/>
  <c r="I153" i="26"/>
  <c r="N153" i="26" a="1"/>
  <c r="N153" i="26"/>
  <c r="O153" i="26" s="1"/>
  <c r="I154" i="26"/>
  <c r="N154" i="26" a="1"/>
  <c r="N154" i="26"/>
  <c r="O154" i="26" s="1"/>
  <c r="I155" i="26"/>
  <c r="N155" i="26" a="1"/>
  <c r="N155" i="26" s="1"/>
  <c r="O155" i="26" s="1"/>
  <c r="I156" i="26"/>
  <c r="N156" i="26" a="1"/>
  <c r="N156" i="26" s="1"/>
  <c r="O156" i="26" s="1"/>
  <c r="I157" i="26"/>
  <c r="N157" i="26" a="1"/>
  <c r="N157" i="26" s="1"/>
  <c r="I158" i="26"/>
  <c r="O158" i="26" s="1"/>
  <c r="N158" i="26" a="1"/>
  <c r="N158" i="26" s="1"/>
  <c r="I159" i="26"/>
  <c r="N159" i="26" a="1"/>
  <c r="N159" i="26" s="1"/>
  <c r="O159" i="26" s="1"/>
  <c r="I160" i="26"/>
  <c r="N160" i="26" a="1"/>
  <c r="N160" i="26" s="1"/>
  <c r="O160" i="26" s="1"/>
  <c r="I161" i="26"/>
  <c r="N161" i="26" a="1"/>
  <c r="N161" i="26" s="1"/>
  <c r="O161" i="26" s="1"/>
  <c r="I162" i="26"/>
  <c r="N162" i="26" a="1"/>
  <c r="N162" i="26"/>
  <c r="I163" i="26"/>
  <c r="N163" i="26" a="1"/>
  <c r="N163" i="26" s="1"/>
  <c r="O163" i="26" s="1"/>
  <c r="I164" i="26"/>
  <c r="N164" i="26" a="1"/>
  <c r="N164" i="26" s="1"/>
  <c r="I165" i="26"/>
  <c r="N165" i="26" a="1"/>
  <c r="N165" i="26" s="1"/>
  <c r="O165" i="26" s="1"/>
  <c r="I166" i="26"/>
  <c r="N166" i="26" a="1"/>
  <c r="N166" i="26" s="1"/>
  <c r="O166" i="26" s="1"/>
  <c r="I167" i="26"/>
  <c r="N167" i="26" a="1"/>
  <c r="N167" i="26" s="1"/>
  <c r="O167" i="26" s="1"/>
  <c r="I168" i="26"/>
  <c r="N168" i="26" a="1"/>
  <c r="N168" i="26" s="1"/>
  <c r="O168" i="26" s="1"/>
  <c r="I169" i="26"/>
  <c r="N169" i="26" a="1"/>
  <c r="N169" i="26" s="1"/>
  <c r="O169" i="26" s="1"/>
  <c r="I170" i="26"/>
  <c r="N170" i="26" a="1"/>
  <c r="N170" i="26" s="1"/>
  <c r="O170" i="26" s="1"/>
  <c r="I171" i="26"/>
  <c r="N171" i="26" a="1"/>
  <c r="N171" i="26" s="1"/>
  <c r="O171" i="26" s="1"/>
  <c r="I172" i="26"/>
  <c r="N172" i="26" a="1"/>
  <c r="N172" i="26" s="1"/>
  <c r="O172" i="26" s="1"/>
  <c r="I173" i="26"/>
  <c r="N173" i="26" a="1"/>
  <c r="N173" i="26" s="1"/>
  <c r="O173" i="26" s="1"/>
  <c r="I174" i="26"/>
  <c r="N174" i="26" a="1"/>
  <c r="N174" i="26"/>
  <c r="O174" i="26" s="1"/>
  <c r="I175" i="26"/>
  <c r="N175" i="26" a="1"/>
  <c r="N175" i="26"/>
  <c r="O175" i="26" s="1"/>
  <c r="I176" i="26"/>
  <c r="N176" i="26" a="1"/>
  <c r="N176" i="26" s="1"/>
  <c r="O176" i="26" s="1"/>
  <c r="I177" i="26"/>
  <c r="N177" i="26" a="1"/>
  <c r="N177" i="26"/>
  <c r="O177" i="26" s="1"/>
  <c r="I178" i="26"/>
  <c r="N178" i="26" a="1"/>
  <c r="N178" i="26" s="1"/>
  <c r="O178" i="26" s="1"/>
  <c r="I179" i="26"/>
  <c r="N179" i="26" a="1"/>
  <c r="N179" i="26" s="1"/>
  <c r="O179" i="26" s="1"/>
  <c r="I180" i="26"/>
  <c r="N180" i="26" a="1"/>
  <c r="N180" i="26" s="1"/>
  <c r="O180" i="26" s="1"/>
  <c r="I181" i="26"/>
  <c r="N181" i="26" a="1"/>
  <c r="N181" i="26" s="1"/>
  <c r="O181" i="26" s="1"/>
  <c r="I182" i="26"/>
  <c r="N182" i="26" a="1"/>
  <c r="N182" i="26" s="1"/>
  <c r="O182" i="26" s="1"/>
  <c r="I183" i="26"/>
  <c r="N183" i="26" a="1"/>
  <c r="N183" i="26" s="1"/>
  <c r="O183" i="26" s="1"/>
  <c r="I184" i="26"/>
  <c r="N184" i="26" a="1"/>
  <c r="N184" i="26" s="1"/>
  <c r="O184" i="26" s="1"/>
  <c r="I185" i="26"/>
  <c r="N185" i="26" a="1"/>
  <c r="N185" i="26" s="1"/>
  <c r="I186" i="26"/>
  <c r="N186" i="26" a="1"/>
  <c r="N186" i="26"/>
  <c r="O186" i="26" s="1"/>
  <c r="I187" i="26"/>
  <c r="N187" i="26" a="1"/>
  <c r="N187" i="26" s="1"/>
  <c r="I188" i="26"/>
  <c r="N188" i="26" a="1"/>
  <c r="N188" i="26" s="1"/>
  <c r="O188" i="26" s="1"/>
  <c r="I189" i="26"/>
  <c r="N189" i="26" a="1"/>
  <c r="N189" i="26" s="1"/>
  <c r="O189" i="26" s="1"/>
  <c r="I190" i="26"/>
  <c r="N190" i="26" a="1"/>
  <c r="N190" i="26" s="1"/>
  <c r="O190" i="26" s="1"/>
  <c r="I191" i="26"/>
  <c r="N191" i="26" a="1"/>
  <c r="N191" i="26" s="1"/>
  <c r="O191" i="26"/>
  <c r="I192" i="26"/>
  <c r="N192" i="26" a="1"/>
  <c r="N192" i="26" s="1"/>
  <c r="O192" i="26" s="1"/>
  <c r="I193" i="26"/>
  <c r="N193" i="26" a="1"/>
  <c r="N193" i="26" s="1"/>
  <c r="I194" i="26"/>
  <c r="O194" i="26" s="1"/>
  <c r="N194" i="26" a="1"/>
  <c r="N194" i="26" s="1"/>
  <c r="I195" i="26"/>
  <c r="N195" i="26" a="1"/>
  <c r="N195" i="26" s="1"/>
  <c r="O195" i="26" s="1"/>
  <c r="I196" i="26"/>
  <c r="N196" i="26" a="1"/>
  <c r="N196" i="26" s="1"/>
  <c r="O196" i="26" s="1"/>
  <c r="I197" i="26"/>
  <c r="N197" i="26" a="1"/>
  <c r="N197" i="26" s="1"/>
  <c r="O197" i="26" s="1"/>
  <c r="I198" i="26"/>
  <c r="N198" i="26" a="1"/>
  <c r="N198" i="26"/>
  <c r="O198" i="26" s="1"/>
  <c r="I199" i="26"/>
  <c r="N199" i="26" a="1"/>
  <c r="N199" i="26" s="1"/>
  <c r="O199" i="26" s="1"/>
  <c r="I200" i="26"/>
  <c r="N200" i="26" a="1"/>
  <c r="N200" i="26" s="1"/>
  <c r="I201" i="26"/>
  <c r="N201" i="26" a="1"/>
  <c r="N201" i="26" s="1"/>
  <c r="O201" i="26" s="1"/>
  <c r="I202" i="26"/>
  <c r="N202" i="26" a="1"/>
  <c r="N202" i="26" s="1"/>
  <c r="O202" i="26" s="1"/>
  <c r="I203" i="26"/>
  <c r="N203" i="26" a="1"/>
  <c r="N203" i="26" s="1"/>
  <c r="O203" i="26" s="1"/>
  <c r="I204" i="26"/>
  <c r="N204" i="26" a="1"/>
  <c r="N204" i="26" s="1"/>
  <c r="O204" i="26" s="1"/>
  <c r="I205" i="26"/>
  <c r="N205" i="26" a="1"/>
  <c r="N205" i="26" s="1"/>
  <c r="I206" i="26"/>
  <c r="N206" i="26" a="1"/>
  <c r="N206" i="26" s="1"/>
  <c r="I207" i="26"/>
  <c r="N207" i="26" a="1"/>
  <c r="N207" i="26"/>
  <c r="O207" i="26" s="1"/>
  <c r="I208" i="26"/>
  <c r="N208" i="26" a="1"/>
  <c r="N208" i="26" s="1"/>
  <c r="I209" i="26"/>
  <c r="N209" i="26" a="1"/>
  <c r="N209" i="26" s="1"/>
  <c r="O209" i="26"/>
  <c r="I210" i="26"/>
  <c r="N210" i="26" a="1"/>
  <c r="N210" i="26" s="1"/>
  <c r="O210" i="26" s="1"/>
  <c r="I211" i="26"/>
  <c r="N211" i="26" a="1"/>
  <c r="N211" i="26" s="1"/>
  <c r="O211" i="26" s="1"/>
  <c r="I212" i="26"/>
  <c r="N212" i="26" a="1"/>
  <c r="N212" i="26" s="1"/>
  <c r="O212" i="26" s="1"/>
  <c r="I213" i="26"/>
  <c r="N213" i="26" a="1"/>
  <c r="N213" i="26" s="1"/>
  <c r="O213" i="26" s="1"/>
  <c r="I214" i="26"/>
  <c r="N214" i="26" a="1"/>
  <c r="N214" i="26"/>
  <c r="O214" i="26" s="1"/>
  <c r="I215" i="26"/>
  <c r="N215" i="26" a="1"/>
  <c r="N215" i="26" s="1"/>
  <c r="I216" i="26"/>
  <c r="N216" i="26" a="1"/>
  <c r="N216" i="26" s="1"/>
  <c r="O216" i="26" s="1"/>
  <c r="I217" i="26"/>
  <c r="N217" i="26" a="1"/>
  <c r="N217" i="26"/>
  <c r="O217" i="26" s="1"/>
  <c r="I218" i="26"/>
  <c r="N218" i="26" a="1"/>
  <c r="N218" i="26" s="1"/>
  <c r="I219" i="26"/>
  <c r="N219" i="26" a="1"/>
  <c r="N219" i="26"/>
  <c r="O219" i="26" s="1"/>
  <c r="I220" i="26"/>
  <c r="N220" i="26" a="1"/>
  <c r="N220" i="26" s="1"/>
  <c r="O220" i="26" s="1"/>
  <c r="I221" i="26"/>
  <c r="N221" i="26" a="1"/>
  <c r="N221" i="26" s="1"/>
  <c r="O221" i="26" s="1"/>
  <c r="I222" i="26"/>
  <c r="N222" i="26" a="1"/>
  <c r="N222" i="26" s="1"/>
  <c r="O222" i="26" s="1"/>
  <c r="I223" i="26"/>
  <c r="N223" i="26" a="1"/>
  <c r="N223" i="26" s="1"/>
  <c r="O223" i="26" s="1"/>
  <c r="I224" i="26"/>
  <c r="N224" i="26" a="1"/>
  <c r="N224" i="26" s="1"/>
  <c r="O224" i="26" s="1"/>
  <c r="I225" i="26"/>
  <c r="N225" i="26" a="1"/>
  <c r="N225" i="26"/>
  <c r="O225" i="26" s="1"/>
  <c r="I226" i="26"/>
  <c r="N226" i="26" a="1"/>
  <c r="N226" i="26"/>
  <c r="O226" i="26" s="1"/>
  <c r="I227" i="26"/>
  <c r="N227" i="26" a="1"/>
  <c r="N227" i="26" s="1"/>
  <c r="O227" i="26" s="1"/>
  <c r="I228" i="26"/>
  <c r="N228" i="26" a="1"/>
  <c r="N228" i="26"/>
  <c r="O228" i="26" s="1"/>
  <c r="I229" i="26"/>
  <c r="N229" i="26" a="1"/>
  <c r="N229" i="26" s="1"/>
  <c r="O229" i="26" s="1"/>
  <c r="I230" i="26"/>
  <c r="N230" i="26" a="1"/>
  <c r="N230" i="26" s="1"/>
  <c r="O230" i="26" s="1"/>
  <c r="I231" i="26"/>
  <c r="N231" i="26" a="1"/>
  <c r="N231" i="26"/>
  <c r="O231" i="26" s="1"/>
  <c r="I232" i="26"/>
  <c r="N232" i="26" a="1"/>
  <c r="N232" i="26" s="1"/>
  <c r="O232" i="26" s="1"/>
  <c r="I233" i="26"/>
  <c r="O233" i="26" s="1"/>
  <c r="N233" i="26" a="1"/>
  <c r="N233" i="26" s="1"/>
  <c r="I234" i="26"/>
  <c r="N234" i="26" a="1"/>
  <c r="N234" i="26" s="1"/>
  <c r="O234" i="26" s="1"/>
  <c r="I235" i="26"/>
  <c r="N235" i="26" a="1"/>
  <c r="N235" i="26"/>
  <c r="O235" i="26" s="1"/>
  <c r="I236" i="26"/>
  <c r="N236" i="26" a="1"/>
  <c r="N236" i="26" s="1"/>
  <c r="I237" i="26"/>
  <c r="N237" i="26" a="1"/>
  <c r="N237" i="26"/>
  <c r="O237" i="26" s="1"/>
  <c r="I238" i="26"/>
  <c r="N238" i="26" a="1"/>
  <c r="N238" i="26" s="1"/>
  <c r="I239" i="26"/>
  <c r="N239" i="26" a="1"/>
  <c r="N239" i="26" s="1"/>
  <c r="O239" i="26"/>
  <c r="I240" i="26"/>
  <c r="N240" i="26" a="1"/>
  <c r="N240" i="26" s="1"/>
  <c r="O240" i="26" s="1"/>
  <c r="I241" i="26"/>
  <c r="N241" i="26" a="1"/>
  <c r="N241" i="26" s="1"/>
  <c r="O241" i="26" s="1"/>
  <c r="I242" i="26"/>
  <c r="N242" i="26" a="1"/>
  <c r="N242" i="26" s="1"/>
  <c r="O242" i="26" s="1"/>
  <c r="I243" i="26"/>
  <c r="N243" i="26" a="1"/>
  <c r="N243" i="26" s="1"/>
  <c r="O243" i="26" s="1"/>
  <c r="I244" i="26"/>
  <c r="N244" i="26" a="1"/>
  <c r="N244" i="26" s="1"/>
  <c r="I245" i="26"/>
  <c r="N245" i="26" a="1"/>
  <c r="N245" i="26" s="1"/>
  <c r="O245" i="26" s="1"/>
  <c r="I246" i="26"/>
  <c r="N246" i="26" a="1"/>
  <c r="N246" i="26"/>
  <c r="O246" i="26" s="1"/>
  <c r="I247" i="26"/>
  <c r="N247" i="26" a="1"/>
  <c r="N247" i="26"/>
  <c r="O247" i="26" s="1"/>
  <c r="I248" i="26"/>
  <c r="N248" i="26" a="1"/>
  <c r="N248" i="26" s="1"/>
  <c r="O248" i="26" s="1"/>
  <c r="I249" i="26"/>
  <c r="N249" i="26" a="1"/>
  <c r="N249" i="26"/>
  <c r="I250" i="26"/>
  <c r="N250" i="26" a="1"/>
  <c r="N250" i="26" s="1"/>
  <c r="O250" i="26" s="1"/>
  <c r="I251" i="26"/>
  <c r="N251" i="26" a="1"/>
  <c r="N251" i="26" s="1"/>
  <c r="O251" i="26" s="1"/>
  <c r="I252" i="26"/>
  <c r="N252" i="26" a="1"/>
  <c r="N252" i="26" s="1"/>
  <c r="O252" i="26" s="1"/>
  <c r="I253" i="26"/>
  <c r="N253" i="26" a="1"/>
  <c r="N253" i="26" s="1"/>
  <c r="O253" i="26" s="1"/>
  <c r="I254" i="26"/>
  <c r="N254" i="26" a="1"/>
  <c r="N254" i="26" s="1"/>
  <c r="O254" i="26" s="1"/>
  <c r="I255" i="26"/>
  <c r="N255" i="26" a="1"/>
  <c r="N255" i="26" s="1"/>
  <c r="O255" i="26" s="1"/>
  <c r="I256" i="26"/>
  <c r="N256" i="26" a="1"/>
  <c r="N256" i="26"/>
  <c r="O256" i="26" s="1"/>
  <c r="I257" i="26"/>
  <c r="N257" i="26" a="1"/>
  <c r="N257" i="26" s="1"/>
  <c r="I258" i="26"/>
  <c r="N258" i="26" a="1"/>
  <c r="N258" i="26"/>
  <c r="O258" i="26" s="1"/>
  <c r="I259" i="26"/>
  <c r="N259" i="26" a="1"/>
  <c r="N259" i="26" s="1"/>
  <c r="I260" i="26"/>
  <c r="N260" i="26" a="1"/>
  <c r="N260" i="26" s="1"/>
  <c r="O260" i="26"/>
  <c r="I261" i="26"/>
  <c r="N261" i="26" a="1"/>
  <c r="N261" i="26" s="1"/>
  <c r="O261" i="26" s="1"/>
  <c r="I262" i="26"/>
  <c r="N262" i="26" a="1"/>
  <c r="N262" i="26" s="1"/>
  <c r="O262" i="26" s="1"/>
  <c r="I263" i="26"/>
  <c r="N263" i="26" a="1"/>
  <c r="N263" i="26" s="1"/>
  <c r="O263" i="26" s="1"/>
  <c r="I264" i="26"/>
  <c r="N264" i="26" a="1"/>
  <c r="N264" i="26" s="1"/>
  <c r="O264" i="26" s="1"/>
  <c r="I265" i="26"/>
  <c r="N265" i="26" a="1"/>
  <c r="N265" i="26" s="1"/>
  <c r="I266" i="26"/>
  <c r="O266" i="26" s="1"/>
  <c r="N266" i="26" a="1"/>
  <c r="N266" i="26" s="1"/>
  <c r="I267" i="26"/>
  <c r="N267" i="26" a="1"/>
  <c r="N267" i="26" s="1"/>
  <c r="O267" i="26" s="1"/>
  <c r="I268" i="26"/>
  <c r="N268" i="26" a="1"/>
  <c r="N268" i="26"/>
  <c r="O268" i="26" s="1"/>
  <c r="I269" i="26"/>
  <c r="N269" i="26" a="1"/>
  <c r="N269" i="26" s="1"/>
  <c r="O269" i="26" s="1"/>
  <c r="I270" i="26"/>
  <c r="N270" i="26" a="1"/>
  <c r="N270" i="26"/>
  <c r="I271" i="26"/>
  <c r="N271" i="26" a="1"/>
  <c r="N271" i="26" s="1"/>
  <c r="O271" i="26" s="1"/>
  <c r="I272" i="26"/>
  <c r="N272" i="26" a="1"/>
  <c r="N272" i="26" s="1"/>
  <c r="O272" i="26" s="1"/>
  <c r="I273" i="26"/>
  <c r="N273" i="26" a="1"/>
  <c r="N273" i="26" s="1"/>
  <c r="O273" i="26" s="1"/>
  <c r="I274" i="26"/>
  <c r="N274" i="26" a="1"/>
  <c r="N274" i="26" s="1"/>
  <c r="O274" i="26" s="1"/>
  <c r="I275" i="26"/>
  <c r="N275" i="26" a="1"/>
  <c r="N275" i="26" s="1"/>
  <c r="O275" i="26" s="1"/>
  <c r="I276" i="26"/>
  <c r="N276" i="26" a="1"/>
  <c r="N276" i="26"/>
  <c r="O276" i="26" s="1"/>
  <c r="I277" i="26"/>
  <c r="N277" i="26" a="1"/>
  <c r="N277" i="26" s="1"/>
  <c r="I278" i="26"/>
  <c r="N278" i="26" a="1"/>
  <c r="N278" i="26" s="1"/>
  <c r="I279" i="26"/>
  <c r="N279" i="26" a="1"/>
  <c r="N279" i="26"/>
  <c r="O279" i="26" s="1"/>
  <c r="I280" i="26"/>
  <c r="N280" i="26" a="1"/>
  <c r="N280" i="26" s="1"/>
  <c r="I281" i="26"/>
  <c r="O281" i="26" s="1"/>
  <c r="N281" i="26" a="1"/>
  <c r="N281" i="26" s="1"/>
  <c r="I282" i="26"/>
  <c r="N282" i="26" a="1"/>
  <c r="N282" i="26" s="1"/>
  <c r="O282" i="26" s="1"/>
  <c r="I283" i="26"/>
  <c r="N283" i="26" a="1"/>
  <c r="N283" i="26" s="1"/>
  <c r="O283" i="26" s="1"/>
  <c r="I284" i="26"/>
  <c r="N284" i="26" a="1"/>
  <c r="N284" i="26" s="1"/>
  <c r="O284" i="26"/>
  <c r="I285" i="26"/>
  <c r="N285" i="26" a="1"/>
  <c r="N285" i="26" s="1"/>
  <c r="O285" i="26" s="1"/>
  <c r="I286" i="26"/>
  <c r="N286" i="26" a="1"/>
  <c r="N286" i="26"/>
  <c r="O286" i="26" s="1"/>
  <c r="I287" i="26"/>
  <c r="N287" i="26" a="1"/>
  <c r="N287" i="26" s="1"/>
  <c r="I288" i="26"/>
  <c r="N288" i="26" a="1"/>
  <c r="N288" i="26"/>
  <c r="O288" i="26" s="1"/>
  <c r="I289" i="26"/>
  <c r="N289" i="26" a="1"/>
  <c r="N289" i="26"/>
  <c r="O289" i="26" s="1"/>
  <c r="I290" i="26"/>
  <c r="N290" i="26" a="1"/>
  <c r="N290" i="26" s="1"/>
  <c r="I291" i="26"/>
  <c r="N291" i="26" a="1"/>
  <c r="N291" i="26" s="1"/>
  <c r="O291" i="26" s="1"/>
  <c r="I292" i="26"/>
  <c r="N292" i="26" a="1"/>
  <c r="N292" i="26" s="1"/>
  <c r="O292" i="26" s="1"/>
  <c r="I293" i="26"/>
  <c r="N293" i="26" a="1"/>
  <c r="N293" i="26" s="1"/>
  <c r="O293" i="26" s="1"/>
  <c r="I294" i="26"/>
  <c r="N294" i="26" a="1"/>
  <c r="N294" i="26" s="1"/>
  <c r="O294" i="26" s="1"/>
  <c r="I295" i="26"/>
  <c r="N295" i="26" a="1"/>
  <c r="N295" i="26" s="1"/>
  <c r="O295" i="26" s="1"/>
  <c r="I296" i="26"/>
  <c r="N296" i="26" a="1"/>
  <c r="N296" i="26" s="1"/>
  <c r="I297" i="26"/>
  <c r="N297" i="26" a="1"/>
  <c r="N297" i="26"/>
  <c r="O297" i="26" s="1"/>
  <c r="I298" i="26"/>
  <c r="N298" i="26" a="1"/>
  <c r="N298" i="26" s="1"/>
  <c r="O298" i="26" s="1"/>
  <c r="I299" i="26"/>
  <c r="N299" i="26" a="1"/>
  <c r="N299" i="26" s="1"/>
  <c r="I300" i="26"/>
  <c r="N300" i="26" a="1"/>
  <c r="N300" i="26" s="1"/>
  <c r="O300" i="26" s="1"/>
  <c r="I12" i="26" l="1"/>
  <c r="O12" i="26" s="1"/>
  <c r="I63" i="26"/>
  <c r="O63" i="26"/>
  <c r="I36" i="26"/>
  <c r="O36" i="26"/>
  <c r="I72" i="26"/>
  <c r="O72" i="26" s="1"/>
  <c r="I45" i="26"/>
  <c r="O45" i="26"/>
  <c r="I69" i="26"/>
  <c r="O69" i="26"/>
  <c r="I42" i="26"/>
  <c r="O42" i="26" s="1"/>
  <c r="I24" i="26"/>
  <c r="O24" i="26"/>
  <c r="O290" i="26"/>
  <c r="O215" i="26"/>
  <c r="O187" i="26"/>
  <c r="O146" i="26"/>
  <c r="O137" i="26"/>
  <c r="O116" i="26"/>
  <c r="O95" i="26"/>
  <c r="O270" i="26"/>
  <c r="O278" i="26"/>
  <c r="O238" i="26"/>
  <c r="O218" i="26"/>
  <c r="O145" i="26"/>
  <c r="O107" i="26"/>
  <c r="O86" i="26"/>
  <c r="O77" i="26"/>
  <c r="O66" i="26"/>
  <c r="O39" i="26"/>
  <c r="O27" i="26"/>
  <c r="O15" i="26"/>
  <c r="O162" i="26"/>
  <c r="O132" i="26"/>
  <c r="O111" i="26"/>
  <c r="O102" i="26"/>
  <c r="O81" i="26"/>
  <c r="O277" i="26"/>
  <c r="O265" i="26"/>
  <c r="O257" i="26"/>
  <c r="O206" i="26"/>
  <c r="O140" i="26"/>
  <c r="O106" i="26"/>
  <c r="O51" i="26"/>
  <c r="O249" i="26"/>
  <c r="O118" i="26"/>
  <c r="O296" i="26"/>
  <c r="O205" i="26"/>
  <c r="O193" i="26"/>
  <c r="O185" i="26"/>
  <c r="O157" i="26"/>
  <c r="O131" i="26"/>
  <c r="O110" i="26"/>
  <c r="O101" i="26"/>
  <c r="O80" i="26"/>
  <c r="O57" i="26"/>
  <c r="O280" i="26"/>
  <c r="O236" i="26"/>
  <c r="O152" i="26"/>
  <c r="O143" i="26"/>
  <c r="O109" i="26"/>
  <c r="O299" i="26"/>
  <c r="O244" i="26"/>
  <c r="O200" i="26"/>
  <c r="O164" i="26"/>
  <c r="O134" i="26"/>
  <c r="O113" i="26"/>
  <c r="O92" i="26"/>
  <c r="O287" i="26"/>
  <c r="O259" i="26"/>
  <c r="O208" i="26"/>
  <c r="O142" i="26"/>
  <c r="O104" i="26"/>
  <c r="O83" i="26"/>
  <c r="O48" i="26"/>
  <c r="O2" i="26"/>
  <c r="I55" i="26"/>
  <c r="O55" i="26"/>
  <c r="I34" i="26"/>
  <c r="O34" i="26" s="1"/>
  <c r="I22" i="26"/>
  <c r="O22" i="26"/>
  <c r="I10" i="26"/>
  <c r="O10" i="26" s="1"/>
  <c r="I70" i="26"/>
  <c r="O70" i="26"/>
  <c r="I43" i="26"/>
  <c r="O43" i="26"/>
  <c r="I37" i="26"/>
  <c r="O37" i="26" s="1"/>
  <c r="I25" i="26"/>
  <c r="O25" i="26" s="1"/>
  <c r="I61" i="26"/>
  <c r="O61" i="26" s="1"/>
  <c r="I46" i="26"/>
  <c r="O46" i="26"/>
  <c r="I13" i="26"/>
  <c r="O13" i="26"/>
  <c r="I52" i="26"/>
  <c r="O52" i="26"/>
  <c r="I64" i="26"/>
  <c r="O64" i="26" s="1"/>
  <c r="I71" i="26"/>
  <c r="O71" i="26" s="1"/>
  <c r="I62" i="26"/>
  <c r="O62" i="26"/>
  <c r="I53" i="26"/>
  <c r="O53" i="26"/>
  <c r="I44" i="26"/>
  <c r="O44" i="26" s="1"/>
  <c r="O31" i="26"/>
  <c r="O19" i="26"/>
  <c r="O7" i="26"/>
  <c r="O78" i="26"/>
  <c r="I65" i="26"/>
  <c r="O65" i="26" s="1"/>
  <c r="I56" i="26"/>
  <c r="O56" i="26"/>
  <c r="I47" i="26"/>
  <c r="O47" i="26"/>
  <c r="O30" i="26"/>
  <c r="O18" i="26"/>
  <c r="O33" i="26"/>
  <c r="O21" i="26"/>
  <c r="I68" i="26"/>
  <c r="O68" i="26" s="1"/>
  <c r="I59" i="26"/>
  <c r="O59" i="26"/>
  <c r="I50" i="26"/>
  <c r="O50" i="26"/>
  <c r="I41" i="26"/>
  <c r="O41" i="26"/>
  <c r="O32" i="26"/>
  <c r="O29" i="26"/>
  <c r="O26" i="26"/>
  <c r="O23" i="26"/>
  <c r="O20" i="26"/>
  <c r="O17" i="26"/>
  <c r="O14" i="26"/>
  <c r="O11" i="26"/>
  <c r="O8" i="26"/>
  <c r="O1" i="26" l="1"/>
  <c r="O301" i="26"/>
  <c r="O3" i="26" l="1"/>
  <c r="P1" i="26"/>
  <c r="Q1" i="26"/>
  <c r="Q3" i="26" s="1"/>
  <c r="Q218" i="1" l="1"/>
  <c r="Q217" i="1"/>
  <c r="Q216" i="1"/>
  <c r="Q215" i="1"/>
  <c r="Q214" i="1"/>
  <c r="Q213" i="1"/>
  <c r="Q212" i="1"/>
  <c r="Q208" i="1"/>
  <c r="Q207" i="1"/>
  <c r="Q206" i="1"/>
  <c r="Q205" i="1"/>
  <c r="Q204" i="1"/>
  <c r="Q203" i="1"/>
  <c r="Q202" i="1"/>
  <c r="Q201" i="1"/>
  <c r="Q200" i="1"/>
  <c r="Q199" i="1"/>
  <c r="Q198"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69" i="1"/>
  <c r="Q168" i="1"/>
  <c r="Q167" i="1"/>
  <c r="Q166" i="1"/>
  <c r="Q165" i="1"/>
  <c r="Q164" i="1"/>
  <c r="Q163" i="1"/>
  <c r="Q162" i="1"/>
  <c r="Q161" i="1"/>
  <c r="Q160" i="1"/>
  <c r="Q159" i="1"/>
  <c r="Q158" i="1"/>
  <c r="Q157" i="1"/>
  <c r="Q156" i="1"/>
  <c r="Q170" i="1" s="1"/>
  <c r="Q155" i="1"/>
  <c r="Q153" i="1"/>
  <c r="Q152" i="1"/>
  <c r="Q151" i="1"/>
  <c r="Q150" i="1"/>
  <c r="Q149" i="1"/>
  <c r="Q148" i="1"/>
  <c r="Q147" i="1"/>
  <c r="Q146" i="1"/>
  <c r="Q145" i="1"/>
  <c r="Q144" i="1"/>
  <c r="Q143" i="1"/>
  <c r="Q140" i="1"/>
  <c r="Q139" i="1"/>
  <c r="Q138" i="1"/>
  <c r="Q137" i="1"/>
  <c r="Q136" i="1"/>
  <c r="Q135" i="1"/>
  <c r="Q134" i="1"/>
  <c r="Q133" i="1"/>
  <c r="Q130" i="1"/>
  <c r="Q129" i="1"/>
  <c r="Q128" i="1"/>
  <c r="Q127" i="1"/>
  <c r="Q126" i="1"/>
  <c r="Q131" i="1" s="1"/>
  <c r="Q125" i="1"/>
  <c r="Q124" i="1"/>
  <c r="Q123" i="1"/>
  <c r="Q120" i="1"/>
  <c r="Q119" i="1"/>
  <c r="Q118" i="1"/>
  <c r="Q117" i="1"/>
  <c r="Q116" i="1"/>
  <c r="Q115" i="1"/>
  <c r="Q114" i="1"/>
  <c r="Q113" i="1"/>
  <c r="Q112" i="1"/>
  <c r="Q111" i="1"/>
  <c r="Q110" i="1"/>
  <c r="Q109" i="1"/>
  <c r="Q108" i="1"/>
  <c r="Q107" i="1"/>
  <c r="Q105" i="1"/>
  <c r="Q103" i="1"/>
  <c r="Q102" i="1"/>
  <c r="Q101" i="1"/>
  <c r="Q100" i="1"/>
  <c r="Q99" i="1"/>
  <c r="Q95" i="1"/>
  <c r="Q94" i="1"/>
  <c r="Q93" i="1"/>
  <c r="Q92" i="1"/>
  <c r="Q89" i="1"/>
  <c r="Q88" i="1"/>
  <c r="Q87" i="1"/>
  <c r="Q86" i="1"/>
  <c r="Q85" i="1"/>
  <c r="Q84" i="1"/>
  <c r="Q83" i="1"/>
  <c r="Q82" i="1"/>
  <c r="Q90" i="1" s="1"/>
  <c r="Q79" i="1"/>
  <c r="Q78" i="1"/>
  <c r="Q77" i="1"/>
  <c r="Q76" i="1"/>
  <c r="Q75" i="1"/>
  <c r="Q74" i="1"/>
  <c r="Q72" i="1"/>
  <c r="Q60" i="1"/>
  <c r="Q59" i="1"/>
  <c r="Q58" i="1"/>
  <c r="Q57" i="1"/>
  <c r="Q56" i="1"/>
  <c r="Q55" i="1"/>
  <c r="Q54" i="1"/>
  <c r="Q53" i="1"/>
  <c r="Q52" i="1"/>
  <c r="Q51" i="1"/>
  <c r="Q50" i="1"/>
  <c r="Q49" i="1"/>
  <c r="Q48" i="1"/>
  <c r="Q47" i="1"/>
  <c r="Q46" i="1"/>
  <c r="Q45" i="1"/>
  <c r="Q44" i="1"/>
  <c r="Q43" i="1"/>
  <c r="Q42" i="1"/>
  <c r="Q41" i="1"/>
  <c r="Q40" i="1"/>
  <c r="Q39" i="1"/>
  <c r="Q61" i="1" s="1"/>
  <c r="Q64" i="1" s="1"/>
  <c r="Q38" i="1"/>
  <c r="Q35" i="1"/>
  <c r="Q34" i="1"/>
  <c r="Q33" i="1"/>
  <c r="Q32" i="1"/>
  <c r="Q31" i="1"/>
  <c r="Q30" i="1"/>
  <c r="Q29" i="1"/>
  <c r="Q28" i="1"/>
  <c r="Q27" i="1"/>
  <c r="Q36" i="1" s="1"/>
  <c r="Q63" i="1" s="1"/>
  <c r="Q26" i="1"/>
  <c r="Q25" i="1"/>
  <c r="Q24" i="1"/>
  <c r="Q23" i="1"/>
  <c r="Q22" i="1"/>
  <c r="Q21" i="1"/>
  <c r="Q20" i="1"/>
  <c r="Q19" i="1"/>
  <c r="Q16" i="1"/>
  <c r="Q15" i="1"/>
  <c r="Q14" i="1"/>
  <c r="Q13" i="1"/>
  <c r="Q12" i="1"/>
  <c r="Q11" i="1"/>
  <c r="Q10" i="1"/>
  <c r="Q9" i="1"/>
  <c r="Q8" i="1"/>
  <c r="Q7" i="1"/>
  <c r="Q6" i="1"/>
  <c r="Q5" i="1"/>
  <c r="Q4" i="1"/>
  <c r="Q2" i="1"/>
  <c r="Q222" i="1"/>
  <c r="M222" i="1"/>
  <c r="Q65" i="1" l="1"/>
  <c r="Q3" i="1"/>
  <c r="Q197" i="1"/>
  <c r="Q141" i="1"/>
  <c r="Q121" i="1"/>
  <c r="Q132" i="1" s="1"/>
  <c r="Q69" i="1" s="1"/>
  <c r="Q80" i="1"/>
  <c r="Q96" i="1"/>
  <c r="Q17" i="1"/>
  <c r="Q154" i="1"/>
  <c r="Q209" i="1"/>
  <c r="Q142" i="1"/>
  <c r="K222" i="1"/>
  <c r="Q68" i="1" l="1"/>
  <c r="Q97" i="1"/>
  <c r="Q70" i="1" s="1"/>
  <c r="Q211" i="1"/>
  <c r="Q219" i="1" s="1"/>
  <c r="C17" i="5"/>
  <c r="D17" i="5"/>
  <c r="D16" i="5"/>
  <c r="C15" i="5"/>
  <c r="C13" i="5"/>
  <c r="M218" i="1"/>
  <c r="M217" i="1"/>
  <c r="M215" i="1"/>
  <c r="M214" i="1"/>
  <c r="M213" i="1"/>
  <c r="M212" i="1"/>
  <c r="M210" i="1"/>
  <c r="M204" i="1"/>
  <c r="M203" i="1"/>
  <c r="M202" i="1"/>
  <c r="M201" i="1"/>
  <c r="M200" i="1"/>
  <c r="M199" i="1"/>
  <c r="M198" i="1"/>
  <c r="M193" i="1"/>
  <c r="M192" i="1"/>
  <c r="M189" i="1"/>
  <c r="M188" i="1"/>
  <c r="M186" i="1"/>
  <c r="M185" i="1"/>
  <c r="M184" i="1"/>
  <c r="M181" i="1"/>
  <c r="M180" i="1"/>
  <c r="M179" i="1"/>
  <c r="M177" i="1"/>
  <c r="M176" i="1"/>
  <c r="M175" i="1"/>
  <c r="M174" i="1"/>
  <c r="M173" i="1"/>
  <c r="M172" i="1"/>
  <c r="M171" i="1"/>
  <c r="M169" i="1"/>
  <c r="M165" i="1"/>
  <c r="M163" i="1"/>
  <c r="M162" i="1"/>
  <c r="M158" i="1"/>
  <c r="M156" i="1"/>
  <c r="M155" i="1"/>
  <c r="M151" i="1"/>
  <c r="M145" i="1"/>
  <c r="M143" i="1"/>
  <c r="M139" i="1"/>
  <c r="M138" i="1"/>
  <c r="M131" i="1"/>
  <c r="M130" i="1"/>
  <c r="M129" i="1"/>
  <c r="M128" i="1"/>
  <c r="M127" i="1"/>
  <c r="M126" i="1"/>
  <c r="M125" i="1"/>
  <c r="M124" i="1"/>
  <c r="M123" i="1"/>
  <c r="M122" i="1"/>
  <c r="M120" i="1"/>
  <c r="M119" i="1"/>
  <c r="M117" i="1"/>
  <c r="M116" i="1"/>
  <c r="M115" i="1"/>
  <c r="M113" i="1"/>
  <c r="M111" i="1"/>
  <c r="M108" i="1"/>
  <c r="M106" i="1"/>
  <c r="M105" i="1"/>
  <c r="M104" i="1"/>
  <c r="M102" i="1"/>
  <c r="M99" i="1"/>
  <c r="M98" i="1"/>
  <c r="M96" i="1"/>
  <c r="M95" i="1"/>
  <c r="M94" i="1"/>
  <c r="M93" i="1"/>
  <c r="M92" i="1"/>
  <c r="M91" i="1"/>
  <c r="M89" i="1"/>
  <c r="M88" i="1"/>
  <c r="M87" i="1"/>
  <c r="M85" i="1"/>
  <c r="M82" i="1"/>
  <c r="M81" i="1"/>
  <c r="M73" i="1"/>
  <c r="M72" i="1"/>
  <c r="M71" i="1"/>
  <c r="M66" i="1"/>
  <c r="M62" i="1"/>
  <c r="M60" i="1"/>
  <c r="M59" i="1"/>
  <c r="M58" i="1"/>
  <c r="M57" i="1"/>
  <c r="M56" i="1"/>
  <c r="M55" i="1"/>
  <c r="M54" i="1"/>
  <c r="M52" i="1"/>
  <c r="M51" i="1"/>
  <c r="M49" i="1"/>
  <c r="M48" i="1"/>
  <c r="M47" i="1"/>
  <c r="M46" i="1"/>
  <c r="M45" i="1"/>
  <c r="M43" i="1"/>
  <c r="M41" i="1"/>
  <c r="M40" i="1"/>
  <c r="M39" i="1"/>
  <c r="M38" i="1"/>
  <c r="M37" i="1"/>
  <c r="M35" i="1"/>
  <c r="M34" i="1"/>
  <c r="M33" i="1"/>
  <c r="M32" i="1"/>
  <c r="M31" i="1"/>
  <c r="M30" i="1"/>
  <c r="M29" i="1"/>
  <c r="M28" i="1"/>
  <c r="M26" i="1"/>
  <c r="M25" i="1"/>
  <c r="M24" i="1"/>
  <c r="M23" i="1"/>
  <c r="M22" i="1"/>
  <c r="M21" i="1"/>
  <c r="M20" i="1"/>
  <c r="M19" i="1"/>
  <c r="M18" i="1"/>
  <c r="M16" i="1"/>
  <c r="M15" i="1"/>
  <c r="M2" i="1"/>
  <c r="L17" i="1"/>
  <c r="Q220" i="1" l="1"/>
  <c r="R219" i="1"/>
  <c r="Q67" i="1"/>
  <c r="F15" i="25" l="1"/>
  <c r="F14" i="25"/>
  <c r="F13" i="25"/>
  <c r="F12" i="25"/>
  <c r="E15" i="25"/>
  <c r="E14" i="25"/>
  <c r="E13" i="25"/>
  <c r="E12" i="25"/>
  <c r="C15" i="25"/>
  <c r="C14" i="25"/>
  <c r="C16" i="25" s="1"/>
  <c r="C13" i="25"/>
  <c r="C12" i="25"/>
  <c r="H4" i="25"/>
  <c r="C9" i="25"/>
  <c r="F16" i="25"/>
  <c r="E16" i="25"/>
  <c r="D16" i="25"/>
  <c r="H13" i="25"/>
  <c r="H11" i="25"/>
  <c r="H10" i="25"/>
  <c r="H9" i="25"/>
  <c r="H8" i="25"/>
  <c r="H7" i="25"/>
  <c r="H6" i="25"/>
  <c r="H5" i="25"/>
  <c r="H62" i="23"/>
  <c r="H60" i="23"/>
  <c r="H59" i="23"/>
  <c r="H54" i="23"/>
  <c r="G54" i="23"/>
  <c r="H40" i="23"/>
  <c r="H43" i="23" s="1"/>
  <c r="G40" i="23"/>
  <c r="G43" i="23" s="1"/>
  <c r="H11" i="23"/>
  <c r="G11" i="23"/>
  <c r="D10" i="17"/>
  <c r="E10" i="17"/>
  <c r="H12" i="25" l="1"/>
  <c r="H15" i="25"/>
  <c r="H14" i="25"/>
  <c r="H51" i="23"/>
  <c r="H55" i="23" s="1"/>
  <c r="H56" i="23" s="1"/>
  <c r="G51" i="23"/>
  <c r="G55" i="23" s="1"/>
  <c r="G56" i="23" s="1"/>
  <c r="H10" i="17"/>
  <c r="G10" i="17"/>
  <c r="F10" i="17"/>
  <c r="I10" i="17" s="1"/>
  <c r="I21" i="23" l="1"/>
  <c r="I13" i="23"/>
  <c r="I19" i="23"/>
  <c r="I53" i="23"/>
  <c r="I48" i="23"/>
  <c r="I40" i="23"/>
  <c r="I32" i="23"/>
  <c r="I22" i="23"/>
  <c r="I54" i="23"/>
  <c r="I35" i="23"/>
  <c r="I11" i="23"/>
  <c r="I15" i="23"/>
  <c r="I50" i="23"/>
  <c r="I14" i="23"/>
  <c r="I56" i="23"/>
  <c r="I23" i="23"/>
  <c r="I31" i="23"/>
  <c r="I41" i="23"/>
  <c r="I17" i="23"/>
  <c r="I16" i="23"/>
  <c r="I33" i="23"/>
  <c r="I44" i="23"/>
  <c r="I26" i="23"/>
  <c r="I20" i="23"/>
  <c r="I25" i="23"/>
  <c r="I29" i="23"/>
  <c r="I18" i="23"/>
  <c r="I28" i="23"/>
  <c r="I37" i="23"/>
  <c r="I45" i="23"/>
  <c r="I51" i="23"/>
  <c r="I30" i="23"/>
  <c r="I34" i="23"/>
  <c r="I36" i="23"/>
  <c r="I43" i="23"/>
  <c r="I47" i="23"/>
  <c r="I38" i="23"/>
  <c r="I46" i="23"/>
  <c r="I10" i="23"/>
  <c r="I42" i="23"/>
  <c r="I24" i="23"/>
  <c r="I55" i="23"/>
  <c r="I39" i="23"/>
  <c r="I49" i="23"/>
  <c r="M10" i="6" l="1"/>
  <c r="M8" i="6"/>
  <c r="M9" i="6"/>
  <c r="M7" i="6"/>
  <c r="J10" i="6"/>
  <c r="L9" i="6"/>
  <c r="L10" i="6"/>
  <c r="L8" i="6"/>
  <c r="J8" i="6"/>
  <c r="J9" i="6"/>
  <c r="V34" i="13"/>
  <c r="W34" i="13" s="1"/>
  <c r="V33" i="13"/>
  <c r="W33" i="13" s="1"/>
  <c r="F8" i="15"/>
  <c r="B8" i="15"/>
  <c r="M7" i="15"/>
  <c r="M8" i="15" s="1"/>
  <c r="L7" i="15"/>
  <c r="L8" i="15" s="1"/>
  <c r="I7" i="15"/>
  <c r="I8" i="15" s="1"/>
  <c r="F7" i="15"/>
  <c r="C7" i="15"/>
  <c r="C8" i="15" s="1"/>
  <c r="B7" i="15"/>
  <c r="L5" i="15"/>
  <c r="K5" i="15"/>
  <c r="K7" i="15" s="1"/>
  <c r="K8" i="15" s="1"/>
  <c r="J5" i="15"/>
  <c r="J7" i="15" s="1"/>
  <c r="J8" i="15" s="1"/>
  <c r="E5" i="15"/>
  <c r="E7" i="15" s="1"/>
  <c r="E8" i="15" s="1"/>
  <c r="D5" i="15"/>
  <c r="C5" i="15"/>
  <c r="L4" i="15"/>
  <c r="K4" i="15"/>
  <c r="J4" i="15"/>
  <c r="E4" i="15"/>
  <c r="D4" i="15"/>
  <c r="D7" i="15" s="1"/>
  <c r="D8" i="15" s="1"/>
  <c r="C4" i="15"/>
  <c r="F13" i="12"/>
  <c r="M16" i="12"/>
  <c r="D16" i="12"/>
  <c r="J5" i="12"/>
  <c r="M13" i="12"/>
  <c r="F19" i="5" l="1"/>
  <c r="F18" i="5"/>
  <c r="E222" i="1" l="1"/>
  <c r="P17" i="1" l="1"/>
  <c r="O222" i="1" l="1"/>
  <c r="M195" i="1" l="1"/>
  <c r="C6" i="5" l="1"/>
  <c r="B15" i="5" l="1"/>
  <c r="C16" i="5"/>
  <c r="C14" i="5"/>
  <c r="D13" i="12"/>
  <c r="M10" i="12"/>
  <c r="J10" i="12"/>
  <c r="D7" i="17" l="1"/>
  <c r="E7" i="17" s="1"/>
  <c r="H7" i="17" l="1"/>
  <c r="G7" i="17"/>
  <c r="F7" i="17"/>
  <c r="I7" i="17" l="1"/>
  <c r="M76" i="1" l="1"/>
  <c r="M75" i="1"/>
  <c r="M77" i="1"/>
  <c r="M78" i="1"/>
  <c r="M79" i="1"/>
  <c r="H10" i="12" l="1"/>
  <c r="F10" i="12"/>
  <c r="D10" i="12"/>
  <c r="V32" i="13" l="1"/>
  <c r="E97" i="13"/>
  <c r="U34" i="13"/>
  <c r="U33" i="13"/>
  <c r="U32" i="13"/>
  <c r="U30" i="13"/>
  <c r="U29" i="13"/>
  <c r="U28" i="13"/>
  <c r="U26" i="13"/>
  <c r="U25" i="13"/>
  <c r="U20" i="13"/>
  <c r="U21" i="13"/>
  <c r="U22" i="13"/>
  <c r="U23" i="13"/>
  <c r="U19" i="13"/>
  <c r="U17" i="13"/>
  <c r="U16" i="13"/>
  <c r="U13" i="13"/>
  <c r="U12" i="13"/>
  <c r="U7" i="13"/>
  <c r="U8" i="13"/>
  <c r="U9" i="13"/>
  <c r="U10" i="13"/>
  <c r="U6" i="13"/>
  <c r="U4" i="13"/>
  <c r="U3" i="13"/>
  <c r="F5" i="12" l="1"/>
  <c r="H5" i="12"/>
  <c r="T19" i="8"/>
  <c r="M152" i="1" l="1"/>
  <c r="M146" i="1" l="1"/>
  <c r="M190" i="1"/>
  <c r="M100" i="1" l="1"/>
  <c r="M101" i="1"/>
  <c r="M191" i="1"/>
  <c r="B137" i="32" l="1"/>
  <c r="B141" i="32" s="1"/>
  <c r="B142" i="32" s="1"/>
  <c r="M137" i="1"/>
  <c r="M103" i="1"/>
  <c r="F222" i="1"/>
  <c r="G222" i="1"/>
  <c r="B11" i="5" l="1"/>
  <c r="M8" i="1"/>
  <c r="M112" i="1" l="1"/>
  <c r="M110" i="1"/>
  <c r="D222" i="1" l="1"/>
  <c r="J23" i="5" l="1"/>
  <c r="J22" i="5"/>
  <c r="J21" i="5"/>
  <c r="J20" i="5"/>
  <c r="J19" i="5"/>
  <c r="J18" i="5"/>
  <c r="M18" i="5" s="1"/>
  <c r="B14" i="5"/>
  <c r="B13" i="5"/>
  <c r="B12" i="5"/>
  <c r="B86" i="32" l="1"/>
  <c r="B90" i="32" s="1"/>
  <c r="B97" i="32" s="1"/>
  <c r="M86" i="1"/>
  <c r="J17" i="5"/>
  <c r="M17" i="5" s="1"/>
  <c r="J16" i="5"/>
  <c r="M16" i="5" s="1"/>
  <c r="J13" i="5"/>
  <c r="J15" i="5"/>
  <c r="M15" i="5" s="1"/>
  <c r="J12" i="5"/>
  <c r="J14" i="5"/>
  <c r="M14" i="5" s="1"/>
  <c r="B70" i="32" l="1"/>
  <c r="H222" i="1"/>
  <c r="C222" i="1"/>
  <c r="B222" i="1"/>
  <c r="A222" i="1"/>
  <c r="M216" i="1"/>
  <c r="M208" i="1"/>
  <c r="M207" i="1"/>
  <c r="M206" i="1"/>
  <c r="M205" i="1"/>
  <c r="M118" i="1"/>
  <c r="M114" i="1"/>
  <c r="M109" i="1"/>
  <c r="M107" i="1"/>
  <c r="M53" i="1"/>
  <c r="M50" i="1"/>
  <c r="M44" i="1"/>
  <c r="M42" i="1"/>
  <c r="M27" i="1"/>
  <c r="M10" i="1"/>
  <c r="M9" i="1"/>
  <c r="M5" i="1"/>
  <c r="M4" i="1"/>
  <c r="M11" i="1" l="1"/>
  <c r="M13" i="1"/>
  <c r="M12" i="1"/>
  <c r="M7" i="1"/>
  <c r="M6" i="1"/>
  <c r="M14" i="1"/>
  <c r="M159" i="1"/>
  <c r="M153" i="1"/>
  <c r="M150" i="1"/>
  <c r="M149" i="1"/>
  <c r="M148" i="1"/>
  <c r="M147" i="1"/>
  <c r="M164" i="1"/>
  <c r="M140" i="1"/>
  <c r="M3" i="1"/>
  <c r="M61" i="1"/>
  <c r="M36" i="1"/>
  <c r="M17" i="1"/>
  <c r="M183" i="1" l="1"/>
  <c r="M84" i="1"/>
  <c r="M196" i="1"/>
  <c r="M64" i="1"/>
  <c r="M63" i="1"/>
  <c r="M144" i="1"/>
  <c r="M135" i="1"/>
  <c r="M182" i="1"/>
  <c r="M209" i="1"/>
  <c r="M178" i="1"/>
  <c r="M157" i="1"/>
  <c r="M187" i="1"/>
  <c r="M168" i="1"/>
  <c r="M167" i="1"/>
  <c r="M166" i="1"/>
  <c r="M160" i="1"/>
  <c r="M83" i="1" l="1"/>
  <c r="M74" i="1"/>
  <c r="M65" i="1"/>
  <c r="M80" i="1"/>
  <c r="M154" i="1"/>
  <c r="M133" i="1"/>
  <c r="M134" i="1"/>
  <c r="M90" i="1"/>
  <c r="M197" i="1"/>
  <c r="M136" i="1"/>
  <c r="M121" i="1"/>
  <c r="B161" i="32" l="1"/>
  <c r="B170" i="32" s="1"/>
  <c r="B211" i="32" s="1"/>
  <c r="M161" i="1"/>
  <c r="M170" i="1"/>
  <c r="M141" i="1"/>
  <c r="B67" i="32" l="1"/>
  <c r="B219" i="32"/>
  <c r="B220" i="32" s="1"/>
  <c r="M132" i="1"/>
  <c r="P3" i="26"/>
  <c r="M69" i="1"/>
  <c r="M68" i="1"/>
  <c r="M142" i="1"/>
  <c r="M70" i="1" l="1"/>
  <c r="M97" i="1"/>
  <c r="B223" i="32"/>
  <c r="M211" i="1" l="1"/>
  <c r="M67" i="1" l="1"/>
  <c r="M219" i="1"/>
  <c r="M2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S1" authorId="0" shapeId="0" xr:uid="{3E0FE5BC-3B11-40C7-9DCD-640A6C03E3EA}">
      <text>
        <r>
          <rPr>
            <b/>
            <sz val="9"/>
            <color indexed="81"/>
            <rFont val="Tahoma"/>
            <family val="2"/>
          </rPr>
          <t>Matt Padron:</t>
        </r>
        <r>
          <rPr>
            <sz val="9"/>
            <color indexed="81"/>
            <rFont val="Tahoma"/>
            <family val="2"/>
          </rPr>
          <t xml:space="preserve">
5 DEXE
6 DAC
7 DAF
8 DARE
9 DAS
10 DAP
11 DANN
1 MATM
1 MATM
2 MATB
3 MATE
13 MANN
14 PANEXE
15 PAH
16 PAC
17 PAI
18 PAS
19 PASC
20 SOMEXE
21 NLV
22 LOSEL
23 LMT
24 SKYEL
25 STE
26 ALI
27 SKYEC
4 SLAMR
28 PANN
105 RR Elem
106 RR M/H
114 CIVICA NV
115 SLAM Elem.
116 SLAM MH
117 YWLA
121 SLAM Arizona INC
109 Somerset Arizona
122 Pinecrest Virtual
123 Mater EXE
</t>
        </r>
      </text>
    </comment>
    <comment ref="W1" authorId="0" shapeId="0" xr:uid="{A75A3ED3-F417-4F00-B8A9-18727AB5CE69}">
      <text>
        <r>
          <rPr>
            <b/>
            <sz val="9"/>
            <color indexed="81"/>
            <rFont val="Tahoma"/>
            <family val="2"/>
          </rPr>
          <t>Matt Padron:</t>
        </r>
        <r>
          <rPr>
            <sz val="9"/>
            <color indexed="81"/>
            <rFont val="Tahoma"/>
            <family val="2"/>
          </rPr>
          <t xml:space="preserve">
-Right click corresponding CSV tab
-Move or copy into new book
-Format all cells: General
-Delete all zeros 
-Save As (CSV comma delimited)- ready for import</t>
        </r>
      </text>
    </comment>
    <comment ref="F50" authorId="0" shapeId="0" xr:uid="{9F6CBE51-92A2-4E09-944D-AE7DECD1FA47}">
      <text>
        <r>
          <rPr>
            <b/>
            <sz val="9"/>
            <color indexed="81"/>
            <rFont val="Tahoma"/>
            <family val="2"/>
          </rPr>
          <t>Matt Padron:</t>
        </r>
        <r>
          <rPr>
            <sz val="9"/>
            <color indexed="81"/>
            <rFont val="Tahoma"/>
            <family val="2"/>
          </rPr>
          <t xml:space="preserve">
8 IA's actually on Title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35274379-01F6-470C-8D17-0D1ECB9B290C}">
      <text>
        <r>
          <rPr>
            <b/>
            <sz val="9"/>
            <color indexed="81"/>
            <rFont val="Tahoma"/>
            <family val="2"/>
          </rPr>
          <t>Matt Padron:</t>
        </r>
        <r>
          <rPr>
            <sz val="9"/>
            <color indexed="81"/>
            <rFont val="Tahoma"/>
            <family val="2"/>
          </rPr>
          <t xml:space="preserve">
8 IA's actually on Title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48C4E0D1-52A8-4A8F-8D49-B3A89C08EB42}">
      <text>
        <r>
          <rPr>
            <b/>
            <sz val="9"/>
            <color indexed="81"/>
            <rFont val="Tahoma"/>
            <family val="2"/>
          </rPr>
          <t>Matt Padron:</t>
        </r>
        <r>
          <rPr>
            <sz val="9"/>
            <color indexed="81"/>
            <rFont val="Tahoma"/>
            <family val="2"/>
          </rPr>
          <t xml:space="preserve">
8 IA's actually on Title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A05EA116-A8F5-4091-B105-F892FD60D970}">
      <text>
        <r>
          <rPr>
            <b/>
            <sz val="9"/>
            <color indexed="81"/>
            <rFont val="Tahoma"/>
            <family val="2"/>
          </rPr>
          <t>Matt Padron:</t>
        </r>
        <r>
          <rPr>
            <sz val="9"/>
            <color indexed="81"/>
            <rFont val="Tahoma"/>
            <family val="2"/>
          </rPr>
          <t xml:space="preserve">
8 IA's actually on Title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 Padron</author>
  </authors>
  <commentList>
    <comment ref="F50" authorId="0" shapeId="0" xr:uid="{102F3881-9296-48DE-8AE7-7768EF61775D}">
      <text>
        <r>
          <rPr>
            <b/>
            <sz val="9"/>
            <color indexed="81"/>
            <rFont val="Tahoma"/>
            <family val="2"/>
          </rPr>
          <t>Matt Padron:</t>
        </r>
        <r>
          <rPr>
            <sz val="9"/>
            <color indexed="81"/>
            <rFont val="Tahoma"/>
            <family val="2"/>
          </rPr>
          <t xml:space="preserve">
8 IA's actually on Title 1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<sst xmlns="http://schemas.openxmlformats.org/spreadsheetml/2006/main" count="3853" uniqueCount="992">
  <si>
    <t>CIVICA Nevada - FY25</t>
  </si>
  <si>
    <t>Operating</t>
  </si>
  <si>
    <t>SPED</t>
  </si>
  <si>
    <t>NSLP</t>
  </si>
  <si>
    <t>Other</t>
  </si>
  <si>
    <t>Title I</t>
  </si>
  <si>
    <t>Title II/III/IV</t>
  </si>
  <si>
    <t>Total (24-25)</t>
  </si>
  <si>
    <t>24-25 (Final)</t>
  </si>
  <si>
    <t>Variance</t>
  </si>
  <si>
    <t>23-24 (Final Revised)</t>
  </si>
  <si>
    <t>Internal ID</t>
  </si>
  <si>
    <t>FY 2025</t>
  </si>
  <si>
    <t>Import Instructions</t>
  </si>
  <si>
    <t>Statewide Base (w/ District Adj)</t>
  </si>
  <si>
    <t>Total Students (FTEs)</t>
  </si>
  <si>
    <t>Kinder</t>
  </si>
  <si>
    <t>1st Grade</t>
  </si>
  <si>
    <t>2nd Grade</t>
  </si>
  <si>
    <t>3rd Grade</t>
  </si>
  <si>
    <t>4th Grade</t>
  </si>
  <si>
    <t>5th Grade</t>
  </si>
  <si>
    <t>6th Grade</t>
  </si>
  <si>
    <t>7th Grade</t>
  </si>
  <si>
    <t>8th Grade</t>
  </si>
  <si>
    <t>9th Grade</t>
  </si>
  <si>
    <t>10th Grade</t>
  </si>
  <si>
    <t>11th Grade</t>
  </si>
  <si>
    <t>12th Grade</t>
  </si>
  <si>
    <t xml:space="preserve">Prior Year Numbers </t>
  </si>
  <si>
    <t>Total (23-24)</t>
  </si>
  <si>
    <t>SPED Count</t>
  </si>
  <si>
    <t>October 1st counts</t>
  </si>
  <si>
    <t>EL Count</t>
  </si>
  <si>
    <t>GATE Count</t>
  </si>
  <si>
    <t>FRL Count and %</t>
  </si>
  <si>
    <t>At-Risk Count</t>
  </si>
  <si>
    <t>Teaching Staff</t>
  </si>
  <si>
    <t>Classroom Teachers</t>
  </si>
  <si>
    <t>SPED Teachers</t>
  </si>
  <si>
    <t>Art Teacher</t>
  </si>
  <si>
    <t>Music</t>
  </si>
  <si>
    <t>PE Teacher</t>
  </si>
  <si>
    <t>Technology (STEM)</t>
  </si>
  <si>
    <t>Spanish / Language</t>
  </si>
  <si>
    <t>Additional Elective Teachers</t>
  </si>
  <si>
    <t>Gate Teacher</t>
  </si>
  <si>
    <t xml:space="preserve">     Total Teaching Staff</t>
  </si>
  <si>
    <t>Admin &amp; Support</t>
  </si>
  <si>
    <t>Principal</t>
  </si>
  <si>
    <t>Assistant Principal</t>
  </si>
  <si>
    <t>ELL Coordinator</t>
  </si>
  <si>
    <t>Dean</t>
  </si>
  <si>
    <t>Curriculum Coach</t>
  </si>
  <si>
    <t>School Counselor</t>
  </si>
  <si>
    <t>Social Worker/ Mental Health</t>
  </si>
  <si>
    <t>Office Manager/Banker</t>
  </si>
  <si>
    <t>Registrar</t>
  </si>
  <si>
    <t>Clinic Aide/ FASA</t>
  </si>
  <si>
    <t>Receptionist</t>
  </si>
  <si>
    <t>Teacher Assistants (SPED Included)</t>
  </si>
  <si>
    <t>Campus Monitor/Custodian</t>
  </si>
  <si>
    <t>Cafeteria Manager</t>
  </si>
  <si>
    <t>Parent Engagement Corrdinator</t>
  </si>
  <si>
    <t>SPED Facilitator</t>
  </si>
  <si>
    <t>Speech Pathologist</t>
  </si>
  <si>
    <t>School Psychologist</t>
  </si>
  <si>
    <t>OT</t>
  </si>
  <si>
    <t>School Nurse</t>
  </si>
  <si>
    <t>On Campus Sub</t>
  </si>
  <si>
    <t>Other: NSLP staff</t>
  </si>
  <si>
    <t xml:space="preserve">     Total Admin &amp; Support</t>
  </si>
  <si>
    <t>Total # Teachers</t>
  </si>
  <si>
    <t>Total # Admin &amp; Support</t>
  </si>
  <si>
    <t>Total Staff</t>
  </si>
  <si>
    <t>Total Salaries &amp; Benefits as % of Expenses</t>
  </si>
  <si>
    <t>Instruction Salaries as % of Total Salaries</t>
  </si>
  <si>
    <t>Admin &amp; Support Salaries as % of Total Salaries</t>
  </si>
  <si>
    <t>Rent as % of Revenue</t>
  </si>
  <si>
    <t xml:space="preserve">REVENUE </t>
  </si>
  <si>
    <t>State Revenue</t>
  </si>
  <si>
    <t>State Base Budget Revenue</t>
  </si>
  <si>
    <t>ELL Weight</t>
  </si>
  <si>
    <t>Gifted and Talented Education (GATE)</t>
  </si>
  <si>
    <t>At-Risk Weight</t>
  </si>
  <si>
    <t>Local SPED</t>
  </si>
  <si>
    <t>SPED Discretionary Unit</t>
  </si>
  <si>
    <t xml:space="preserve">Total State Revenues </t>
  </si>
  <si>
    <t>Federal Revenue</t>
  </si>
  <si>
    <t>SPED Funding (Part B)</t>
  </si>
  <si>
    <t>National School Lunch Program (NSLP) - Breakfast</t>
  </si>
  <si>
    <t>National School Lunch Program (NSLP) - Lunch</t>
  </si>
  <si>
    <t>Title II</t>
  </si>
  <si>
    <t>Title III</t>
  </si>
  <si>
    <t>Title IV</t>
  </si>
  <si>
    <t>Other: AB495 Grant Remaining Balance</t>
  </si>
  <si>
    <t xml:space="preserve">Total Federal Revenues </t>
  </si>
  <si>
    <t>Other Revenue</t>
  </si>
  <si>
    <t>Interest Income</t>
  </si>
  <si>
    <t>Student Generated Funds (SGF)</t>
  </si>
  <si>
    <t>Donation(s)</t>
  </si>
  <si>
    <t>Earnings on Investments</t>
  </si>
  <si>
    <t xml:space="preserve">Total Other Revenues </t>
  </si>
  <si>
    <t>Total Revenues (consolidated)</t>
  </si>
  <si>
    <t>Other Sources of Funds</t>
  </si>
  <si>
    <t>Use of Beginning Fund Balances</t>
  </si>
  <si>
    <t>Borrowings</t>
  </si>
  <si>
    <t xml:space="preserve">FFE Capital Lease </t>
  </si>
  <si>
    <t>CTE Allocation</t>
  </si>
  <si>
    <t>ECLIP 2</t>
  </si>
  <si>
    <t>Total Other Sources of Funds</t>
  </si>
  <si>
    <t>EXPENSES</t>
  </si>
  <si>
    <t>Personnel Costs - Unrestricted Salaries</t>
  </si>
  <si>
    <t>Assistant Principal(s)</t>
  </si>
  <si>
    <t>ELL Coordinator / Parent Engagement Coordinator</t>
  </si>
  <si>
    <t xml:space="preserve">School Counselor </t>
  </si>
  <si>
    <t>Social Worker / Mental Health</t>
  </si>
  <si>
    <t xml:space="preserve">Teachers Salaries </t>
  </si>
  <si>
    <t>Office Manager/ Registrar / Banker</t>
  </si>
  <si>
    <t>Secretary &amp; FASA</t>
  </si>
  <si>
    <t>Instructional Aide(s)</t>
  </si>
  <si>
    <t>Campus Monitors/Plant Operator</t>
  </si>
  <si>
    <t xml:space="preserve">Total Unrestricted Salaries </t>
  </si>
  <si>
    <t>Personnel Costs - Restricted Salaries</t>
  </si>
  <si>
    <t xml:space="preserve">OT </t>
  </si>
  <si>
    <t>GATE Teacher</t>
  </si>
  <si>
    <t>National School Lunch Program (NSLP) Staff</t>
  </si>
  <si>
    <t xml:space="preserve">Total Restricted Salaries </t>
  </si>
  <si>
    <t xml:space="preserve">Total Salaries and Wages </t>
  </si>
  <si>
    <t>PERS - 33.5%</t>
  </si>
  <si>
    <t xml:space="preserve">Insurances/Employment Taxes/Other Benefits </t>
  </si>
  <si>
    <t>Retention</t>
  </si>
  <si>
    <t>Holiday</t>
  </si>
  <si>
    <t>Stipend</t>
  </si>
  <si>
    <t>Additional Bonuses</t>
  </si>
  <si>
    <t>Tuition Reimbursements</t>
  </si>
  <si>
    <t>Subst. Teachers (10 days/Teacher)</t>
  </si>
  <si>
    <t>$185 per day</t>
  </si>
  <si>
    <t xml:space="preserve">Total Benefits and Related </t>
  </si>
  <si>
    <t>Total Payroll / Benefits and Related</t>
  </si>
  <si>
    <t>Material Equipment and Supplies</t>
  </si>
  <si>
    <t xml:space="preserve">Consumables </t>
  </si>
  <si>
    <t>$210/student</t>
  </si>
  <si>
    <t>Dual Enrollment - Student Fees/Textbooks</t>
  </si>
  <si>
    <t>Curriculum/Tech/Furniture</t>
  </si>
  <si>
    <t>Office Supplies</t>
  </si>
  <si>
    <t>$30/student</t>
  </si>
  <si>
    <t>Classroom Supplies</t>
  </si>
  <si>
    <t>$40/student</t>
  </si>
  <si>
    <t>Copier Supplies</t>
  </si>
  <si>
    <t>$10/student</t>
  </si>
  <si>
    <t>Nursing Supplies</t>
  </si>
  <si>
    <t>$8/student</t>
  </si>
  <si>
    <t>SPED Supplies</t>
  </si>
  <si>
    <t>$150/sped student</t>
  </si>
  <si>
    <t>Athletics/Extra</t>
  </si>
  <si>
    <t>Custodial Supplies</t>
  </si>
  <si>
    <t>$42/student</t>
  </si>
  <si>
    <t xml:space="preserve">Total Material Equipment and Supplies </t>
  </si>
  <si>
    <t>Purchased Services</t>
  </si>
  <si>
    <t>Contracted Services: Data Analyst</t>
  </si>
  <si>
    <t>Contracted Services: SPED</t>
  </si>
  <si>
    <t>$230 per</t>
  </si>
  <si>
    <t>Contracted Services: Transportation</t>
  </si>
  <si>
    <t>Contracted Services: Crossing Guards</t>
  </si>
  <si>
    <t>Management Fee (Academica Nevada)</t>
  </si>
  <si>
    <t>$495 per</t>
  </si>
  <si>
    <t>Payroll Services</t>
  </si>
  <si>
    <t>Audit/Tax</t>
  </si>
  <si>
    <t>Legal Fees</t>
  </si>
  <si>
    <t xml:space="preserve">IT Services </t>
  </si>
  <si>
    <t>$48 per student + $60per month for back-up</t>
  </si>
  <si>
    <t>IT Set-up Fees</t>
  </si>
  <si>
    <t xml:space="preserve">State Administrative Fee </t>
  </si>
  <si>
    <t xml:space="preserve">Affiliation Fee - Inc. </t>
  </si>
  <si>
    <t>0.5% of Per Pupil</t>
  </si>
  <si>
    <t>Affiliation Fee - Professional Development</t>
  </si>
  <si>
    <t xml:space="preserve">Professional Development </t>
  </si>
  <si>
    <t xml:space="preserve">Total Purchased Services </t>
  </si>
  <si>
    <t>General Operations</t>
  </si>
  <si>
    <t>Telephone</t>
  </si>
  <si>
    <t>Cox (E-Rate Discount)</t>
  </si>
  <si>
    <t>Internet</t>
  </si>
  <si>
    <t>Cell Phones</t>
  </si>
  <si>
    <t>Postage</t>
  </si>
  <si>
    <t>Website</t>
  </si>
  <si>
    <t>Copier / Printing</t>
  </si>
  <si>
    <t>Infinite Campus</t>
  </si>
  <si>
    <t>Property Insurance</t>
  </si>
  <si>
    <t>Liability Insurance</t>
  </si>
  <si>
    <t>Other Insurances</t>
  </si>
  <si>
    <t xml:space="preserve">NSLP - Breakfast </t>
  </si>
  <si>
    <t xml:space="preserve">NSLP - Lunch </t>
  </si>
  <si>
    <t>Advertising/Marketing</t>
  </si>
  <si>
    <t xml:space="preserve">Travel </t>
  </si>
  <si>
    <t>Background and Fingerprinting</t>
  </si>
  <si>
    <t>Dues and Fees</t>
  </si>
  <si>
    <t>CSAN, Cognia, Costco, etc.</t>
  </si>
  <si>
    <t>Prior Year Surplus allocated by board</t>
  </si>
  <si>
    <t>Graduation</t>
  </si>
  <si>
    <t>Loan Repayments</t>
  </si>
  <si>
    <t xml:space="preserve"> Start-up Note</t>
  </si>
  <si>
    <t>Cap Lease - Interest</t>
  </si>
  <si>
    <t>Cap Lease - Principal</t>
  </si>
  <si>
    <t>Cap Lease - Buyout</t>
  </si>
  <si>
    <t>SGF Expenditures</t>
  </si>
  <si>
    <t>Misc Purchases</t>
  </si>
  <si>
    <t>Contingencies</t>
  </si>
  <si>
    <t xml:space="preserve">2.0% of Per Pupil </t>
  </si>
  <si>
    <t xml:space="preserve">Total Other </t>
  </si>
  <si>
    <t>Facilities</t>
  </si>
  <si>
    <t>Public Utilities (Electricity)</t>
  </si>
  <si>
    <t>Natural Gas</t>
  </si>
  <si>
    <t>Water / Sewer</t>
  </si>
  <si>
    <t>Garbage/Disposal</t>
  </si>
  <si>
    <t>Fire and Security alarms</t>
  </si>
  <si>
    <t>Contracted Janitorial Services</t>
  </si>
  <si>
    <t xml:space="preserve">$5,440.06/month </t>
  </si>
  <si>
    <t>Facility Maintenance/Repairs/Capital Outlay</t>
  </si>
  <si>
    <t>Snow removal</t>
  </si>
  <si>
    <t>Lawn Care</t>
  </si>
  <si>
    <t>AC Maintenance &amp; Repair</t>
  </si>
  <si>
    <t xml:space="preserve">Total Facilities </t>
  </si>
  <si>
    <t xml:space="preserve">Total Expenses Before Bldg </t>
  </si>
  <si>
    <t>Scheduled Lease Payment</t>
  </si>
  <si>
    <t>Scheduled Bond Payment - Principal</t>
  </si>
  <si>
    <t>Scheduled Bond Payment - Interest</t>
  </si>
  <si>
    <t>HOA/Parking/Other</t>
  </si>
  <si>
    <t>Storage / Portable construction/delivery/rental costs</t>
  </si>
  <si>
    <t>Surplus (Revenues-Total Expenses-Lease-Bond)</t>
  </si>
  <si>
    <t>CIVICA Nevada - FY26</t>
  </si>
  <si>
    <t>Total (25-26)</t>
  </si>
  <si>
    <t>prior year</t>
  </si>
  <si>
    <t xml:space="preserve">Other: </t>
  </si>
  <si>
    <t>PERS - 36.75%</t>
  </si>
  <si>
    <t>Crossing Guards</t>
  </si>
  <si>
    <t xml:space="preserve">2% of Per Pupil </t>
  </si>
  <si>
    <t>Storage / assums Portable rollver</t>
  </si>
  <si>
    <t>CIVICA Nevada - FY27</t>
  </si>
  <si>
    <t>Total (26-27)</t>
  </si>
  <si>
    <t xml:space="preserve">Storage </t>
  </si>
  <si>
    <t>CIVICA Nevada - FY28</t>
  </si>
  <si>
    <t>Total (27-28)</t>
  </si>
  <si>
    <t>CIVICA Nevada - FY29</t>
  </si>
  <si>
    <t>Total (28-29)</t>
  </si>
  <si>
    <t xml:space="preserve">CIVICA Nevada </t>
  </si>
  <si>
    <t>FY25 (24-25)</t>
  </si>
  <si>
    <t>FY26 (25-26)</t>
  </si>
  <si>
    <t>FY27 (26-27)</t>
  </si>
  <si>
    <t>FY28 (27-28)</t>
  </si>
  <si>
    <t>FY29 (28-29)</t>
  </si>
  <si>
    <t>Adjusted Net Income Available Before Lease and Debt Service</t>
  </si>
  <si>
    <t>Total Lease Payments &amp; Net Debt Service</t>
  </si>
  <si>
    <t xml:space="preserve">Annual Debt Service Coverage </t>
  </si>
  <si>
    <t>Days Cash on Hand Calculation</t>
  </si>
  <si>
    <t>Beginning Cash Balance - FYE 2022 Audited (System)</t>
  </si>
  <si>
    <t>Accounts Receivable</t>
  </si>
  <si>
    <t>Plus:  Operating Surplus (Deficit)</t>
  </si>
  <si>
    <t>Ending Cash Balance</t>
  </si>
  <si>
    <t>Projected Days Cash on Hand</t>
  </si>
  <si>
    <t>Avg</t>
  </si>
  <si>
    <t>Personnel</t>
  </si>
  <si>
    <t>Benefits</t>
  </si>
  <si>
    <t>Contractual</t>
  </si>
  <si>
    <t>Contracted Services</t>
  </si>
  <si>
    <t>Equipment</t>
  </si>
  <si>
    <t>Supplies</t>
  </si>
  <si>
    <t>Facility</t>
  </si>
  <si>
    <t xml:space="preserve">Insurance </t>
  </si>
  <si>
    <t>Travel</t>
  </si>
  <si>
    <t>Accounting, Audit, &amp; Legal Fees</t>
  </si>
  <si>
    <t>Technology</t>
  </si>
  <si>
    <t xml:space="preserve">Estimated School Income </t>
  </si>
  <si>
    <t>Year 1</t>
  </si>
  <si>
    <t>Year 2</t>
  </si>
  <si>
    <t>Year 3</t>
  </si>
  <si>
    <t>Year 4</t>
  </si>
  <si>
    <t>Year 5</t>
  </si>
  <si>
    <t>Year 6</t>
  </si>
  <si>
    <t>Year 7</t>
  </si>
  <si>
    <t>Year 8</t>
  </si>
  <si>
    <t>Year 9</t>
  </si>
  <si>
    <t>Year 10</t>
  </si>
  <si>
    <t>2021-2022</t>
  </si>
  <si>
    <t>2022-2023</t>
  </si>
  <si>
    <t>2023-2024</t>
  </si>
  <si>
    <t>2024-2025</t>
  </si>
  <si>
    <t>2025-2026</t>
  </si>
  <si>
    <t>2026-2027</t>
  </si>
  <si>
    <t>2027-2028</t>
  </si>
  <si>
    <t>2028-2029</t>
  </si>
  <si>
    <t>2029-2030</t>
  </si>
  <si>
    <t>2030-2031</t>
  </si>
  <si>
    <t># of Students</t>
  </si>
  <si>
    <t>Estimated PPR (Includes All School Funding Sources)</t>
  </si>
  <si>
    <t>Budgeted Revenues @ 100%</t>
  </si>
  <si>
    <t>Lease Payment Phase I</t>
  </si>
  <si>
    <t>Lease Payment Phase II</t>
  </si>
  <si>
    <t>Portable 1 Year Lease</t>
  </si>
  <si>
    <t>Lease Payment Phase III</t>
  </si>
  <si>
    <t>Lease Payment Phase IV</t>
  </si>
  <si>
    <t>Total Lease Payment</t>
  </si>
  <si>
    <t>Total Lease Payments as % of Revenues</t>
  </si>
  <si>
    <t>Total Cost per Seat</t>
  </si>
  <si>
    <t>Rent per Student</t>
  </si>
  <si>
    <t>Rent as % of Total Project Cost</t>
  </si>
  <si>
    <t>Includes 1.5% Annual Escalator</t>
  </si>
  <si>
    <t>CIVICA of Nevada</t>
  </si>
  <si>
    <t>Historical Average Teacher Salaries</t>
  </si>
  <si>
    <t>21-22</t>
  </si>
  <si>
    <t>22-23</t>
  </si>
  <si>
    <t>23-24</t>
  </si>
  <si>
    <t>24-25</t>
  </si>
  <si>
    <t>CIVICA</t>
  </si>
  <si>
    <t>-</t>
  </si>
  <si>
    <t>Historical Average Daily Enrollment</t>
  </si>
  <si>
    <t>Q1</t>
  </si>
  <si>
    <t>Q2</t>
  </si>
  <si>
    <t>Q3</t>
  </si>
  <si>
    <t>Q4</t>
  </si>
  <si>
    <t>FY23 Final Budget</t>
  </si>
  <si>
    <t>Avg Q1-4</t>
  </si>
  <si>
    <t xml:space="preserve">   CIVICA</t>
  </si>
  <si>
    <t>FY24 Final Budget</t>
  </si>
  <si>
    <t>FY25 Final Budget</t>
  </si>
  <si>
    <t>School Name</t>
  </si>
  <si>
    <t>ELL</t>
  </si>
  <si>
    <t>GATE</t>
  </si>
  <si>
    <t>FRL</t>
  </si>
  <si>
    <t>TRUE FRL</t>
  </si>
  <si>
    <t>Total Count</t>
  </si>
  <si>
    <t>TRUE    FRL %</t>
  </si>
  <si>
    <t>CIVICA Acad</t>
  </si>
  <si>
    <r>
      <t xml:space="preserve">PCFP (New Formula) - </t>
    </r>
    <r>
      <rPr>
        <b/>
        <sz val="11"/>
        <color rgb="FFFF0000"/>
        <rFont val="Calibri"/>
        <family val="2"/>
        <scheme val="minor"/>
      </rPr>
      <t>Clark</t>
    </r>
  </si>
  <si>
    <r>
      <t xml:space="preserve">PCFP (New Formula) - </t>
    </r>
    <r>
      <rPr>
        <b/>
        <sz val="11"/>
        <color rgb="FFFF0000"/>
        <rFont val="Calibri"/>
        <family val="2"/>
        <scheme val="minor"/>
      </rPr>
      <t>Washoe</t>
    </r>
  </si>
  <si>
    <t>Base</t>
  </si>
  <si>
    <t>At-Risk</t>
  </si>
  <si>
    <t>FY 2023</t>
  </si>
  <si>
    <t>FY 2024</t>
  </si>
  <si>
    <t>$ Change</t>
  </si>
  <si>
    <t>% Change</t>
  </si>
  <si>
    <t>SYSTEM</t>
  </si>
  <si>
    <t>CIVICA NV</t>
  </si>
  <si>
    <t>Total</t>
  </si>
  <si>
    <t>CAMPUS</t>
  </si>
  <si>
    <t>Grant - Other</t>
  </si>
  <si>
    <t>FY</t>
  </si>
  <si>
    <t>Total (excl Grants)</t>
  </si>
  <si>
    <t>Name</t>
  </si>
  <si>
    <t>Hire Date</t>
  </si>
  <si>
    <t>Category</t>
  </si>
  <si>
    <t>Title/Grade/Subject</t>
  </si>
  <si>
    <t>Funding Source</t>
  </si>
  <si>
    <t>FTE</t>
  </si>
  <si>
    <t>Salary/Rate</t>
  </si>
  <si>
    <t xml:space="preserve">Daily Rate </t>
  </si>
  <si>
    <t>Hours per day</t>
  </si>
  <si>
    <t>Months</t>
  </si>
  <si>
    <t xml:space="preserve">Term Date </t>
  </si>
  <si>
    <t>Notes</t>
  </si>
  <si>
    <t>Days</t>
  </si>
  <si>
    <t>Annual Salary</t>
  </si>
  <si>
    <t>Miriam Tapia-Rivera</t>
  </si>
  <si>
    <t>Teacher</t>
  </si>
  <si>
    <t>Imani Curtis</t>
  </si>
  <si>
    <t>Monique Wade</t>
  </si>
  <si>
    <t>Desiree  Loya</t>
  </si>
  <si>
    <t>Janae Pearson</t>
  </si>
  <si>
    <t>Theresa Wilcox</t>
  </si>
  <si>
    <t>1st</t>
  </si>
  <si>
    <t>Valarie Thomas</t>
  </si>
  <si>
    <t>Stephanie Hooks</t>
  </si>
  <si>
    <t>Bridget Richardson</t>
  </si>
  <si>
    <t>Laurie Hinze</t>
  </si>
  <si>
    <t>Marine Genanyan</t>
  </si>
  <si>
    <t>2nd</t>
  </si>
  <si>
    <t>Elvira Martinez Lopez</t>
  </si>
  <si>
    <t>Kiara Jones</t>
  </si>
  <si>
    <t>Sarah Dimond</t>
  </si>
  <si>
    <t>Shayla Jacobs</t>
  </si>
  <si>
    <t>Tyesheia Hankston</t>
  </si>
  <si>
    <t>3rd</t>
  </si>
  <si>
    <t>Denisha Morris</t>
  </si>
  <si>
    <t>Phyllis Dawson</t>
  </si>
  <si>
    <t>Lauren Rasmussen</t>
  </si>
  <si>
    <t>Renee Higgins</t>
  </si>
  <si>
    <t>4th</t>
  </si>
  <si>
    <t>Angelina Porter</t>
  </si>
  <si>
    <t xml:space="preserve">Michael Smith </t>
  </si>
  <si>
    <t>Julian Campbell</t>
  </si>
  <si>
    <t xml:space="preserve">5th </t>
  </si>
  <si>
    <t>Marjorie Stewart</t>
  </si>
  <si>
    <t>5th</t>
  </si>
  <si>
    <t>Tyshika Ray</t>
  </si>
  <si>
    <t>Adam Wile</t>
  </si>
  <si>
    <t>Art</t>
  </si>
  <si>
    <t>Kendric Brooks</t>
  </si>
  <si>
    <t>PE</t>
  </si>
  <si>
    <t>Charlene Jankiewicz</t>
  </si>
  <si>
    <t>Humanities</t>
  </si>
  <si>
    <t>John Sowder</t>
  </si>
  <si>
    <t>STEM</t>
  </si>
  <si>
    <t>Sherry Wilder</t>
  </si>
  <si>
    <t>SPED Teacher</t>
  </si>
  <si>
    <t>Benedict Leonardi</t>
  </si>
  <si>
    <t>Lidia Ccopa</t>
  </si>
  <si>
    <t>Rachel Thompson</t>
  </si>
  <si>
    <t>Amber Athey</t>
  </si>
  <si>
    <t>Adriana Guerra Garcia</t>
  </si>
  <si>
    <t>ELA (6/7)</t>
  </si>
  <si>
    <t>Jordan Winer</t>
  </si>
  <si>
    <t>ELA (8/9)</t>
  </si>
  <si>
    <t>David McDuffie</t>
  </si>
  <si>
    <t>Math (6/7)</t>
  </si>
  <si>
    <t>Christa Casillas</t>
  </si>
  <si>
    <t>Math (8/9)</t>
  </si>
  <si>
    <t>Augustus McNair</t>
  </si>
  <si>
    <t>Science (6-8)</t>
  </si>
  <si>
    <t>Dallin Morrow</t>
  </si>
  <si>
    <t>Social Studies</t>
  </si>
  <si>
    <t>Danitra Parker</t>
  </si>
  <si>
    <t>Double Dose Math</t>
  </si>
  <si>
    <t>Teanna Moore</t>
  </si>
  <si>
    <t>Double Dose ELA</t>
  </si>
  <si>
    <t>Britteny Barnes</t>
  </si>
  <si>
    <t>Health Science CTE, Biology, &amp; EA</t>
  </si>
  <si>
    <t>Reginald Beatty</t>
  </si>
  <si>
    <t>Criminal Justice CTE, LIM, &amp; EA</t>
  </si>
  <si>
    <t>CTE Grant</t>
  </si>
  <si>
    <t>Miya Burns</t>
  </si>
  <si>
    <t>MSHS P.E.</t>
  </si>
  <si>
    <t>Hannah Liesik</t>
  </si>
  <si>
    <t>CAMPUS SUB</t>
  </si>
  <si>
    <t>Misha Hooks</t>
  </si>
  <si>
    <t>Vivian Tapia</t>
  </si>
  <si>
    <t>Coach</t>
  </si>
  <si>
    <t xml:space="preserve">Instructional Coach
</t>
  </si>
  <si>
    <t>AB495</t>
  </si>
  <si>
    <t>Shirley Sase (Frank)</t>
  </si>
  <si>
    <t>Emily Hagan (Clements)</t>
  </si>
  <si>
    <t>Jennece Black</t>
  </si>
  <si>
    <t>Dorsey Amos</t>
  </si>
  <si>
    <t>Counselor/Dean</t>
  </si>
  <si>
    <t xml:space="preserve">School-Based Mental Health </t>
  </si>
  <si>
    <t xml:space="preserve">SBMH Grant </t>
  </si>
  <si>
    <t>Cheryl Kent</t>
  </si>
  <si>
    <t>Caroline Ivens</t>
  </si>
  <si>
    <t>School Counselor (Academic)</t>
  </si>
  <si>
    <t>Diana Belt-Baker</t>
  </si>
  <si>
    <t>Student Support Adv/Dean  (SSA)</t>
  </si>
  <si>
    <t>Olivia Rynearson</t>
  </si>
  <si>
    <t>Student Success Coordinator (SSC)</t>
  </si>
  <si>
    <t>Title 1</t>
  </si>
  <si>
    <t>Natalia Nival</t>
  </si>
  <si>
    <t>Administration</t>
  </si>
  <si>
    <t>Elementary AP (3-5)</t>
  </si>
  <si>
    <t>NEW NEW</t>
  </si>
  <si>
    <t>Elementary AP (K-2)</t>
  </si>
  <si>
    <t>Colin Purcell</t>
  </si>
  <si>
    <t>Secondary AP</t>
  </si>
  <si>
    <t>Karen Tanaka</t>
  </si>
  <si>
    <t>Title I Administrator</t>
  </si>
  <si>
    <t>Bruno Espey</t>
  </si>
  <si>
    <t>Olivia Rivera</t>
  </si>
  <si>
    <t>General Admin</t>
  </si>
  <si>
    <t>Office Manager</t>
  </si>
  <si>
    <t>Laura Doroteo</t>
  </si>
  <si>
    <t>Banker</t>
  </si>
  <si>
    <t>Claudia Jenny Aguilar</t>
  </si>
  <si>
    <t>Marisela Delgado</t>
  </si>
  <si>
    <t>Melanie Jimenez</t>
  </si>
  <si>
    <t>Office Clerk</t>
  </si>
  <si>
    <t>Yohonda Williams</t>
  </si>
  <si>
    <t>FASA</t>
  </si>
  <si>
    <t>Jesse Wilson</t>
  </si>
  <si>
    <t>Custodial/Security</t>
  </si>
  <si>
    <t>Facilities #1</t>
  </si>
  <si>
    <t>Gerardo Ramos</t>
  </si>
  <si>
    <t>Facilities #2</t>
  </si>
  <si>
    <t>David Kent</t>
  </si>
  <si>
    <t>Facilities #3</t>
  </si>
  <si>
    <t>Liliana Ramos</t>
  </si>
  <si>
    <t>Campus Monitor 1</t>
  </si>
  <si>
    <t>Malissa D'Arienzo</t>
  </si>
  <si>
    <t xml:space="preserve">Campus Monitor 2 </t>
  </si>
  <si>
    <t>Flora Leon</t>
  </si>
  <si>
    <t>Cafeteria</t>
  </si>
  <si>
    <t>Kitchen Mgr/Summer Camp Director</t>
  </si>
  <si>
    <t>Sofia Gonzalez</t>
  </si>
  <si>
    <t>Kitchen  Assistant #1</t>
  </si>
  <si>
    <t>Marisol Montiel</t>
  </si>
  <si>
    <t>Kitchen  Assistant #2</t>
  </si>
  <si>
    <t>Cristian Salas</t>
  </si>
  <si>
    <t>IT</t>
  </si>
  <si>
    <t>Computer Technician</t>
  </si>
  <si>
    <t>AARP ESSER</t>
  </si>
  <si>
    <t>Michael Belt</t>
  </si>
  <si>
    <t>SPED Para</t>
  </si>
  <si>
    <t>SpEd Instructional Aide    (2nd-4th)</t>
  </si>
  <si>
    <t>Karla Ruiz</t>
  </si>
  <si>
    <t>SpEd Instructional Aide 1-1 (Mario)</t>
  </si>
  <si>
    <t>Donniqua Hankston</t>
  </si>
  <si>
    <t>SpEd Instructional Aide 1-1 (Zach)</t>
  </si>
  <si>
    <t>Vacancy</t>
  </si>
  <si>
    <t>SpEd Instructional Aide (K &amp; 1st)</t>
  </si>
  <si>
    <t>Isabel Pichon</t>
  </si>
  <si>
    <t>SpEd Instructional Aide (K-5th)</t>
  </si>
  <si>
    <t>Stephanie Marmolejo</t>
  </si>
  <si>
    <t>Para</t>
  </si>
  <si>
    <t>EL Instructional Aide</t>
  </si>
  <si>
    <t>Bernesha Holman</t>
  </si>
  <si>
    <t>Instructional Aide</t>
  </si>
  <si>
    <t>Martina Orozco</t>
  </si>
  <si>
    <t>Instructional Aide (Secondary Math DD)</t>
  </si>
  <si>
    <t>Heather McKearn</t>
  </si>
  <si>
    <t>Jasmin Martinez</t>
  </si>
  <si>
    <t>Leticia Brizuela</t>
  </si>
  <si>
    <t>Casey Sesmas</t>
  </si>
  <si>
    <t>SpEd Instructional Aide 
(Secondary 5th-9th)</t>
  </si>
  <si>
    <t>Brianna Aguilar</t>
  </si>
  <si>
    <t>Samantha Salas</t>
  </si>
  <si>
    <t>Antoinette Milton</t>
  </si>
  <si>
    <t>Crystal Shaw</t>
  </si>
  <si>
    <t xml:space="preserve">SpEd Instructional Aide </t>
  </si>
  <si>
    <t>Jenny Martinez</t>
  </si>
  <si>
    <t>Griselda Delgado</t>
  </si>
  <si>
    <t>Leivy Vega</t>
  </si>
  <si>
    <t>Priscilla Benavidez</t>
  </si>
  <si>
    <t>Odalys Tapia</t>
  </si>
  <si>
    <t>Instructional Aide (Secondary Reading DD)</t>
  </si>
  <si>
    <t>Jacqueline Rodriguez</t>
  </si>
  <si>
    <t>CoverageCd</t>
  </si>
  <si>
    <t>BenefitCd</t>
  </si>
  <si>
    <t>BenefitCdDesc</t>
  </si>
  <si>
    <t>EECost</t>
  </si>
  <si>
    <t>ERCost</t>
  </si>
  <si>
    <t>LaborSeg1Cd</t>
  </si>
  <si>
    <t>CompanyCd</t>
  </si>
  <si>
    <t>CompanyCdName</t>
  </si>
  <si>
    <t>EmployeeNumber</t>
  </si>
  <si>
    <t>LastName</t>
  </si>
  <si>
    <t>FirstName</t>
  </si>
  <si>
    <t>StateCd</t>
  </si>
  <si>
    <t>WorkStateCd</t>
  </si>
  <si>
    <t>BenefitProfileCd</t>
  </si>
  <si>
    <t>LocationCd</t>
  </si>
  <si>
    <t>DepartmentCd</t>
  </si>
  <si>
    <t>Details</t>
  </si>
  <si>
    <t>FAMILY</t>
  </si>
  <si>
    <t>DENTAL1</t>
  </si>
  <si>
    <t>Dental 12Month FT School Staff</t>
  </si>
  <si>
    <t>CIVNV</t>
  </si>
  <si>
    <t>SP11013</t>
  </si>
  <si>
    <t>CIVICA Nevada</t>
  </si>
  <si>
    <t>489979</t>
  </si>
  <si>
    <t>ACERO</t>
  </si>
  <si>
    <t>DIANNE</t>
  </si>
  <si>
    <t>NV</t>
  </si>
  <si>
    <t>STAFF</t>
  </si>
  <si>
    <t>1301</t>
  </si>
  <si>
    <t>LTEA</t>
  </si>
  <si>
    <t>1 Rows</t>
  </si>
  <si>
    <t>EESP</t>
  </si>
  <si>
    <t>357707</t>
  </si>
  <si>
    <t>BARNES</t>
  </si>
  <si>
    <t>BRITTENY</t>
  </si>
  <si>
    <t>LTSUB</t>
  </si>
  <si>
    <t>101854</t>
  </si>
  <si>
    <t>BELT</t>
  </si>
  <si>
    <t>DIANA</t>
  </si>
  <si>
    <t>LADM</t>
  </si>
  <si>
    <t>DENTAL4</t>
  </si>
  <si>
    <t>101855</t>
  </si>
  <si>
    <t>BISNAR</t>
  </si>
  <si>
    <t>NICOLE</t>
  </si>
  <si>
    <t>101888</t>
  </si>
  <si>
    <t>BOUAKKA</t>
  </si>
  <si>
    <t>CASSANDRA</t>
  </si>
  <si>
    <t>MEDICAL1</t>
  </si>
  <si>
    <t>EE</t>
  </si>
  <si>
    <t>655199</t>
  </si>
  <si>
    <t>BROOKS</t>
  </si>
  <si>
    <t>KENDRIC</t>
  </si>
  <si>
    <t>MEDICAL2</t>
  </si>
  <si>
    <t>101924</t>
  </si>
  <si>
    <t>CAMPBELL</t>
  </si>
  <si>
    <t>JULIAN</t>
  </si>
  <si>
    <t>MEDICAL11</t>
  </si>
  <si>
    <t>667201</t>
  </si>
  <si>
    <t>ESPEY</t>
  </si>
  <si>
    <t>ROBERT</t>
  </si>
  <si>
    <t>MEDICAL6</t>
  </si>
  <si>
    <t>093051</t>
  </si>
  <si>
    <t>GENANYAN</t>
  </si>
  <si>
    <t>MARINE</t>
  </si>
  <si>
    <t>MEDICAL8</t>
  </si>
  <si>
    <t>491426</t>
  </si>
  <si>
    <t>HOOKS</t>
  </si>
  <si>
    <t>STEPHANIE</t>
  </si>
  <si>
    <t>EECHRN</t>
  </si>
  <si>
    <t>101892</t>
  </si>
  <si>
    <t>JANKIEWICZ</t>
  </si>
  <si>
    <t>DOLORES</t>
  </si>
  <si>
    <t>VISION1</t>
  </si>
  <si>
    <t>101903</t>
  </si>
  <si>
    <t>KENT</t>
  </si>
  <si>
    <t>CHERYL</t>
  </si>
  <si>
    <t>GADM</t>
  </si>
  <si>
    <t>VISION4</t>
  </si>
  <si>
    <t>644971</t>
  </si>
  <si>
    <t>LEONARDI</t>
  </si>
  <si>
    <t>BENEDICT</t>
  </si>
  <si>
    <t>320962</t>
  </si>
  <si>
    <t>LOYA</t>
  </si>
  <si>
    <t>DESIREE</t>
  </si>
  <si>
    <t>101839</t>
  </si>
  <si>
    <t>MCDUFFIE</t>
  </si>
  <si>
    <t>DAVID</t>
  </si>
  <si>
    <t>267362</t>
  </si>
  <si>
    <t>MOORE</t>
  </si>
  <si>
    <t>TEANNA</t>
  </si>
  <si>
    <t>358860</t>
  </si>
  <si>
    <t>PEARSON</t>
  </si>
  <si>
    <t>BREQUAN</t>
  </si>
  <si>
    <t>101881</t>
  </si>
  <si>
    <t>JANAE</t>
  </si>
  <si>
    <t>060274</t>
  </si>
  <si>
    <t>RAY</t>
  </si>
  <si>
    <t>TYSHIKA</t>
  </si>
  <si>
    <t>528627</t>
  </si>
  <si>
    <t>SANCHEZ</t>
  </si>
  <si>
    <t>BRITTANY</t>
  </si>
  <si>
    <t>781268</t>
  </si>
  <si>
    <t>STEWART</t>
  </si>
  <si>
    <t>MARJORIE</t>
  </si>
  <si>
    <t>101836</t>
  </si>
  <si>
    <t>TROIA</t>
  </si>
  <si>
    <t>PETER</t>
  </si>
  <si>
    <t>101898</t>
  </si>
  <si>
    <t>WEBB</t>
  </si>
  <si>
    <t>MARIA</t>
  </si>
  <si>
    <t>277711</t>
  </si>
  <si>
    <t>WILCOX</t>
  </si>
  <si>
    <t>THERESA</t>
  </si>
  <si>
    <t>825512</t>
  </si>
  <si>
    <t>WILE</t>
  </si>
  <si>
    <t>ADAM</t>
  </si>
  <si>
    <t>Dental 9 Month Hourly</t>
  </si>
  <si>
    <t>599888</t>
  </si>
  <si>
    <t>D’ARIENZO</t>
  </si>
  <si>
    <t>MALISSA</t>
  </si>
  <si>
    <t>STAFF9MO</t>
  </si>
  <si>
    <t>SUP</t>
  </si>
  <si>
    <t>195378</t>
  </si>
  <si>
    <t>HOLMAN</t>
  </si>
  <si>
    <t>BERNESHA</t>
  </si>
  <si>
    <t>Monthly Avg</t>
  </si>
  <si>
    <t>DENTAL</t>
  </si>
  <si>
    <t>101699</t>
  </si>
  <si>
    <t>RUIZ</t>
  </si>
  <si>
    <t>KARLA</t>
  </si>
  <si>
    <t>MEDICAL</t>
  </si>
  <si>
    <t>230867</t>
  </si>
  <si>
    <t>SALAZAR</t>
  </si>
  <si>
    <t>REBECCA</t>
  </si>
  <si>
    <t>VISION</t>
  </si>
  <si>
    <t>101899</t>
  </si>
  <si>
    <t>SHUFFORD</t>
  </si>
  <si>
    <t>DE ARRICK</t>
  </si>
  <si>
    <t>SEC</t>
  </si>
  <si>
    <t>101856</t>
  </si>
  <si>
    <t>WADE</t>
  </si>
  <si>
    <t>MONIQUE</t>
  </si>
  <si>
    <t>695483</t>
  </si>
  <si>
    <t>WILLIAMS</t>
  </si>
  <si>
    <t>YOHONDA</t>
  </si>
  <si>
    <t>Nevada  HMO School Staff</t>
  </si>
  <si>
    <t>24-25 est</t>
  </si>
  <si>
    <t>101954</t>
  </si>
  <si>
    <t>MARTINEZ LOPEZ</t>
  </si>
  <si>
    <t>ELVIRA</t>
  </si>
  <si>
    <t>815449</t>
  </si>
  <si>
    <t>MORROW</t>
  </si>
  <si>
    <t>DALLIN</t>
  </si>
  <si>
    <t>Nevada PPO 2500 Staff Tier 1</t>
  </si>
  <si>
    <t>101565</t>
  </si>
  <si>
    <t>CURTIS</t>
  </si>
  <si>
    <t>IMANI</t>
  </si>
  <si>
    <t>NV Med HMO 9 Month Employee</t>
  </si>
  <si>
    <t>NV Med PPO 500 Staff Tier 1</t>
  </si>
  <si>
    <t>NV PPO 500 9 Month Employee</t>
  </si>
  <si>
    <t>NV Vision 9 Month Employee</t>
  </si>
  <si>
    <t>846645</t>
  </si>
  <si>
    <t>MICHAEL</t>
  </si>
  <si>
    <t>NV Vision School and Office</t>
  </si>
  <si>
    <t>735792</t>
  </si>
  <si>
    <t>VILLANUEVA</t>
  </si>
  <si>
    <t>Lease Schedule</t>
  </si>
  <si>
    <t>Monthly</t>
  </si>
  <si>
    <t>Increase</t>
  </si>
  <si>
    <t>Annual</t>
  </si>
  <si>
    <r>
      <t>10/27/2022</t>
    </r>
    <r>
      <rPr>
        <sz val="10"/>
        <color indexed="10"/>
        <rFont val="Calibri"/>
        <family val="2"/>
      </rPr>
      <t xml:space="preserve"> </t>
    </r>
    <r>
      <rPr>
        <sz val="10"/>
        <color indexed="10"/>
        <rFont val="Calibri"/>
        <family val="2"/>
      </rPr>
      <t>5:14 PM</t>
    </r>
  </si>
  <si>
    <t>Compounding Period:</t>
  </si>
  <si>
    <t>Nominal Annual Rate:</t>
  </si>
  <si>
    <t>5.000%</t>
  </si>
  <si>
    <t>Cash Flow Data - Loans and Payments</t>
  </si>
  <si>
    <t>Event</t>
  </si>
  <si>
    <t>Date</t>
  </si>
  <si>
    <t>Amount</t>
  </si>
  <si>
    <t>Number</t>
  </si>
  <si>
    <t>Period</t>
  </si>
  <si>
    <t>End Date</t>
  </si>
  <si>
    <t>Loan</t>
  </si>
  <si>
    <t>65,862.45</t>
  </si>
  <si>
    <t>Payment</t>
  </si>
  <si>
    <t>1,965.76</t>
  </si>
  <si>
    <t>TValue Amortization Schedule - Normal, 365 Day Year</t>
  </si>
  <si>
    <t>Interest</t>
  </si>
  <si>
    <t>Balance</t>
  </si>
  <si>
    <t>1</t>
  </si>
  <si>
    <t>0.00</t>
  </si>
  <si>
    <t>63,896.69</t>
  </si>
  <si>
    <t>2</t>
  </si>
  <si>
    <t>266.24</t>
  </si>
  <si>
    <t>1,699.52</t>
  </si>
  <si>
    <t>62,197.17</t>
  </si>
  <si>
    <t>3</t>
  </si>
  <si>
    <t>259.15</t>
  </si>
  <si>
    <t>1,706.61</t>
  </si>
  <si>
    <t>60,490.56</t>
  </si>
  <si>
    <t>4</t>
  </si>
  <si>
    <t>252.04</t>
  </si>
  <si>
    <t>1,713.72</t>
  </si>
  <si>
    <t>58,776.84</t>
  </si>
  <si>
    <t>5</t>
  </si>
  <si>
    <t>244.90</t>
  </si>
  <si>
    <t>1,720.86</t>
  </si>
  <si>
    <t>57,055.98</t>
  </si>
  <si>
    <t>6</t>
  </si>
  <si>
    <t>237.73</t>
  </si>
  <si>
    <t>1,728.03</t>
  </si>
  <si>
    <t>55,327.95</t>
  </si>
  <si>
    <t>7</t>
  </si>
  <si>
    <t>230.53</t>
  </si>
  <si>
    <t>1,735.23</t>
  </si>
  <si>
    <t>53,592.72</t>
  </si>
  <si>
    <t>8</t>
  </si>
  <si>
    <t>223.30</t>
  </si>
  <si>
    <t>1,742.46</t>
  </si>
  <si>
    <t>51,850.26</t>
  </si>
  <si>
    <t>9</t>
  </si>
  <si>
    <t>216.04</t>
  </si>
  <si>
    <t>1,749.72</t>
  </si>
  <si>
    <t>50,100.54</t>
  </si>
  <si>
    <t>10</t>
  </si>
  <si>
    <t>208.75</t>
  </si>
  <si>
    <t>1,757.01</t>
  </si>
  <si>
    <t>48,343.53</t>
  </si>
  <si>
    <t>2023 Totals</t>
  </si>
  <si>
    <t>19,657.60</t>
  </si>
  <si>
    <t>2,138.68</t>
  </si>
  <si>
    <t>17,518.92</t>
  </si>
  <si>
    <t>11</t>
  </si>
  <si>
    <t>201.43</t>
  </si>
  <si>
    <t>1,764.33</t>
  </si>
  <si>
    <t>46,579.20</t>
  </si>
  <si>
    <t>12</t>
  </si>
  <si>
    <t>194.08</t>
  </si>
  <si>
    <t>1,771.68</t>
  </si>
  <si>
    <t>44,807.52</t>
  </si>
  <si>
    <t>13</t>
  </si>
  <si>
    <t>186.70</t>
  </si>
  <si>
    <t>1,779.06</t>
  </si>
  <si>
    <t>43,028.46</t>
  </si>
  <si>
    <t>14</t>
  </si>
  <si>
    <t>179.29</t>
  </si>
  <si>
    <t>1,786.47</t>
  </si>
  <si>
    <t>41,241.99</t>
  </si>
  <si>
    <t>15</t>
  </si>
  <si>
    <t>171.84</t>
  </si>
  <si>
    <t>1,793.92</t>
  </si>
  <si>
    <t>39,448.07</t>
  </si>
  <si>
    <t>16</t>
  </si>
  <si>
    <t>164.37</t>
  </si>
  <si>
    <t>1,801.39</t>
  </si>
  <si>
    <t>37,646.68</t>
  </si>
  <si>
    <t>17</t>
  </si>
  <si>
    <t>156.86</t>
  </si>
  <si>
    <t>1,808.90</t>
  </si>
  <si>
    <t>35,837.78</t>
  </si>
  <si>
    <t>18</t>
  </si>
  <si>
    <t>149.32</t>
  </si>
  <si>
    <t>1,816.44</t>
  </si>
  <si>
    <t>34,021.34</t>
  </si>
  <si>
    <t>19</t>
  </si>
  <si>
    <t>141.76</t>
  </si>
  <si>
    <t>1,824.00</t>
  </si>
  <si>
    <t>32,197.34</t>
  </si>
  <si>
    <t>20</t>
  </si>
  <si>
    <t>134.16</t>
  </si>
  <si>
    <t>1,831.60</t>
  </si>
  <si>
    <t>30,365.74</t>
  </si>
  <si>
    <t>21</t>
  </si>
  <si>
    <t>126.52</t>
  </si>
  <si>
    <t>1,839.24</t>
  </si>
  <si>
    <t>28,526.50</t>
  </si>
  <si>
    <t>22</t>
  </si>
  <si>
    <t>118.86</t>
  </si>
  <si>
    <t>1,846.90</t>
  </si>
  <si>
    <t>26,679.60</t>
  </si>
  <si>
    <t>2024 Totals</t>
  </si>
  <si>
    <t>23,589.12</t>
  </si>
  <si>
    <t>1,925.19</t>
  </si>
  <si>
    <t>21,663.93</t>
  </si>
  <si>
    <t>23</t>
  </si>
  <si>
    <t>111.17</t>
  </si>
  <si>
    <t>1,854.59</t>
  </si>
  <si>
    <t>24,825.01</t>
  </si>
  <si>
    <t>24</t>
  </si>
  <si>
    <t>103.44</t>
  </si>
  <si>
    <t>1,862.32</t>
  </si>
  <si>
    <t>22,962.69</t>
  </si>
  <si>
    <t>25</t>
  </si>
  <si>
    <t>95.68</t>
  </si>
  <si>
    <t>1,870.08</t>
  </si>
  <si>
    <t>21,092.61</t>
  </si>
  <si>
    <t>26</t>
  </si>
  <si>
    <t>87.89</t>
  </si>
  <si>
    <t>1,877.87</t>
  </si>
  <si>
    <t>19,214.74</t>
  </si>
  <si>
    <t>27</t>
  </si>
  <si>
    <t>80.06</t>
  </si>
  <si>
    <t>1,885.70</t>
  </si>
  <si>
    <t>17,329.04</t>
  </si>
  <si>
    <t>28</t>
  </si>
  <si>
    <t>72.20</t>
  </si>
  <si>
    <t>1,893.56</t>
  </si>
  <si>
    <t>15,435.48</t>
  </si>
  <si>
    <t>29</t>
  </si>
  <si>
    <t>64.31</t>
  </si>
  <si>
    <t>1,901.45</t>
  </si>
  <si>
    <t>13,534.03</t>
  </si>
  <si>
    <t>30</t>
  </si>
  <si>
    <t>56.39</t>
  </si>
  <si>
    <t>1,909.37</t>
  </si>
  <si>
    <t>11,624.66</t>
  </si>
  <si>
    <t>31</t>
  </si>
  <si>
    <t>48.44</t>
  </si>
  <si>
    <t>1,917.32</t>
  </si>
  <si>
    <t>9,707.34</t>
  </si>
  <si>
    <t>32</t>
  </si>
  <si>
    <t>40.45</t>
  </si>
  <si>
    <t>1,925.31</t>
  </si>
  <si>
    <t>7,782.03</t>
  </si>
  <si>
    <t>33</t>
  </si>
  <si>
    <t>32.43</t>
  </si>
  <si>
    <t>1,933.33</t>
  </si>
  <si>
    <t>5,848.70</t>
  </si>
  <si>
    <t>34</t>
  </si>
  <si>
    <t>24.37</t>
  </si>
  <si>
    <t>1,941.39</t>
  </si>
  <si>
    <t>3,907.31</t>
  </si>
  <si>
    <t>2025 Totals</t>
  </si>
  <si>
    <t>816.83</t>
  </si>
  <si>
    <t>22,772.29</t>
  </si>
  <si>
    <t>35</t>
  </si>
  <si>
    <t>16.28</t>
  </si>
  <si>
    <t>1,949.48</t>
  </si>
  <si>
    <t>1,957.83</t>
  </si>
  <si>
    <t>36</t>
  </si>
  <si>
    <t>7.93</t>
  </si>
  <si>
    <t>2026 Totals</t>
  </si>
  <si>
    <t>3,931.52</t>
  </si>
  <si>
    <t>24.21</t>
  </si>
  <si>
    <t>Grand Totals</t>
  </si>
  <si>
    <t>70,767.36</t>
  </si>
  <si>
    <t>4,904.91</t>
  </si>
  <si>
    <t>Last interest amount decreased by 0.23 due to rounding.</t>
  </si>
  <si>
    <r>
      <t xml:space="preserve">ANNUAL 
</t>
    </r>
    <r>
      <rPr>
        <b/>
        <sz val="11.95"/>
        <color indexed="10"/>
        <rFont val="Calibri"/>
        <family val="2"/>
      </rPr>
      <t xml:space="preserve">PERCENTAGE
</t>
    </r>
    <r>
      <rPr>
        <b/>
        <sz val="11.95"/>
        <color indexed="10"/>
        <rFont val="Calibri"/>
        <family val="2"/>
      </rPr>
      <t xml:space="preserve">RATE
</t>
    </r>
    <r>
      <rPr>
        <sz val="10"/>
        <color indexed="10"/>
        <rFont val="Calibri"/>
        <family val="2"/>
      </rPr>
      <t>The cost of your credit as a yearly rate.</t>
    </r>
  </si>
  <si>
    <r>
      <t xml:space="preserve">FINANCE
</t>
    </r>
    <r>
      <rPr>
        <b/>
        <sz val="11.95"/>
        <color indexed="10"/>
        <rFont val="Calibri"/>
        <family val="2"/>
      </rPr>
      <t xml:space="preserve">CHARGE
</t>
    </r>
    <r>
      <rPr>
        <sz val="10"/>
        <color indexed="10"/>
        <rFont val="Calibri"/>
        <family val="2"/>
      </rPr>
      <t>The dollar amount the credit will cost you.</t>
    </r>
  </si>
  <si>
    <r>
      <t xml:space="preserve">Amount Financed
</t>
    </r>
    <r>
      <rPr>
        <sz val="10"/>
        <color indexed="10"/>
        <rFont val="Calibri"/>
        <family val="2"/>
      </rPr>
      <t>The amount of credit provided to you or on your behalf.</t>
    </r>
  </si>
  <si>
    <r>
      <t xml:space="preserve">Total of Payments
</t>
    </r>
    <r>
      <rPr>
        <sz val="10"/>
        <color indexed="10"/>
        <rFont val="Calibri"/>
        <family val="2"/>
      </rPr>
      <t>The amount you will have paid after you have made all payments as scheduled.</t>
    </r>
  </si>
  <si>
    <r>
      <t>$</t>
    </r>
    <r>
      <rPr>
        <b/>
        <sz val="11.95"/>
        <color indexed="10"/>
        <rFont val="Calibri"/>
        <family val="2"/>
      </rPr>
      <t>4,904.91</t>
    </r>
  </si>
  <si>
    <r>
      <t>$</t>
    </r>
    <r>
      <rPr>
        <b/>
        <sz val="11.95"/>
        <color indexed="10"/>
        <rFont val="Calibri"/>
        <family val="2"/>
      </rPr>
      <t>65,862.45</t>
    </r>
  </si>
  <si>
    <r>
      <t>$</t>
    </r>
    <r>
      <rPr>
        <b/>
        <sz val="11.95"/>
        <color indexed="10"/>
        <rFont val="Calibri"/>
        <family val="2"/>
      </rPr>
      <t>70,767.36</t>
    </r>
  </si>
  <si>
    <t>First payment date</t>
  </si>
  <si>
    <t>Expiration</t>
  </si>
  <si>
    <t>Schedule #</t>
  </si>
  <si>
    <t>02</t>
  </si>
  <si>
    <t>03</t>
  </si>
  <si>
    <t>##</t>
  </si>
  <si>
    <t>Borrowed Amount</t>
  </si>
  <si>
    <t>Monthly Payment</t>
  </si>
  <si>
    <t>Interest rate</t>
  </si>
  <si>
    <t>Total Per Year</t>
  </si>
  <si>
    <t>Fiscal Year</t>
  </si>
  <si>
    <t>Special Education Support Staff</t>
  </si>
  <si>
    <t>Sales by Item Summary</t>
  </si>
  <si>
    <t>July 1, 2023 through January 30, 2024</t>
  </si>
  <si>
    <t>CIVICA Las Vegas</t>
  </si>
  <si>
    <t>Qty</t>
  </si>
  <si>
    <t>% of Sales</t>
  </si>
  <si>
    <t>Avg Price</t>
  </si>
  <si>
    <t>Uncategorized</t>
  </si>
  <si>
    <t>Service</t>
  </si>
  <si>
    <t>.Employee</t>
  </si>
  <si>
    <t>Director (Special Education Director: Contract Rate)</t>
  </si>
  <si>
    <t>Total .Employee</t>
  </si>
  <si>
    <t>Contractor (Special Education Departments)</t>
  </si>
  <si>
    <t>Adaptive PE (Adaptive PE Teacher)</t>
  </si>
  <si>
    <t>Compliance Liason (Compliance Liason)</t>
  </si>
  <si>
    <t>Diana Gastelum (School Psychologist:Intern:Diana Gastelum)</t>
  </si>
  <si>
    <t>Facilitator (Special Education Facilitator)</t>
  </si>
  <si>
    <t>FASA-Float (FASA-Float)</t>
  </si>
  <si>
    <t>Kristal Morrello (School Psychologist:Intern:Kristal Morrello)</t>
  </si>
  <si>
    <t>Lead (Lead)</t>
  </si>
  <si>
    <t>Mentor (Mentor)</t>
  </si>
  <si>
    <t>Occupational Therapist (Occupational Therapist)</t>
  </si>
  <si>
    <t>Orientation-Mobility Specialist (Orientation-Mobility Specialists)</t>
  </si>
  <si>
    <t>Physical Therapist (Physical Therapist)</t>
  </si>
  <si>
    <t>Reading Specialist (Reading Specialist)</t>
  </si>
  <si>
    <t>School Nurse (School Nurse)</t>
  </si>
  <si>
    <t>School Psychologist (School Psychologist)</t>
  </si>
  <si>
    <t>Specialist (Specialist)</t>
  </si>
  <si>
    <t>Behavior (Behavior)</t>
  </si>
  <si>
    <t>Janet Bellinghausen (Transition Consultant - Janet Bellinghausen)</t>
  </si>
  <si>
    <t>Javier Fernandez (Verbal Translation Services-Javier Fernandez)</t>
  </si>
  <si>
    <t>Leo Soo Hoo (Audiologist-Leo Soo Hoo)</t>
  </si>
  <si>
    <t>Molly Erminio (Hearing and Deaf Teacher: Molly Erminio)</t>
  </si>
  <si>
    <t>Nancy Harrison (ASL Interpreter Services-Nancy Harrison)</t>
  </si>
  <si>
    <t>Nichole Sheldon (Audiologist-Nichole Sheldon)</t>
  </si>
  <si>
    <t>Reanna Stroup (Hearing and Deaf Teacher:Reanna Stroup)</t>
  </si>
  <si>
    <t>Self Care Management (Self Care Management - Yesnick Vision)</t>
  </si>
  <si>
    <t>Translator-Oral (Translator Services - Oral)</t>
  </si>
  <si>
    <t>Written Translation (Translation Services - Written)</t>
  </si>
  <si>
    <t>Yvonne McCastle-Vision (Vision Impaired Teacher-Yvonne McCastle)</t>
  </si>
  <si>
    <t>Total Specialist (Specialist)</t>
  </si>
  <si>
    <t>Speech Therapist (Speech Therapist)</t>
  </si>
  <si>
    <t>Speech Therapist Assistant (Speech Therapist Assistant)</t>
  </si>
  <si>
    <t>Total Contractor (Special Education Departments)</t>
  </si>
  <si>
    <t>Elite Therapy Services, LLC (Elite Therapy Services, LLC)</t>
  </si>
  <si>
    <t>Employee (Employee)</t>
  </si>
  <si>
    <t>Membership Fee (Membership Fee: Contract Rate  )</t>
  </si>
  <si>
    <t>Professional Development (Professional Development)</t>
  </si>
  <si>
    <t>SPED-Audiology Equip (SPED-Audiology Equipment-Student Specific)</t>
  </si>
  <si>
    <t>SPED Supplies (SPED Supplies)</t>
  </si>
  <si>
    <t>Supplies-Audiology (Supplies-Audiology Equipment)</t>
  </si>
  <si>
    <t>Total Service</t>
  </si>
  <si>
    <t>Other Charges</t>
  </si>
  <si>
    <t>Bounce Check Charge</t>
  </si>
  <si>
    <t>Total Other Charges</t>
  </si>
  <si>
    <t>Total Uncategorized</t>
  </si>
  <si>
    <t>TOTAL</t>
  </si>
  <si>
    <t>PACKAGE POLICY</t>
  </si>
  <si>
    <t>School</t>
  </si>
  <si>
    <t>General Liability</t>
  </si>
  <si>
    <t>Auto</t>
  </si>
  <si>
    <t>Employee Benefits Liability</t>
  </si>
  <si>
    <t>Sexual Abuse</t>
  </si>
  <si>
    <t>Property/IM</t>
  </si>
  <si>
    <t>Inland Marine</t>
  </si>
  <si>
    <t xml:space="preserve">Crime </t>
  </si>
  <si>
    <t>Workers' Comp</t>
  </si>
  <si>
    <t>Umbrella</t>
  </si>
  <si>
    <t>Educators Legal</t>
  </si>
  <si>
    <t>Cyber</t>
  </si>
  <si>
    <t xml:space="preserve">Student Accident </t>
  </si>
  <si>
    <t>Included</t>
  </si>
  <si>
    <t>Property</t>
  </si>
  <si>
    <t>Liability</t>
  </si>
  <si>
    <t xml:space="preserve">   CIVICA NV</t>
  </si>
  <si>
    <t>10% increase</t>
  </si>
  <si>
    <t xml:space="preserve">   YWLA</t>
  </si>
  <si>
    <t>Elec</t>
  </si>
  <si>
    <t>Gas</t>
  </si>
  <si>
    <t>Water/Sewer</t>
  </si>
  <si>
    <t>Garbage</t>
  </si>
  <si>
    <t>July</t>
  </si>
  <si>
    <t>Aug</t>
  </si>
  <si>
    <t>Sept</t>
  </si>
  <si>
    <t>Oct</t>
  </si>
  <si>
    <t>Nov</t>
  </si>
  <si>
    <t>no actuals**</t>
  </si>
  <si>
    <t>Dec</t>
  </si>
  <si>
    <t>Jan</t>
  </si>
  <si>
    <t>Feb</t>
  </si>
  <si>
    <t>**</t>
  </si>
  <si>
    <t>Mar</t>
  </si>
  <si>
    <t>Apr</t>
  </si>
  <si>
    <t>May</t>
  </si>
  <si>
    <t>Jun</t>
  </si>
  <si>
    <t xml:space="preserve">**assumptions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</si>
</sst>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mm/dd/yy;@"/>
    <numFmt numFmtId="168" formatCode="0.000%"/>
    <numFmt numFmtId="169" formatCode="[$-10409]mm/dd/yyyy"/>
    <numFmt numFmtId="170" formatCode="&quot;$&quot;#,##0.00"/>
    <numFmt numFmtId="171" formatCode="#,##0.00;\-#,##0.00"/>
    <numFmt numFmtId="172" formatCode="#,##0.0#%;\-#,##0.0#%"/>
    <numFmt numFmtId="173" formatCode="#,##0.00###;\-#,##0.00###"/>
    <numFmt numFmtId="174" formatCode="&quot; &quot;* #,##0&quot; &quot;;&quot; &quot;* \(#,##0\);&quot; &quot;* &quot;-&quot;??&quot; &quot;"/>
    <numFmt numFmtId="175" formatCode="&quot; &quot;&quot;$&quot;* #,##0&quot; &quot;;&quot; &quot;&quot;$&quot;* \(#,##0\);&quot; &quot;&quot;$&quot;* &quot;-&quot;??&quot; &quot;"/>
    <numFmt numFmtId="176" formatCode="&quot; &quot;&quot;$&quot;* #,##0.00&quot; &quot;;&quot; &quot;&quot;$&quot;* \(#,##0.00\);&quot; &quot;&quot;$&quot;* &quot;-&quot;??&quot; &quot;"/>
    <numFmt numFmtId="177" formatCode="&quot; &quot;* #,##0.00&quot; &quot;;&quot; &quot;* \(#,##0.00\);&quot; &quot;* &quot;-&quot;??&quot; &quot;"/>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color rgb="FF0000FF"/>
      <name val="Calibri"/>
      <family val="2"/>
      <scheme val="minor"/>
    </font>
    <font>
      <b/>
      <i/>
      <sz val="11"/>
      <name val="Calibri"/>
      <family val="2"/>
      <scheme val="minor"/>
    </font>
    <font>
      <sz val="11"/>
      <color rgb="FF0000FF"/>
      <name val="Calibri"/>
      <family val="2"/>
      <scheme val="minor"/>
    </font>
    <font>
      <b/>
      <sz val="9"/>
      <color indexed="81"/>
      <name val="Tahoma"/>
      <family val="2"/>
    </font>
    <font>
      <sz val="9"/>
      <color indexed="81"/>
      <name val="Tahoma"/>
      <family val="2"/>
    </font>
    <font>
      <b/>
      <sz val="14"/>
      <color theme="1"/>
      <name val="Calibri"/>
      <family val="2"/>
      <scheme val="minor"/>
    </font>
    <font>
      <b/>
      <sz val="11"/>
      <color rgb="FF0000FF"/>
      <name val="Calibri"/>
      <family val="2"/>
      <scheme val="minor"/>
    </font>
    <font>
      <b/>
      <sz val="12"/>
      <color theme="1"/>
      <name val="Calibri"/>
      <family val="2"/>
      <scheme val="minor"/>
    </font>
    <font>
      <i/>
      <sz val="11"/>
      <color theme="1"/>
      <name val="Calibri"/>
      <family val="2"/>
      <scheme val="minor"/>
    </font>
    <font>
      <sz val="8"/>
      <name val="Calibri"/>
      <family val="2"/>
      <scheme val="minor"/>
    </font>
    <font>
      <sz val="10"/>
      <name val="Arial"/>
      <family val="2"/>
    </font>
    <font>
      <b/>
      <sz val="11.95"/>
      <color indexed="10"/>
      <name val="Calibri"/>
      <family val="2"/>
    </font>
    <font>
      <sz val="10"/>
      <color indexed="10"/>
      <name val="Calibri"/>
      <family val="2"/>
    </font>
    <font>
      <b/>
      <sz val="11.95"/>
      <color indexed="9"/>
      <name val="Calibri"/>
      <family val="2"/>
    </font>
    <font>
      <sz val="5.95"/>
      <color indexed="10"/>
      <name val="Calibri"/>
      <family val="2"/>
    </font>
    <font>
      <b/>
      <sz val="8"/>
      <color indexed="9"/>
      <name val="Helvetica"/>
      <family val="2"/>
    </font>
    <font>
      <sz val="10"/>
      <color indexed="8"/>
      <name val="Helvetica"/>
      <family val="2"/>
    </font>
    <font>
      <sz val="8"/>
      <color indexed="8"/>
      <name val="Helvetica"/>
      <family val="2"/>
    </font>
    <font>
      <b/>
      <sz val="10"/>
      <color indexed="8"/>
      <name val="Helvetica"/>
      <family val="2"/>
    </font>
    <font>
      <b/>
      <sz val="8"/>
      <color rgb="FF000000"/>
      <name val="Arial"/>
      <family val="2"/>
    </font>
    <font>
      <sz val="8"/>
      <color rgb="FF000000"/>
      <name val="Arial"/>
      <family val="2"/>
    </font>
    <font>
      <b/>
      <sz val="10"/>
      <color rgb="FF000080"/>
      <name val="Arial"/>
      <family val="2"/>
    </font>
    <font>
      <b/>
      <sz val="14"/>
      <color rgb="FF000080"/>
      <name val="Arial"/>
      <family val="2"/>
    </font>
    <font>
      <b/>
      <sz val="12"/>
      <color rgb="FF000080"/>
      <name val="Arial"/>
      <family val="2"/>
    </font>
    <font>
      <b/>
      <sz val="11"/>
      <color rgb="FFFF0000"/>
      <name val="Calibri"/>
      <family val="2"/>
      <scheme val="minor"/>
    </font>
    <font>
      <sz val="12"/>
      <name val="Montserrat"/>
    </font>
    <font>
      <b/>
      <sz val="11"/>
      <color rgb="FF000000"/>
      <name val="Calibri"/>
      <family val="2"/>
    </font>
    <font>
      <sz val="11"/>
      <color rgb="FF000000"/>
      <name val="Calibri"/>
      <family val="2"/>
    </font>
    <font>
      <sz val="10"/>
      <color rgb="FF000000"/>
      <name val="Verdana"/>
      <family val="2"/>
    </font>
    <font>
      <sz val="8"/>
      <name val="Arial"/>
      <family val="2"/>
    </font>
    <font>
      <sz val="10"/>
      <color theme="1"/>
      <name val="Book Antiqua"/>
      <family val="1"/>
    </font>
    <font>
      <b/>
      <sz val="12"/>
      <color theme="1"/>
      <name val="Book Antiqua"/>
      <family val="1"/>
    </font>
    <font>
      <b/>
      <sz val="12"/>
      <name val="Book Antiqua"/>
      <family val="1"/>
    </font>
    <font>
      <b/>
      <sz val="10"/>
      <color theme="1"/>
      <name val="Book Antiqua"/>
      <family val="1"/>
    </font>
    <font>
      <i/>
      <sz val="14"/>
      <color indexed="8"/>
      <name val="Calibri"/>
      <family val="2"/>
    </font>
    <font>
      <u/>
      <sz val="11"/>
      <color indexed="8"/>
      <name val="Calibri"/>
      <family val="2"/>
    </font>
    <font>
      <sz val="11"/>
      <color indexed="8"/>
      <name val="Calibri"/>
      <family val="2"/>
    </font>
    <font>
      <b/>
      <sz val="12"/>
      <color indexed="8"/>
      <name val="Calibri"/>
      <family val="2"/>
    </font>
    <font>
      <sz val="12"/>
      <color indexed="8"/>
      <name val="Calibri"/>
      <family val="2"/>
    </font>
    <font>
      <sz val="10"/>
      <color indexed="8"/>
      <name val="Calibri"/>
      <family val="2"/>
    </font>
  </fonts>
  <fills count="23">
    <fill>
      <patternFill patternType="none"/>
    </fill>
    <fill>
      <patternFill patternType="gray125"/>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9"/>
        <bgColor indexed="0"/>
      </patternFill>
    </fill>
    <fill>
      <patternFill patternType="solid">
        <fgColor indexed="12"/>
        <bgColor indexed="0"/>
      </patternFill>
    </fill>
    <fill>
      <patternFill patternType="solid">
        <fgColor indexed="49"/>
        <bgColor indexed="64"/>
      </patternFill>
    </fill>
    <fill>
      <patternFill patternType="solid">
        <fgColor rgb="FFD5F1FF"/>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13"/>
        <bgColor auto="1"/>
      </patternFill>
    </fill>
    <fill>
      <patternFill patternType="solid">
        <fgColor indexed="17"/>
        <bgColor auto="1"/>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ck">
        <color indexed="8"/>
      </right>
      <top/>
      <bottom style="thick">
        <color indexed="8"/>
      </bottom>
      <diagonal/>
    </border>
    <border>
      <left/>
      <right/>
      <top/>
      <bottom style="thick">
        <color indexed="8"/>
      </bottom>
      <diagonal/>
    </border>
    <border>
      <left style="thin">
        <color indexed="8"/>
      </left>
      <right style="thick">
        <color indexed="8"/>
      </right>
      <top/>
      <bottom style="thick">
        <color indexed="8"/>
      </bottom>
      <diagonal/>
    </border>
    <border>
      <left style="thick">
        <color indexed="8"/>
      </left>
      <right style="thick">
        <color indexed="8"/>
      </right>
      <top/>
      <bottom style="thick">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ck">
        <color indexed="8"/>
      </right>
      <top style="thick">
        <color indexed="8"/>
      </top>
      <bottom/>
      <diagonal/>
    </border>
    <border>
      <left/>
      <right/>
      <top style="thick">
        <color indexed="8"/>
      </top>
      <bottom/>
      <diagonal/>
    </border>
    <border>
      <left style="thin">
        <color indexed="8"/>
      </left>
      <right style="thick">
        <color indexed="8"/>
      </right>
      <top style="thick">
        <color indexed="8"/>
      </top>
      <bottom/>
      <diagonal/>
    </border>
    <border>
      <left style="thick">
        <color indexed="8"/>
      </left>
      <right style="thick">
        <color indexed="8"/>
      </right>
      <top style="thick">
        <color indexed="8"/>
      </top>
      <bottom/>
      <diagonal/>
    </border>
    <border>
      <left/>
      <right style="thin">
        <color indexed="11"/>
      </right>
      <top/>
      <bottom style="thin">
        <color indexed="8"/>
      </bottom>
      <diagonal/>
    </border>
    <border>
      <left/>
      <right style="thin">
        <color indexed="11"/>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double">
        <color indexed="64"/>
      </bottom>
      <diagonal/>
    </border>
    <border>
      <left/>
      <right/>
      <top style="medium">
        <color indexed="64"/>
      </top>
      <bottom/>
      <diagonal/>
    </border>
    <border>
      <left/>
      <right/>
      <top/>
      <bottom style="medium">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diagonal/>
    </border>
    <border>
      <left style="thin">
        <color indexed="12"/>
      </left>
      <right/>
      <top/>
      <bottom/>
      <diagonal/>
    </border>
    <border>
      <left style="thin">
        <color indexed="12"/>
      </left>
      <right style="thin">
        <color indexed="12"/>
      </right>
      <top/>
      <bottom style="thin">
        <color indexed="12"/>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6" fillId="0" borderId="0"/>
    <xf numFmtId="0" fontId="34" fillId="0" borderId="0"/>
    <xf numFmtId="0" fontId="35" fillId="0" borderId="0"/>
  </cellStyleXfs>
  <cellXfs count="321">
    <xf numFmtId="0" fontId="0" fillId="0" borderId="0" xfId="0"/>
    <xf numFmtId="164" fontId="4" fillId="0" borderId="0" xfId="1"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5" fillId="0" borderId="1" xfId="2" applyNumberFormat="1" applyFont="1" applyFill="1" applyBorder="1" applyAlignment="1">
      <alignment horizontal="right"/>
    </xf>
    <xf numFmtId="164" fontId="5" fillId="0" borderId="2" xfId="1" applyNumberFormat="1" applyFont="1" applyBorder="1"/>
    <xf numFmtId="6" fontId="5" fillId="0" borderId="3" xfId="0" applyNumberFormat="1" applyFont="1" applyBorder="1" applyAlignment="1">
      <alignment horizontal="left"/>
    </xf>
    <xf numFmtId="0" fontId="5" fillId="0" borderId="0" xfId="0" applyFont="1"/>
    <xf numFmtId="0" fontId="5" fillId="0" borderId="4" xfId="2" applyNumberFormat="1" applyFont="1" applyFill="1" applyBorder="1" applyAlignment="1">
      <alignment horizontal="right"/>
    </xf>
    <xf numFmtId="164" fontId="4" fillId="0" borderId="2" xfId="1" applyNumberFormat="1" applyFont="1" applyBorder="1"/>
    <xf numFmtId="164" fontId="5" fillId="0" borderId="2" xfId="1" applyNumberFormat="1" applyFont="1" applyFill="1" applyBorder="1"/>
    <xf numFmtId="0" fontId="5" fillId="0" borderId="3" xfId="0" applyFont="1" applyBorder="1" applyAlignment="1">
      <alignment horizontal="left"/>
    </xf>
    <xf numFmtId="0" fontId="5" fillId="0" borderId="4" xfId="0" applyFont="1" applyBorder="1" applyAlignment="1">
      <alignment horizontal="right"/>
    </xf>
    <xf numFmtId="164" fontId="5" fillId="0" borderId="2" xfId="3" applyNumberFormat="1" applyFont="1" applyBorder="1"/>
    <xf numFmtId="0" fontId="4" fillId="2" borderId="2" xfId="0" applyFont="1" applyFill="1" applyBorder="1" applyAlignment="1">
      <alignment horizontal="right"/>
    </xf>
    <xf numFmtId="164" fontId="4" fillId="2" borderId="2" xfId="1" applyNumberFormat="1" applyFont="1" applyFill="1" applyBorder="1" applyAlignment="1">
      <alignment horizontal="center"/>
    </xf>
    <xf numFmtId="164" fontId="5" fillId="0" borderId="0" xfId="0" applyNumberFormat="1" applyFont="1"/>
    <xf numFmtId="43" fontId="5" fillId="0" borderId="3" xfId="0" applyNumberFormat="1" applyFont="1" applyBorder="1" applyAlignment="1">
      <alignment horizontal="left"/>
    </xf>
    <xf numFmtId="43" fontId="5" fillId="0" borderId="0" xfId="0" applyNumberFormat="1" applyFont="1"/>
    <xf numFmtId="9" fontId="5" fillId="0" borderId="2" xfId="3" applyFont="1" applyFill="1" applyBorder="1"/>
    <xf numFmtId="9" fontId="5" fillId="0" borderId="3" xfId="0" applyNumberFormat="1" applyFont="1" applyBorder="1" applyAlignment="1">
      <alignment horizontal="left"/>
    </xf>
    <xf numFmtId="0" fontId="4" fillId="2" borderId="2" xfId="0" applyFont="1" applyFill="1" applyBorder="1"/>
    <xf numFmtId="0" fontId="4" fillId="0" borderId="0" xfId="0" applyFont="1"/>
    <xf numFmtId="43" fontId="5" fillId="0" borderId="2" xfId="1" applyFont="1" applyBorder="1"/>
    <xf numFmtId="0" fontId="5" fillId="0" borderId="0" xfId="0" applyFont="1" applyProtection="1">
      <protection locked="0"/>
    </xf>
    <xf numFmtId="43" fontId="5" fillId="0" borderId="2" xfId="1" applyFont="1" applyFill="1" applyBorder="1"/>
    <xf numFmtId="0" fontId="5" fillId="0" borderId="0" xfId="0" applyFont="1" applyAlignment="1" applyProtection="1">
      <alignment horizontal="left"/>
      <protection locked="0"/>
    </xf>
    <xf numFmtId="0" fontId="4" fillId="0" borderId="4" xfId="0" applyFont="1" applyBorder="1"/>
    <xf numFmtId="43" fontId="4" fillId="2" borderId="2" xfId="1" applyFont="1" applyFill="1" applyBorder="1"/>
    <xf numFmtId="0" fontId="5" fillId="0" borderId="4" xfId="0" applyFont="1" applyBorder="1" applyProtection="1">
      <protection locked="0"/>
    </xf>
    <xf numFmtId="0" fontId="5" fillId="0" borderId="4" xfId="0" applyFont="1" applyBorder="1"/>
    <xf numFmtId="0" fontId="5" fillId="0" borderId="4" xfId="0" applyFont="1" applyBorder="1" applyAlignment="1" applyProtection="1">
      <alignment wrapText="1"/>
      <protection locked="0"/>
    </xf>
    <xf numFmtId="0" fontId="2" fillId="0" borderId="0" xfId="0" quotePrefix="1" applyFont="1"/>
    <xf numFmtId="165" fontId="4" fillId="2" borderId="2" xfId="1" applyNumberFormat="1" applyFont="1" applyFill="1" applyBorder="1"/>
    <xf numFmtId="0" fontId="4" fillId="3" borderId="4" xfId="0" applyFont="1" applyFill="1" applyBorder="1"/>
    <xf numFmtId="164" fontId="5" fillId="0" borderId="1" xfId="1" applyNumberFormat="1" applyFont="1" applyBorder="1"/>
    <xf numFmtId="0" fontId="4" fillId="3" borderId="5" xfId="0" applyFont="1" applyFill="1" applyBorder="1"/>
    <xf numFmtId="43" fontId="4" fillId="0" borderId="5" xfId="1" applyFont="1" applyBorder="1"/>
    <xf numFmtId="0" fontId="4" fillId="3" borderId="1" xfId="0" applyFont="1" applyFill="1" applyBorder="1"/>
    <xf numFmtId="43" fontId="4" fillId="0" borderId="2" xfId="1" applyFont="1" applyBorder="1"/>
    <xf numFmtId="0" fontId="4" fillId="3" borderId="6" xfId="0" applyFont="1" applyFill="1" applyBorder="1"/>
    <xf numFmtId="43" fontId="4" fillId="0" borderId="6" xfId="1" applyFont="1" applyBorder="1"/>
    <xf numFmtId="164" fontId="5" fillId="0" borderId="4" xfId="1" applyNumberFormat="1" applyFont="1" applyBorder="1"/>
    <xf numFmtId="0" fontId="4" fillId="0" borderId="2" xfId="0" applyFont="1" applyBorder="1"/>
    <xf numFmtId="166" fontId="5" fillId="0" borderId="2" xfId="3" applyNumberFormat="1" applyFont="1" applyBorder="1"/>
    <xf numFmtId="166" fontId="5" fillId="0" borderId="2" xfId="3" applyNumberFormat="1" applyFont="1" applyBorder="1" applyAlignment="1">
      <alignment horizontal="center"/>
    </xf>
    <xf numFmtId="0" fontId="4" fillId="4" borderId="7" xfId="0" applyFont="1" applyFill="1" applyBorder="1"/>
    <xf numFmtId="164" fontId="4" fillId="4" borderId="7" xfId="1" applyNumberFormat="1" applyFont="1" applyFill="1" applyBorder="1" applyAlignment="1">
      <alignment horizontal="center"/>
    </xf>
    <xf numFmtId="0" fontId="7" fillId="2" borderId="5" xfId="0" applyFont="1" applyFill="1" applyBorder="1"/>
    <xf numFmtId="164" fontId="4" fillId="2" borderId="8" xfId="1" applyNumberFormat="1" applyFont="1" applyFill="1" applyBorder="1" applyAlignment="1">
      <alignment horizontal="center"/>
    </xf>
    <xf numFmtId="164" fontId="4" fillId="2" borderId="9" xfId="1" applyNumberFormat="1" applyFont="1" applyFill="1" applyBorder="1" applyAlignment="1">
      <alignment horizontal="center"/>
    </xf>
    <xf numFmtId="164" fontId="5" fillId="0" borderId="10" xfId="1" applyNumberFormat="1" applyFont="1" applyBorder="1" applyAlignment="1">
      <alignment horizontal="center"/>
    </xf>
    <xf numFmtId="164" fontId="5" fillId="0" borderId="10" xfId="1" applyNumberFormat="1" applyFont="1" applyBorder="1"/>
    <xf numFmtId="6" fontId="5" fillId="0" borderId="0" xfId="0" applyNumberFormat="1" applyFont="1"/>
    <xf numFmtId="164" fontId="5" fillId="0" borderId="3" xfId="0" applyNumberFormat="1" applyFont="1" applyBorder="1" applyAlignment="1">
      <alignment horizontal="left"/>
    </xf>
    <xf numFmtId="0" fontId="4" fillId="5" borderId="2" xfId="0" applyFont="1" applyFill="1" applyBorder="1" applyAlignment="1">
      <alignment horizontal="right"/>
    </xf>
    <xf numFmtId="164" fontId="4" fillId="5" borderId="2" xfId="1" applyNumberFormat="1" applyFont="1" applyFill="1" applyBorder="1"/>
    <xf numFmtId="0" fontId="7" fillId="2" borderId="2" xfId="0" applyFont="1" applyFill="1" applyBorder="1"/>
    <xf numFmtId="8" fontId="5" fillId="0" borderId="3" xfId="0" applyNumberFormat="1" applyFont="1" applyBorder="1" applyAlignment="1">
      <alignment horizontal="left"/>
    </xf>
    <xf numFmtId="8" fontId="5" fillId="0" borderId="0" xfId="0" applyNumberFormat="1" applyFont="1"/>
    <xf numFmtId="6" fontId="5" fillId="0" borderId="0" xfId="0" applyNumberFormat="1" applyFont="1" applyAlignment="1">
      <alignment horizontal="left"/>
    </xf>
    <xf numFmtId="0" fontId="5" fillId="0" borderId="0" xfId="0" applyFont="1" applyAlignment="1">
      <alignment horizontal="left"/>
    </xf>
    <xf numFmtId="0" fontId="4" fillId="4" borderId="2" xfId="0" applyFont="1" applyFill="1" applyBorder="1" applyAlignment="1">
      <alignment horizontal="right"/>
    </xf>
    <xf numFmtId="164" fontId="4" fillId="4" borderId="2" xfId="1" applyNumberFormat="1" applyFont="1" applyFill="1" applyBorder="1"/>
    <xf numFmtId="0" fontId="4" fillId="6" borderId="7" xfId="0" applyFont="1" applyFill="1" applyBorder="1" applyAlignment="1">
      <alignment horizontal="left"/>
    </xf>
    <xf numFmtId="164" fontId="4" fillId="6" borderId="7" xfId="1" applyNumberFormat="1" applyFont="1" applyFill="1" applyBorder="1" applyAlignment="1">
      <alignment horizontal="center"/>
    </xf>
    <xf numFmtId="0" fontId="4" fillId="7" borderId="2" xfId="0" applyFont="1" applyFill="1" applyBorder="1" applyAlignment="1">
      <alignment horizontal="right"/>
    </xf>
    <xf numFmtId="164" fontId="4" fillId="7" borderId="2" xfId="1" applyNumberFormat="1" applyFont="1" applyFill="1" applyBorder="1"/>
    <xf numFmtId="0" fontId="7" fillId="2" borderId="11" xfId="0" applyFont="1" applyFill="1" applyBorder="1"/>
    <xf numFmtId="0" fontId="4" fillId="7" borderId="1" xfId="0" applyFont="1" applyFill="1" applyBorder="1" applyAlignment="1">
      <alignment horizontal="right"/>
    </xf>
    <xf numFmtId="164" fontId="4" fillId="7" borderId="1" xfId="1" applyNumberFormat="1" applyFont="1" applyFill="1" applyBorder="1"/>
    <xf numFmtId="0" fontId="4" fillId="6" borderId="2" xfId="0" applyFont="1" applyFill="1" applyBorder="1" applyAlignment="1">
      <alignment horizontal="right"/>
    </xf>
    <xf numFmtId="164" fontId="4" fillId="6" borderId="2" xfId="1" applyNumberFormat="1" applyFont="1" applyFill="1" applyBorder="1"/>
    <xf numFmtId="10" fontId="5" fillId="0" borderId="0" xfId="0" applyNumberFormat="1" applyFont="1"/>
    <xf numFmtId="0" fontId="4" fillId="6" borderId="1" xfId="0" applyFont="1" applyFill="1" applyBorder="1" applyAlignment="1">
      <alignment horizontal="right"/>
    </xf>
    <xf numFmtId="164" fontId="4" fillId="6" borderId="1" xfId="1" applyNumberFormat="1" applyFont="1" applyFill="1" applyBorder="1"/>
    <xf numFmtId="0" fontId="7" fillId="2" borderId="2" xfId="0" applyFont="1" applyFill="1" applyBorder="1" applyAlignment="1">
      <alignment horizontal="left"/>
    </xf>
    <xf numFmtId="0" fontId="5" fillId="0" borderId="1" xfId="0" applyFont="1" applyBorder="1" applyAlignment="1">
      <alignment horizontal="left"/>
    </xf>
    <xf numFmtId="0" fontId="5" fillId="0" borderId="4" xfId="0" applyFont="1" applyBorder="1" applyAlignment="1">
      <alignment horizontal="left"/>
    </xf>
    <xf numFmtId="0" fontId="5" fillId="0" borderId="10" xfId="0" applyFont="1" applyBorder="1"/>
    <xf numFmtId="10" fontId="5" fillId="0" borderId="3" xfId="0" applyNumberFormat="1" applyFont="1" applyBorder="1" applyAlignment="1">
      <alignment horizontal="left"/>
    </xf>
    <xf numFmtId="0" fontId="5" fillId="0" borderId="1" xfId="0" applyFont="1" applyBorder="1"/>
    <xf numFmtId="164" fontId="0" fillId="0" borderId="2" xfId="1" applyNumberFormat="1" applyFont="1" applyFill="1" applyBorder="1"/>
    <xf numFmtId="164" fontId="0" fillId="0" borderId="2" xfId="1" applyNumberFormat="1" applyFont="1" applyBorder="1"/>
    <xf numFmtId="2" fontId="5" fillId="0" borderId="0" xfId="0" applyNumberFormat="1" applyFont="1"/>
    <xf numFmtId="164" fontId="0" fillId="0" borderId="10" xfId="1" applyNumberFormat="1" applyFont="1" applyBorder="1"/>
    <xf numFmtId="0" fontId="7" fillId="0" borderId="2" xfId="0" applyFont="1" applyBorder="1" applyAlignment="1">
      <alignment horizontal="right"/>
    </xf>
    <xf numFmtId="0" fontId="7" fillId="0" borderId="4" xfId="0" applyFont="1" applyBorder="1"/>
    <xf numFmtId="0" fontId="4" fillId="4" borderId="7" xfId="0" applyFont="1" applyFill="1" applyBorder="1" applyAlignment="1">
      <alignment horizontal="right" wrapText="1"/>
    </xf>
    <xf numFmtId="164" fontId="4" fillId="4" borderId="7" xfId="0" applyNumberFormat="1" applyFont="1" applyFill="1" applyBorder="1"/>
    <xf numFmtId="0" fontId="5" fillId="0" borderId="5" xfId="0" applyFont="1" applyBorder="1"/>
    <xf numFmtId="10" fontId="5" fillId="0" borderId="5" xfId="3" applyNumberFormat="1" applyFont="1" applyBorder="1"/>
    <xf numFmtId="10" fontId="5" fillId="0" borderId="0" xfId="3" applyNumberFormat="1" applyFont="1" applyBorder="1"/>
    <xf numFmtId="164" fontId="5" fillId="0" borderId="0" xfId="1" applyNumberFormat="1" applyFont="1"/>
    <xf numFmtId="0" fontId="3" fillId="0" borderId="0" xfId="0" applyFont="1"/>
    <xf numFmtId="164" fontId="0" fillId="0" borderId="0" xfId="1" applyNumberFormat="1" applyFont="1"/>
    <xf numFmtId="43" fontId="5" fillId="0" borderId="0" xfId="1" applyFont="1"/>
    <xf numFmtId="0" fontId="5" fillId="0" borderId="4" xfId="0" applyFont="1" applyBorder="1" applyAlignment="1" applyProtection="1">
      <alignment horizontal="left"/>
      <protection locked="0"/>
    </xf>
    <xf numFmtId="0" fontId="0" fillId="0" borderId="2" xfId="0" applyBorder="1"/>
    <xf numFmtId="0" fontId="5" fillId="0" borderId="1" xfId="0" applyFont="1" applyBorder="1" applyAlignment="1">
      <alignment horizontal="right"/>
    </xf>
    <xf numFmtId="0" fontId="5" fillId="0" borderId="10" xfId="0" applyFont="1" applyBorder="1" applyAlignment="1">
      <alignment horizontal="right"/>
    </xf>
    <xf numFmtId="167" fontId="0" fillId="0" borderId="0" xfId="0" applyNumberFormat="1" applyAlignment="1">
      <alignment horizontal="center"/>
    </xf>
    <xf numFmtId="44" fontId="0" fillId="0" borderId="0" xfId="0" applyNumberFormat="1"/>
    <xf numFmtId="44" fontId="0" fillId="0" borderId="0" xfId="2" applyFont="1"/>
    <xf numFmtId="0" fontId="11" fillId="0" borderId="0" xfId="0" applyFont="1"/>
    <xf numFmtId="1" fontId="0" fillId="0" borderId="0" xfId="0" quotePrefix="1" applyNumberFormat="1" applyAlignment="1">
      <alignment horizontal="center"/>
    </xf>
    <xf numFmtId="168" fontId="0" fillId="0" borderId="0" xfId="2"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0" fillId="12" borderId="0" xfId="0" applyFill="1"/>
    <xf numFmtId="0" fontId="14" fillId="0" borderId="0" xfId="0" applyFont="1" applyAlignment="1">
      <alignment horizontal="left"/>
    </xf>
    <xf numFmtId="10" fontId="5" fillId="0" borderId="3" xfId="3" applyNumberFormat="1" applyFont="1" applyBorder="1" applyAlignment="1">
      <alignment horizontal="left"/>
    </xf>
    <xf numFmtId="43" fontId="13" fillId="0" borderId="0" xfId="4" applyFont="1" applyAlignment="1"/>
    <xf numFmtId="0" fontId="1" fillId="0" borderId="0" xfId="5"/>
    <xf numFmtId="0" fontId="3" fillId="0" borderId="0" xfId="5" applyFont="1" applyAlignment="1">
      <alignment horizontal="center"/>
    </xf>
    <xf numFmtId="167" fontId="1" fillId="0" borderId="0" xfId="5" applyNumberFormat="1" applyAlignment="1">
      <alignment horizontal="center"/>
    </xf>
    <xf numFmtId="44" fontId="1" fillId="0" borderId="0" xfId="5" applyNumberFormat="1"/>
    <xf numFmtId="9" fontId="0" fillId="0" borderId="0" xfId="6" applyFont="1"/>
    <xf numFmtId="44" fontId="0" fillId="0" borderId="0" xfId="7" applyFont="1"/>
    <xf numFmtId="44" fontId="3" fillId="0" borderId="0" xfId="5" applyNumberFormat="1" applyFont="1"/>
    <xf numFmtId="0" fontId="14" fillId="0" borderId="0" xfId="5" applyFont="1"/>
    <xf numFmtId="44" fontId="14" fillId="0" borderId="0" xfId="5" applyNumberFormat="1" applyFont="1"/>
    <xf numFmtId="165" fontId="6" fillId="0" borderId="3" xfId="0" applyNumberFormat="1" applyFont="1" applyBorder="1" applyAlignment="1">
      <alignment horizontal="left"/>
    </xf>
    <xf numFmtId="0" fontId="5" fillId="0" borderId="12" xfId="0" applyFont="1" applyBorder="1"/>
    <xf numFmtId="164" fontId="5" fillId="0" borderId="9" xfId="1" applyNumberFormat="1" applyFont="1" applyFill="1" applyBorder="1"/>
    <xf numFmtId="165" fontId="6" fillId="0" borderId="0" xfId="0" applyNumberFormat="1" applyFont="1" applyAlignment="1">
      <alignment horizontal="left"/>
    </xf>
    <xf numFmtId="164" fontId="5" fillId="0" borderId="0" xfId="0" applyNumberFormat="1" applyFont="1" applyAlignment="1">
      <alignment horizontal="right"/>
    </xf>
    <xf numFmtId="43" fontId="5" fillId="0" borderId="0" xfId="0" applyNumberFormat="1" applyFont="1" applyAlignment="1">
      <alignment horizontal="left"/>
    </xf>
    <xf numFmtId="9" fontId="5" fillId="0" borderId="0" xfId="0" applyNumberFormat="1" applyFont="1" applyAlignment="1">
      <alignment horizontal="left"/>
    </xf>
    <xf numFmtId="164" fontId="5" fillId="0" borderId="0" xfId="0" applyNumberFormat="1" applyFont="1" applyAlignment="1">
      <alignment horizontal="left"/>
    </xf>
    <xf numFmtId="8" fontId="5" fillId="0" borderId="0" xfId="0" applyNumberFormat="1" applyFont="1" applyAlignment="1">
      <alignment horizontal="left"/>
    </xf>
    <xf numFmtId="10" fontId="5" fillId="0" borderId="0" xfId="3" applyNumberFormat="1" applyFont="1" applyBorder="1" applyAlignment="1">
      <alignment horizontal="left"/>
    </xf>
    <xf numFmtId="10" fontId="5" fillId="0" borderId="0" xfId="0" applyNumberFormat="1" applyFont="1" applyAlignment="1">
      <alignment horizontal="left"/>
    </xf>
    <xf numFmtId="2" fontId="5" fillId="0" borderId="0" xfId="0" applyNumberFormat="1" applyFont="1" applyAlignment="1">
      <alignment horizontal="left"/>
    </xf>
    <xf numFmtId="0" fontId="4" fillId="12" borderId="0" xfId="0" quotePrefix="1" applyFont="1" applyFill="1" applyAlignment="1">
      <alignment horizontal="center"/>
    </xf>
    <xf numFmtId="164" fontId="5" fillId="0" borderId="1" xfId="1" applyNumberFormat="1" applyFont="1" applyFill="1" applyBorder="1"/>
    <xf numFmtId="43" fontId="0" fillId="0" borderId="0" xfId="1" applyFont="1"/>
    <xf numFmtId="0" fontId="20" fillId="13" borderId="0" xfId="8" applyFont="1" applyFill="1" applyAlignment="1" applyProtection="1">
      <alignment horizontal="left" vertical="center" wrapText="1" readingOrder="1"/>
      <protection locked="0"/>
    </xf>
    <xf numFmtId="164" fontId="4" fillId="0" borderId="0" xfId="1" applyNumberFormat="1" applyFont="1" applyAlignment="1">
      <alignment horizontal="left"/>
    </xf>
    <xf numFmtId="0" fontId="3" fillId="0" borderId="33" xfId="0" applyFont="1" applyBorder="1" applyAlignment="1">
      <alignment horizontal="center"/>
    </xf>
    <xf numFmtId="164" fontId="5" fillId="0" borderId="0" xfId="1" applyNumberFormat="1" applyFont="1" applyAlignment="1">
      <alignment horizontal="left"/>
    </xf>
    <xf numFmtId="9" fontId="5" fillId="0" borderId="0" xfId="3" applyFont="1"/>
    <xf numFmtId="0" fontId="21" fillId="15" borderId="0" xfId="0" applyFont="1" applyFill="1" applyAlignment="1">
      <alignment horizontal="center" vertical="center"/>
    </xf>
    <xf numFmtId="0" fontId="22" fillId="3" borderId="0" xfId="0" applyFont="1" applyFill="1" applyAlignment="1">
      <alignment horizontal="left" vertical="center"/>
    </xf>
    <xf numFmtId="170" fontId="22" fillId="3" borderId="0" xfId="0" applyNumberFormat="1" applyFont="1" applyFill="1" applyAlignment="1">
      <alignment horizontal="righ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44" fontId="3" fillId="0" borderId="0" xfId="2" applyFont="1"/>
    <xf numFmtId="170" fontId="0" fillId="0" borderId="0" xfId="0" applyNumberFormat="1"/>
    <xf numFmtId="0" fontId="0" fillId="9" borderId="0" xfId="0" applyFill="1"/>
    <xf numFmtId="0" fontId="25" fillId="0" borderId="0" xfId="0" applyFont="1"/>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horizontal="centerContinuous"/>
    </xf>
    <xf numFmtId="49" fontId="27" fillId="0" borderId="0" xfId="0" applyNumberFormat="1" applyFont="1" applyAlignment="1">
      <alignment horizontal="centerContinuous"/>
    </xf>
    <xf numFmtId="49" fontId="28" fillId="0" borderId="0" xfId="0" applyNumberFormat="1" applyFont="1" applyAlignment="1">
      <alignment horizontal="centerContinuous"/>
    </xf>
    <xf numFmtId="49" fontId="29" fillId="0" borderId="0" xfId="0" applyNumberFormat="1" applyFont="1" applyAlignment="1">
      <alignment horizontal="centerContinuous"/>
    </xf>
    <xf numFmtId="164" fontId="4" fillId="0" borderId="0" xfId="1" applyNumberFormat="1" applyFont="1"/>
    <xf numFmtId="10" fontId="5" fillId="0" borderId="0" xfId="3" applyNumberFormat="1" applyFont="1"/>
    <xf numFmtId="10" fontId="0" fillId="0" borderId="0" xfId="3" applyNumberFormat="1" applyFont="1"/>
    <xf numFmtId="0" fontId="30" fillId="0" borderId="0" xfId="0" applyFont="1"/>
    <xf numFmtId="0" fontId="2" fillId="0" borderId="0" xfId="0" applyFont="1"/>
    <xf numFmtId="0" fontId="32" fillId="11" borderId="40" xfId="0" applyFont="1" applyFill="1" applyBorder="1" applyAlignment="1">
      <alignment horizontal="center" vertical="center" wrapText="1"/>
    </xf>
    <xf numFmtId="0" fontId="32" fillId="11" borderId="41"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0" fillId="5" borderId="44" xfId="0" applyFill="1" applyBorder="1"/>
    <xf numFmtId="170" fontId="33" fillId="0" borderId="45" xfId="0" applyNumberFormat="1" applyFont="1" applyBorder="1" applyAlignment="1">
      <alignment vertical="center"/>
    </xf>
    <xf numFmtId="170" fontId="33" fillId="0" borderId="2" xfId="0" applyNumberFormat="1" applyFont="1" applyBorder="1" applyAlignment="1">
      <alignment vertical="center"/>
    </xf>
    <xf numFmtId="170" fontId="33" fillId="0" borderId="2" xfId="0" applyNumberFormat="1" applyFont="1" applyBorder="1" applyAlignment="1">
      <alignment horizontal="right" vertical="center"/>
    </xf>
    <xf numFmtId="170" fontId="33" fillId="0" borderId="46" xfId="0" applyNumberFormat="1" applyFont="1" applyBorder="1" applyAlignment="1">
      <alignment horizontal="right" vertical="center"/>
    </xf>
    <xf numFmtId="170" fontId="33" fillId="0" borderId="9" xfId="0" applyNumberFormat="1" applyFont="1" applyBorder="1" applyAlignment="1">
      <alignment vertical="center"/>
    </xf>
    <xf numFmtId="170" fontId="33" fillId="0" borderId="46" xfId="0" applyNumberFormat="1" applyFont="1" applyBorder="1" applyAlignment="1">
      <alignment vertical="center"/>
    </xf>
    <xf numFmtId="10" fontId="4" fillId="0" borderId="0" xfId="3" applyNumberFormat="1" applyFont="1" applyBorder="1"/>
    <xf numFmtId="164" fontId="5" fillId="0" borderId="0" xfId="1" applyNumberFormat="1" applyFont="1" applyBorder="1"/>
    <xf numFmtId="167" fontId="2" fillId="0" borderId="0" xfId="0" applyNumberFormat="1" applyFont="1" applyAlignment="1">
      <alignment horizontal="center"/>
    </xf>
    <xf numFmtId="1" fontId="2" fillId="0" borderId="0" xfId="0" quotePrefix="1" applyNumberFormat="1" applyFont="1" applyAlignment="1">
      <alignment horizontal="center"/>
    </xf>
    <xf numFmtId="44" fontId="2" fillId="0" borderId="0" xfId="2" applyFont="1"/>
    <xf numFmtId="168" fontId="2" fillId="0" borderId="0" xfId="2" applyNumberFormat="1" applyFont="1" applyAlignment="1">
      <alignment horizontal="center"/>
    </xf>
    <xf numFmtId="164" fontId="5" fillId="8" borderId="0" xfId="1" applyNumberFormat="1" applyFont="1" applyFill="1"/>
    <xf numFmtId="0" fontId="3" fillId="0" borderId="33" xfId="0" applyFont="1" applyBorder="1" applyAlignment="1">
      <alignment horizontal="left"/>
    </xf>
    <xf numFmtId="0" fontId="0" fillId="17" borderId="0" xfId="0" applyFill="1"/>
    <xf numFmtId="0" fontId="3" fillId="0" borderId="2" xfId="0" applyFont="1" applyBorder="1" applyAlignment="1">
      <alignment horizontal="center"/>
    </xf>
    <xf numFmtId="164" fontId="0" fillId="0" borderId="2" xfId="1" applyNumberFormat="1" applyFont="1" applyFill="1" applyBorder="1" applyAlignment="1">
      <alignment horizontal="center"/>
    </xf>
    <xf numFmtId="164" fontId="2" fillId="0" borderId="2" xfId="1" applyNumberFormat="1" applyFont="1" applyBorder="1"/>
    <xf numFmtId="164" fontId="0" fillId="0" borderId="2" xfId="0" applyNumberFormat="1" applyBorder="1"/>
    <xf numFmtId="166" fontId="0" fillId="0" borderId="2" xfId="3" applyNumberFormat="1" applyFont="1" applyBorder="1"/>
    <xf numFmtId="166" fontId="0" fillId="0" borderId="0" xfId="3" applyNumberFormat="1" applyFont="1" applyBorder="1"/>
    <xf numFmtId="44" fontId="1" fillId="0" borderId="0" xfId="2"/>
    <xf numFmtId="9" fontId="1" fillId="0" borderId="0" xfId="3"/>
    <xf numFmtId="44" fontId="2" fillId="0" borderId="0" xfId="5" applyNumberFormat="1" applyFont="1"/>
    <xf numFmtId="0" fontId="2" fillId="0" borderId="0" xfId="5" applyFont="1"/>
    <xf numFmtId="9" fontId="2" fillId="0" borderId="0" xfId="3" applyFont="1"/>
    <xf numFmtId="0" fontId="3" fillId="0" borderId="0" xfId="5" applyFont="1"/>
    <xf numFmtId="0" fontId="30" fillId="0" borderId="0" xfId="5" applyFont="1"/>
    <xf numFmtId="0" fontId="3" fillId="0" borderId="0" xfId="5" applyFont="1" applyAlignment="1">
      <alignment horizontal="right"/>
    </xf>
    <xf numFmtId="44" fontId="12" fillId="0" borderId="32" xfId="2" applyFont="1" applyBorder="1"/>
    <xf numFmtId="44" fontId="8" fillId="0" borderId="1" xfId="2" applyFont="1" applyBorder="1"/>
    <xf numFmtId="0" fontId="8" fillId="0" borderId="2" xfId="0" applyFont="1" applyBorder="1"/>
    <xf numFmtId="44" fontId="8" fillId="0" borderId="2" xfId="2" applyFont="1" applyBorder="1"/>
    <xf numFmtId="43" fontId="0" fillId="0" borderId="2" xfId="1" applyFont="1" applyBorder="1"/>
    <xf numFmtId="0" fontId="2" fillId="0" borderId="2" xfId="0" applyFont="1" applyBorder="1"/>
    <xf numFmtId="44" fontId="0" fillId="0" borderId="2" xfId="2" applyFont="1" applyBorder="1"/>
    <xf numFmtId="0" fontId="36" fillId="0" borderId="0" xfId="0" applyFont="1"/>
    <xf numFmtId="44" fontId="37" fillId="18" borderId="2" xfId="2" applyFont="1" applyFill="1" applyBorder="1" applyAlignment="1">
      <alignment horizontal="center"/>
    </xf>
    <xf numFmtId="0" fontId="37" fillId="18" borderId="2" xfId="0" applyFont="1" applyFill="1" applyBorder="1" applyAlignment="1">
      <alignment horizontal="center"/>
    </xf>
    <xf numFmtId="14" fontId="37" fillId="18" borderId="2" xfId="0" applyNumberFormat="1" applyFont="1" applyFill="1" applyBorder="1" applyAlignment="1">
      <alignment horizontal="center"/>
    </xf>
    <xf numFmtId="0" fontId="37" fillId="18" borderId="2" xfId="0" applyFont="1" applyFill="1" applyBorder="1" applyAlignment="1">
      <alignment horizontal="center" wrapText="1"/>
    </xf>
    <xf numFmtId="43" fontId="38" fillId="18" borderId="2" xfId="1" applyFont="1" applyFill="1" applyBorder="1" applyAlignment="1">
      <alignment horizontal="center"/>
    </xf>
    <xf numFmtId="0" fontId="37" fillId="18" borderId="2" xfId="2" applyNumberFormat="1" applyFont="1" applyFill="1" applyBorder="1" applyAlignment="1">
      <alignment horizontal="center"/>
    </xf>
    <xf numFmtId="0" fontId="39" fillId="0" borderId="0" xfId="0" applyFont="1" applyAlignment="1">
      <alignment horizontal="center"/>
    </xf>
    <xf numFmtId="0" fontId="3" fillId="0" borderId="2" xfId="0" applyFont="1" applyBorder="1"/>
    <xf numFmtId="0" fontId="3" fillId="0" borderId="2" xfId="0" applyFont="1" applyBorder="1" applyAlignment="1">
      <alignment horizontal="right"/>
    </xf>
    <xf numFmtId="0" fontId="3" fillId="0" borderId="2" xfId="0" applyFont="1" applyBorder="1" applyAlignment="1">
      <alignment horizontal="center" wrapText="1"/>
    </xf>
    <xf numFmtId="10" fontId="0" fillId="0" borderId="2" xfId="3" applyNumberFormat="1" applyFont="1" applyBorder="1"/>
    <xf numFmtId="49" fontId="0" fillId="19" borderId="0" xfId="0" applyNumberFormat="1" applyFill="1"/>
    <xf numFmtId="49" fontId="0" fillId="19" borderId="0" xfId="0" applyNumberFormat="1" applyFill="1" applyAlignment="1">
      <alignment horizontal="centerContinuous"/>
    </xf>
    <xf numFmtId="49" fontId="25" fillId="19" borderId="0" xfId="0" applyNumberFormat="1" applyFont="1" applyFill="1" applyAlignment="1">
      <alignment horizontal="centerContinuous"/>
    </xf>
    <xf numFmtId="49" fontId="25" fillId="19" borderId="37" xfId="0" applyNumberFormat="1" applyFont="1" applyFill="1" applyBorder="1" applyAlignment="1">
      <alignment horizontal="center"/>
    </xf>
    <xf numFmtId="173" fontId="26" fillId="19" borderId="0" xfId="0" applyNumberFormat="1" applyFont="1" applyFill="1"/>
    <xf numFmtId="171" fontId="26" fillId="19" borderId="0" xfId="0" applyNumberFormat="1" applyFont="1" applyFill="1"/>
    <xf numFmtId="172" fontId="26" fillId="19" borderId="0" xfId="0" applyNumberFormat="1" applyFont="1" applyFill="1"/>
    <xf numFmtId="173" fontId="26" fillId="19" borderId="36" xfId="0" applyNumberFormat="1" applyFont="1" applyFill="1" applyBorder="1"/>
    <xf numFmtId="171" fontId="26" fillId="19" borderId="36" xfId="0" applyNumberFormat="1" applyFont="1" applyFill="1" applyBorder="1"/>
    <xf numFmtId="172" fontId="26" fillId="19" borderId="36" xfId="0" applyNumberFormat="1" applyFont="1" applyFill="1" applyBorder="1"/>
    <xf numFmtId="173" fontId="26" fillId="19" borderId="35" xfId="0" applyNumberFormat="1" applyFont="1" applyFill="1" applyBorder="1"/>
    <xf numFmtId="171" fontId="26" fillId="19" borderId="35" xfId="0" applyNumberFormat="1" applyFont="1" applyFill="1" applyBorder="1"/>
    <xf numFmtId="172" fontId="26" fillId="19" borderId="35" xfId="0" applyNumberFormat="1" applyFont="1" applyFill="1" applyBorder="1"/>
    <xf numFmtId="173" fontId="25" fillId="19" borderId="34" xfId="0" applyNumberFormat="1" applyFont="1" applyFill="1" applyBorder="1"/>
    <xf numFmtId="171" fontId="25" fillId="19" borderId="34" xfId="0" applyNumberFormat="1" applyFont="1" applyFill="1" applyBorder="1"/>
    <xf numFmtId="172" fontId="25" fillId="19" borderId="34" xfId="0" applyNumberFormat="1" applyFont="1" applyFill="1" applyBorder="1"/>
    <xf numFmtId="0" fontId="0" fillId="19" borderId="0" xfId="0" applyFill="1"/>
    <xf numFmtId="43" fontId="0" fillId="0" borderId="0" xfId="1" applyFont="1" applyAlignment="1">
      <alignment wrapText="1"/>
    </xf>
    <xf numFmtId="0" fontId="0" fillId="0" borderId="0" xfId="0" applyAlignment="1">
      <alignment horizontal="right"/>
    </xf>
    <xf numFmtId="43" fontId="0" fillId="0" borderId="0" xfId="0" applyNumberFormat="1"/>
    <xf numFmtId="0" fontId="2" fillId="0" borderId="0" xfId="0" applyFont="1" applyAlignment="1">
      <alignment horizontal="right"/>
    </xf>
    <xf numFmtId="43" fontId="2" fillId="0" borderId="0" xfId="1" applyFont="1"/>
    <xf numFmtId="43" fontId="2" fillId="0" borderId="33" xfId="1" applyFont="1" applyBorder="1"/>
    <xf numFmtId="43" fontId="5" fillId="0" borderId="10" xfId="1" applyFont="1" applyBorder="1"/>
    <xf numFmtId="0" fontId="0" fillId="0" borderId="47" xfId="0" applyBorder="1"/>
    <xf numFmtId="49" fontId="40" fillId="0" borderId="47" xfId="0" applyNumberFormat="1" applyFont="1" applyBorder="1"/>
    <xf numFmtId="49" fontId="0" fillId="0" borderId="47" xfId="0" applyNumberFormat="1" applyBorder="1"/>
    <xf numFmtId="49" fontId="41" fillId="20" borderId="47" xfId="0" applyNumberFormat="1" applyFont="1" applyFill="1" applyBorder="1" applyAlignment="1">
      <alignment horizontal="center" vertical="center"/>
    </xf>
    <xf numFmtId="49" fontId="0" fillId="0" borderId="47" xfId="0" applyNumberFormat="1" applyBorder="1" applyAlignment="1">
      <alignment horizontal="left"/>
    </xf>
    <xf numFmtId="174" fontId="0" fillId="0" borderId="47" xfId="0" applyNumberFormat="1" applyBorder="1" applyAlignment="1">
      <alignment horizontal="center"/>
    </xf>
    <xf numFmtId="49" fontId="42" fillId="0" borderId="47" xfId="0" applyNumberFormat="1" applyFont="1" applyBorder="1"/>
    <xf numFmtId="175" fontId="0" fillId="0" borderId="47" xfId="0" applyNumberFormat="1" applyBorder="1"/>
    <xf numFmtId="176" fontId="0" fillId="0" borderId="47" xfId="0" applyNumberFormat="1" applyBorder="1"/>
    <xf numFmtId="174" fontId="0" fillId="0" borderId="47" xfId="0" applyNumberFormat="1" applyBorder="1"/>
    <xf numFmtId="0" fontId="43" fillId="0" borderId="47" xfId="0" applyFont="1" applyBorder="1"/>
    <xf numFmtId="49" fontId="44" fillId="0" borderId="47" xfId="0" applyNumberFormat="1" applyFont="1" applyBorder="1"/>
    <xf numFmtId="49" fontId="45" fillId="0" borderId="47" xfId="0" applyNumberFormat="1" applyFont="1" applyBorder="1"/>
    <xf numFmtId="49" fontId="44" fillId="0" borderId="48" xfId="0" applyNumberFormat="1" applyFont="1" applyBorder="1"/>
    <xf numFmtId="174" fontId="0" fillId="0" borderId="48" xfId="0" applyNumberFormat="1" applyBorder="1"/>
    <xf numFmtId="49" fontId="44" fillId="0" borderId="49" xfId="0" applyNumberFormat="1" applyFont="1" applyBorder="1" applyAlignment="1">
      <alignment horizontal="center"/>
    </xf>
    <xf numFmtId="174" fontId="0" fillId="0" borderId="49" xfId="0" applyNumberFormat="1" applyBorder="1"/>
    <xf numFmtId="0" fontId="0" fillId="0" borderId="50" xfId="0" applyBorder="1"/>
    <xf numFmtId="49" fontId="44" fillId="21" borderId="51" xfId="0" applyNumberFormat="1" applyFont="1" applyFill="1" applyBorder="1"/>
    <xf numFmtId="166" fontId="0" fillId="21" borderId="0" xfId="0" applyNumberFormat="1" applyFill="1"/>
    <xf numFmtId="49" fontId="44" fillId="0" borderId="52" xfId="0" applyNumberFormat="1" applyFont="1" applyBorder="1"/>
    <xf numFmtId="176" fontId="0" fillId="0" borderId="52" xfId="0" applyNumberFormat="1" applyBorder="1"/>
    <xf numFmtId="177" fontId="0" fillId="0" borderId="47" xfId="0" applyNumberFormat="1" applyBorder="1"/>
    <xf numFmtId="166" fontId="0" fillId="0" borderId="47" xfId="0" applyNumberFormat="1" applyBorder="1"/>
    <xf numFmtId="49" fontId="44" fillId="0" borderId="0" xfId="0" applyNumberFormat="1" applyFont="1"/>
    <xf numFmtId="164" fontId="4" fillId="0" borderId="2" xfId="1" applyNumberFormat="1" applyFont="1" applyFill="1" applyBorder="1"/>
    <xf numFmtId="9" fontId="5" fillId="0" borderId="2" xfId="3" applyFont="1" applyBorder="1"/>
    <xf numFmtId="0" fontId="3" fillId="7" borderId="8" xfId="0" applyFont="1" applyFill="1" applyBorder="1"/>
    <xf numFmtId="164" fontId="5" fillId="7" borderId="8" xfId="0" applyNumberFormat="1" applyFont="1" applyFill="1" applyBorder="1"/>
    <xf numFmtId="164" fontId="5" fillId="7" borderId="8" xfId="1" applyNumberFormat="1" applyFont="1" applyFill="1" applyBorder="1"/>
    <xf numFmtId="0" fontId="3" fillId="6" borderId="8" xfId="0" applyFont="1" applyFill="1" applyBorder="1"/>
    <xf numFmtId="43" fontId="4" fillId="6" borderId="8" xfId="1" applyFont="1" applyFill="1" applyBorder="1"/>
    <xf numFmtId="0" fontId="0" fillId="5" borderId="8" xfId="0" applyFill="1" applyBorder="1"/>
    <xf numFmtId="0" fontId="3" fillId="5" borderId="8" xfId="0" applyFont="1" applyFill="1" applyBorder="1"/>
    <xf numFmtId="41" fontId="5" fillId="22" borderId="0" xfId="0" applyNumberFormat="1" applyFont="1" applyFill="1"/>
    <xf numFmtId="41" fontId="5" fillId="9" borderId="0" xfId="0" applyNumberFormat="1" applyFont="1" applyFill="1"/>
    <xf numFmtId="0" fontId="1" fillId="5" borderId="8" xfId="0" applyFont="1" applyFill="1" applyBorder="1"/>
    <xf numFmtId="164" fontId="8" fillId="5" borderId="8" xfId="1" applyNumberFormat="1" applyFont="1" applyFill="1" applyBorder="1"/>
    <xf numFmtId="0" fontId="3" fillId="4" borderId="8" xfId="0" applyFont="1" applyFill="1" applyBorder="1"/>
    <xf numFmtId="43" fontId="4" fillId="4" borderId="8" xfId="1" applyFont="1" applyFill="1" applyBorder="1"/>
    <xf numFmtId="10" fontId="0" fillId="0" borderId="0" xfId="0" applyNumberFormat="1"/>
    <xf numFmtId="0" fontId="19" fillId="14" borderId="30" xfId="8" applyFont="1" applyFill="1" applyBorder="1" applyAlignment="1" applyProtection="1">
      <alignment horizontal="center" vertical="center" wrapText="1" readingOrder="1"/>
      <protection locked="0"/>
    </xf>
    <xf numFmtId="0" fontId="18" fillId="13" borderId="0" xfId="8" applyFont="1" applyFill="1" applyAlignment="1" applyProtection="1">
      <alignment horizontal="right" vertical="center" wrapText="1" readingOrder="1"/>
      <protection locked="0"/>
    </xf>
    <xf numFmtId="0" fontId="16" fillId="0" borderId="0" xfId="8"/>
    <xf numFmtId="43" fontId="13" fillId="10" borderId="0" xfId="4" applyFont="1" applyFill="1" applyAlignment="1">
      <alignment horizontal="center"/>
    </xf>
    <xf numFmtId="0" fontId="19" fillId="14" borderId="30" xfId="8" applyFont="1" applyFill="1" applyBorder="1" applyAlignment="1" applyProtection="1">
      <alignment horizontal="center" vertical="center" wrapText="1" readingOrder="1"/>
      <protection locked="0"/>
    </xf>
    <xf numFmtId="0" fontId="16" fillId="0" borderId="30" xfId="8" applyBorder="1" applyAlignment="1" applyProtection="1">
      <alignment vertical="top" wrapText="1"/>
      <protection locked="0"/>
    </xf>
    <xf numFmtId="0" fontId="18" fillId="13" borderId="0" xfId="8" applyFont="1" applyFill="1" applyAlignment="1" applyProtection="1">
      <alignment horizontal="right" vertical="center" wrapText="1" readingOrder="1"/>
      <protection locked="0"/>
    </xf>
    <xf numFmtId="0" fontId="16" fillId="0" borderId="0" xfId="8"/>
    <xf numFmtId="169" fontId="18" fillId="13" borderId="0" xfId="8" applyNumberFormat="1" applyFont="1" applyFill="1" applyAlignment="1" applyProtection="1">
      <alignment horizontal="left" vertical="center" wrapText="1" readingOrder="1"/>
      <protection locked="0"/>
    </xf>
    <xf numFmtId="0" fontId="18" fillId="13" borderId="0" xfId="8" applyFont="1" applyFill="1" applyAlignment="1" applyProtection="1">
      <alignment vertical="top" wrapText="1" readingOrder="1"/>
      <protection locked="0"/>
    </xf>
    <xf numFmtId="0" fontId="18" fillId="13" borderId="0" xfId="8" applyFont="1" applyFill="1" applyAlignment="1" applyProtection="1">
      <alignment horizontal="right" vertical="top" wrapText="1" readingOrder="1"/>
      <protection locked="0"/>
    </xf>
    <xf numFmtId="0" fontId="17" fillId="13" borderId="0" xfId="8" applyFont="1" applyFill="1" applyAlignment="1" applyProtection="1">
      <alignment vertical="top" wrapText="1" readingOrder="1"/>
      <protection locked="0"/>
    </xf>
    <xf numFmtId="0" fontId="18" fillId="13" borderId="0" xfId="8" applyFont="1" applyFill="1" applyAlignment="1" applyProtection="1">
      <alignment horizontal="left" vertical="center" wrapText="1" readingOrder="1"/>
      <protection locked="0"/>
    </xf>
    <xf numFmtId="0" fontId="19" fillId="14" borderId="30" xfId="8" applyFont="1" applyFill="1" applyBorder="1" applyAlignment="1" applyProtection="1">
      <alignment horizontal="left" vertical="center" wrapText="1" readingOrder="1"/>
      <protection locked="0"/>
    </xf>
    <xf numFmtId="0" fontId="16" fillId="0" borderId="31" xfId="8" applyBorder="1" applyAlignment="1" applyProtection="1">
      <alignment vertical="top" wrapText="1"/>
      <protection locked="0"/>
    </xf>
    <xf numFmtId="0" fontId="19" fillId="14" borderId="29" xfId="8" applyFont="1" applyFill="1" applyBorder="1" applyAlignment="1" applyProtection="1">
      <alignment vertical="center" wrapText="1" readingOrder="1"/>
      <protection locked="0"/>
    </xf>
    <xf numFmtId="0" fontId="16" fillId="0" borderId="29" xfId="8" applyBorder="1" applyAlignment="1" applyProtection="1">
      <alignment vertical="top" wrapText="1"/>
      <protection locked="0"/>
    </xf>
    <xf numFmtId="0" fontId="19" fillId="14" borderId="29" xfId="8" applyFont="1" applyFill="1" applyBorder="1" applyAlignment="1" applyProtection="1">
      <alignment horizontal="left" vertical="center" wrapText="1" readingOrder="1"/>
      <protection locked="0"/>
    </xf>
    <xf numFmtId="0" fontId="16" fillId="0" borderId="14" xfId="8" applyBorder="1" applyAlignment="1" applyProtection="1">
      <alignment vertical="top" wrapText="1"/>
      <protection locked="0"/>
    </xf>
    <xf numFmtId="0" fontId="19" fillId="14" borderId="29" xfId="8" applyFont="1" applyFill="1" applyBorder="1" applyAlignment="1" applyProtection="1">
      <alignment horizontal="center" vertical="center" wrapText="1" readingOrder="1"/>
      <protection locked="0"/>
    </xf>
    <xf numFmtId="0" fontId="17" fillId="13" borderId="0" xfId="8" applyFont="1" applyFill="1" applyAlignment="1" applyProtection="1">
      <alignment vertical="center" wrapText="1" readingOrder="1"/>
      <protection locked="0"/>
    </xf>
    <xf numFmtId="0" fontId="17" fillId="13" borderId="0" xfId="8" applyFont="1" applyFill="1" applyAlignment="1" applyProtection="1">
      <alignment horizontal="right" vertical="center" wrapText="1" readingOrder="1"/>
      <protection locked="0"/>
    </xf>
    <xf numFmtId="0" fontId="17" fillId="0" borderId="20" xfId="8" applyFont="1" applyBorder="1" applyAlignment="1" applyProtection="1">
      <alignment horizontal="center" vertical="top" wrapText="1" readingOrder="1"/>
      <protection locked="0"/>
    </xf>
    <xf numFmtId="0" fontId="16" fillId="0" borderId="18" xfId="8" applyBorder="1" applyAlignment="1" applyProtection="1">
      <alignment vertical="top" wrapText="1"/>
      <protection locked="0"/>
    </xf>
    <xf numFmtId="0" fontId="16" fillId="0" borderId="17" xfId="8" applyBorder="1" applyAlignment="1" applyProtection="1">
      <alignment vertical="top" wrapText="1"/>
      <protection locked="0"/>
    </xf>
    <xf numFmtId="0" fontId="17" fillId="0" borderId="19" xfId="8" applyFont="1" applyBorder="1" applyAlignment="1" applyProtection="1">
      <alignment horizontal="center" vertical="top" wrapText="1" readingOrder="1"/>
      <protection locked="0"/>
    </xf>
    <xf numFmtId="0" fontId="17" fillId="0" borderId="16" xfId="8" applyFont="1" applyBorder="1" applyAlignment="1" applyProtection="1">
      <alignment horizontal="center" vertical="top" wrapText="1" readingOrder="1"/>
      <protection locked="0"/>
    </xf>
    <xf numFmtId="0" fontId="17" fillId="0" borderId="15" xfId="8" applyFont="1" applyBorder="1" applyAlignment="1" applyProtection="1">
      <alignment horizontal="center" vertical="top" wrapText="1" readingOrder="1"/>
      <protection locked="0"/>
    </xf>
    <xf numFmtId="0" fontId="16" fillId="0" borderId="13" xfId="8" applyBorder="1" applyAlignment="1" applyProtection="1">
      <alignment vertical="top" wrapText="1"/>
      <protection locked="0"/>
    </xf>
    <xf numFmtId="0" fontId="17" fillId="0" borderId="28" xfId="8" applyFont="1" applyBorder="1" applyAlignment="1" applyProtection="1">
      <alignment vertical="top" wrapText="1" readingOrder="1"/>
      <protection locked="0"/>
    </xf>
    <xf numFmtId="0" fontId="16" fillId="0" borderId="26" xfId="8" applyBorder="1" applyAlignment="1" applyProtection="1">
      <alignment vertical="top" wrapText="1"/>
      <protection locked="0"/>
    </xf>
    <xf numFmtId="0" fontId="16" fillId="0" borderId="25" xfId="8" applyBorder="1" applyAlignment="1" applyProtection="1">
      <alignment vertical="top" wrapText="1"/>
      <protection locked="0"/>
    </xf>
    <xf numFmtId="0" fontId="17" fillId="0" borderId="27" xfId="8" applyFont="1" applyBorder="1" applyAlignment="1" applyProtection="1">
      <alignment vertical="top" wrapText="1" readingOrder="1"/>
      <protection locked="0"/>
    </xf>
    <xf numFmtId="0" fontId="17" fillId="0" borderId="24" xfId="8" applyFont="1" applyBorder="1" applyAlignment="1" applyProtection="1">
      <alignment vertical="top" wrapText="1" readingOrder="1"/>
      <protection locked="0"/>
    </xf>
    <xf numFmtId="0" fontId="16" fillId="0" borderId="22" xfId="8" applyBorder="1" applyAlignment="1" applyProtection="1">
      <alignment vertical="top" wrapText="1"/>
      <protection locked="0"/>
    </xf>
    <xf numFmtId="0" fontId="17" fillId="0" borderId="23" xfId="8" applyFont="1" applyBorder="1" applyAlignment="1" applyProtection="1">
      <alignment vertical="top" wrapText="1" readingOrder="1"/>
      <protection locked="0"/>
    </xf>
    <xf numFmtId="0" fontId="16" fillId="0" borderId="21" xfId="8" applyBorder="1" applyAlignment="1" applyProtection="1">
      <alignment vertical="top" wrapText="1"/>
      <protection locked="0"/>
    </xf>
    <xf numFmtId="0" fontId="31" fillId="16" borderId="38" xfId="0" applyFont="1" applyFill="1" applyBorder="1" applyAlignment="1">
      <alignment horizontal="center"/>
    </xf>
    <xf numFmtId="0" fontId="31" fillId="16" borderId="7" xfId="0" applyFont="1" applyFill="1" applyBorder="1" applyAlignment="1">
      <alignment horizontal="center"/>
    </xf>
    <xf numFmtId="0" fontId="31" fillId="16" borderId="39" xfId="0" applyFont="1" applyFill="1" applyBorder="1" applyAlignment="1">
      <alignment horizontal="center"/>
    </xf>
  </cellXfs>
  <cellStyles count="11">
    <cellStyle name="Comma" xfId="1" builtinId="3"/>
    <cellStyle name="Comma 2" xfId="4" xr:uid="{87A4F6C8-75B3-4DCB-A79B-DFFDF2945818}"/>
    <cellStyle name="Currency" xfId="2" builtinId="4"/>
    <cellStyle name="Currency 2" xfId="7" xr:uid="{9FEFD8AD-09C5-4AEA-9CB7-66E61C0570CE}"/>
    <cellStyle name="Normal" xfId="0" builtinId="0"/>
    <cellStyle name="Normal 2" xfId="5" xr:uid="{49861A5F-5C4C-4896-A07B-59B34581D8B5}"/>
    <cellStyle name="Normal 3" xfId="8" xr:uid="{76051963-8F78-4943-A263-FC87FA7033EA}"/>
    <cellStyle name="Normal 4" xfId="9" xr:uid="{E02FB128-6D26-4A56-8AD4-6A997503FE53}"/>
    <cellStyle name="Normal 5" xfId="10" xr:uid="{110FCA39-1C49-4CCA-BA46-879F52DCF558}"/>
    <cellStyle name="Percent" xfId="3" builtinId="5"/>
    <cellStyle name="Percent 2" xfId="6" xr:uid="{4ED5C954-E6B0-4676-9B3A-3D55F3A09B46}"/>
  </cellStyles>
  <dxfs count="1">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7</xdr:col>
      <xdr:colOff>228329</xdr:colOff>
      <xdr:row>48</xdr:row>
      <xdr:rowOff>131668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482600"/>
          <a:ext cx="7251429" cy="8234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2</xdr:row>
      <xdr:rowOff>0</xdr:rowOff>
    </xdr:from>
    <xdr:ext cx="5676190" cy="6709949"/>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2801600" y="365760"/>
          <a:ext cx="5676190" cy="67099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133350</xdr:colOff>
          <xdr:row>1</xdr:row>
          <xdr:rowOff>19050</xdr:rowOff>
        </xdr:to>
        <xdr:sp macro="" textlink="">
          <xdr:nvSpPr>
            <xdr:cNvPr id="19457" name="FILTER" hidden="1">
              <a:extLst>
                <a:ext uri="{63B3BB69-23CF-44E3-9099-C40C66FF867C}">
                  <a14:compatExt spid="_x0000_s19457"/>
                </a:ext>
                <a:ext uri="{FF2B5EF4-FFF2-40B4-BE49-F238E27FC236}">
                  <a16:creationId xmlns:a16="http://schemas.microsoft.com/office/drawing/2014/main" id="{00000000-0008-0000-0F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133350</xdr:colOff>
          <xdr:row>1</xdr:row>
          <xdr:rowOff>19050</xdr:rowOff>
        </xdr:to>
        <xdr:sp macro="" textlink="">
          <xdr:nvSpPr>
            <xdr:cNvPr id="19458" name="HEADER" hidden="1">
              <a:extLst>
                <a:ext uri="{63B3BB69-23CF-44E3-9099-C40C66FF867C}">
                  <a14:compatExt spid="_x0000_s19458"/>
                </a:ext>
                <a:ext uri="{FF2B5EF4-FFF2-40B4-BE49-F238E27FC236}">
                  <a16:creationId xmlns:a16="http://schemas.microsoft.com/office/drawing/2014/main" id="{00000000-0008-0000-0F00-000002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30480</xdr:colOff>
      <xdr:row>24</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36080" cy="438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t.Padron\Work%20Folders\Desktop\Budgets\2024%20-%202025%20Budgets\CIVICA%20NV\Final%20Revised\24-25%20CIVICA%20NV%20FR%20Budget%20-%2011.12.24.xlsx" TargetMode="External"/><Relationship Id="rId1" Type="http://schemas.openxmlformats.org/officeDocument/2006/relationships/externalLinkPath" Target="/Users/Matt.Padron/Work%20Folders/Desktop/Budgets/2024%20-%202025%20Budgets/CIVICA%20NV/Final%20Revised/24-25%20CIVICA%20NV%20FR%20Budget%20-%2011.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MADS"/>
      <sheetName val="Combined"/>
      <sheetName val="01"/>
      <sheetName val="FY24"/>
      <sheetName val="Avg"/>
      <sheetName val="Oct 1"/>
      <sheetName val="Funding"/>
      <sheetName val="Payroll"/>
      <sheetName val="Benefits"/>
      <sheetName val="Rent"/>
      <sheetName val="Start up note"/>
      <sheetName val="FFE"/>
      <sheetName val="SPED"/>
      <sheetName val="Ins."/>
      <sheetName val="Food"/>
      <sheetName val="Utilities"/>
    </sheetNames>
    <sheetDataSet>
      <sheetData sheetId="0">
        <row r="22">
          <cell r="C22">
            <v>94285</v>
          </cell>
          <cell r="D22">
            <v>5793.08</v>
          </cell>
          <cell r="E22">
            <v>290847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2.xml"/><Relationship Id="rId5" Type="http://schemas.openxmlformats.org/officeDocument/2006/relationships/image" Target="../media/image4.emf"/><Relationship Id="rId4" Type="http://schemas.openxmlformats.org/officeDocument/2006/relationships/control" Target="../activeX/activeX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2BD9-A86E-486E-91CB-8A91291849AC}">
  <dimension ref="A1:W224"/>
  <sheetViews>
    <sheetView zoomScale="75" zoomScaleNormal="75" workbookViewId="0">
      <selection activeCell="H220" sqref="H1:H220"/>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5" width="20.28515625" style="93" bestFit="1" customWidth="1"/>
    <col min="16" max="16" width="6.28515625" style="93" bestFit="1" customWidth="1"/>
    <col min="17" max="17" width="14.7109375" style="61" customWidth="1"/>
    <col min="18" max="18" width="6.5703125" style="61" customWidth="1"/>
    <col min="19" max="16384" width="8.7109375" style="7"/>
  </cols>
  <sheetData>
    <row r="1" spans="1:23" s="3" customFormat="1" x14ac:dyDescent="0.25">
      <c r="A1" s="1" t="s">
        <v>0</v>
      </c>
      <c r="B1" s="1" t="s">
        <v>1</v>
      </c>
      <c r="C1" s="1" t="s">
        <v>2</v>
      </c>
      <c r="D1" s="1" t="s">
        <v>3</v>
      </c>
      <c r="E1" s="1" t="s">
        <v>4</v>
      </c>
      <c r="F1" s="1" t="s">
        <v>5</v>
      </c>
      <c r="G1" s="1" t="s">
        <v>6</v>
      </c>
      <c r="H1" s="1" t="s">
        <v>7</v>
      </c>
      <c r="I1" s="2"/>
      <c r="J1" s="2"/>
      <c r="K1" s="1" t="s">
        <v>8</v>
      </c>
      <c r="M1" s="1" t="s">
        <v>9</v>
      </c>
      <c r="N1" s="2"/>
      <c r="O1" s="1" t="s">
        <v>10</v>
      </c>
      <c r="Q1" s="1" t="s">
        <v>9</v>
      </c>
      <c r="R1" s="2"/>
      <c r="S1" s="134">
        <v>114</v>
      </c>
      <c r="T1" s="22" t="s">
        <v>11</v>
      </c>
      <c r="U1" s="3" t="s">
        <v>12</v>
      </c>
      <c r="V1" s="3" t="s">
        <v>1</v>
      </c>
      <c r="W1" s="2" t="s">
        <v>13</v>
      </c>
    </row>
    <row r="2" spans="1:23" x14ac:dyDescent="0.25">
      <c r="A2" s="4" t="s">
        <v>14</v>
      </c>
      <c r="B2" s="5">
        <v>9414</v>
      </c>
      <c r="C2" s="5"/>
      <c r="D2" s="5"/>
      <c r="E2" s="5"/>
      <c r="F2" s="5"/>
      <c r="G2" s="5"/>
      <c r="H2" s="5">
        <f t="shared" ref="H2:H16" si="0">SUM(B2:G2)</f>
        <v>9414</v>
      </c>
      <c r="I2" s="6"/>
      <c r="J2" s="60"/>
      <c r="K2" s="5">
        <v>9414</v>
      </c>
      <c r="M2" s="5">
        <f t="shared" ref="M2:M65" si="1">H2-K2</f>
        <v>0</v>
      </c>
      <c r="N2" s="60"/>
      <c r="O2" s="5">
        <v>8966</v>
      </c>
      <c r="Q2" s="5">
        <f>H2-O2</f>
        <v>448</v>
      </c>
      <c r="R2" s="60"/>
    </row>
    <row r="3" spans="1:23" x14ac:dyDescent="0.25">
      <c r="A3" s="8" t="s">
        <v>15</v>
      </c>
      <c r="B3" s="9">
        <f t="shared" ref="B3" si="2">B4+B5+B6+B7+B8+B9+B10+B11+B12+B13+B14+B15+B16</f>
        <v>1060</v>
      </c>
      <c r="C3" s="9"/>
      <c r="D3" s="9"/>
      <c r="E3" s="9"/>
      <c r="F3" s="9"/>
      <c r="G3" s="9"/>
      <c r="H3" s="9">
        <f t="shared" si="0"/>
        <v>1060</v>
      </c>
      <c r="I3" s="6"/>
      <c r="J3" s="60"/>
      <c r="K3" s="9">
        <v>1024</v>
      </c>
      <c r="M3" s="9">
        <f t="shared" si="1"/>
        <v>36</v>
      </c>
      <c r="N3" s="60"/>
      <c r="O3" s="9">
        <v>890</v>
      </c>
      <c r="Q3" s="9">
        <f>SUM(Q4:Q16)</f>
        <v>134</v>
      </c>
      <c r="R3" s="60"/>
    </row>
    <row r="4" spans="1:23" x14ac:dyDescent="0.25">
      <c r="A4" s="99" t="s">
        <v>16</v>
      </c>
      <c r="B4" s="5">
        <v>116</v>
      </c>
      <c r="C4" s="10"/>
      <c r="D4" s="10"/>
      <c r="E4" s="10"/>
      <c r="F4" s="10"/>
      <c r="G4" s="10"/>
      <c r="H4" s="10">
        <f t="shared" si="0"/>
        <v>116</v>
      </c>
      <c r="I4" s="122">
        <v>5</v>
      </c>
      <c r="J4" s="125"/>
      <c r="K4" s="10">
        <v>98</v>
      </c>
      <c r="L4" s="125">
        <v>5</v>
      </c>
      <c r="M4" s="10">
        <f t="shared" si="1"/>
        <v>18</v>
      </c>
      <c r="N4" s="125"/>
      <c r="O4" s="10">
        <v>116</v>
      </c>
      <c r="P4" s="125">
        <v>5</v>
      </c>
      <c r="Q4" s="52">
        <f>K4-O4</f>
        <v>-18</v>
      </c>
      <c r="R4" s="125"/>
    </row>
    <row r="5" spans="1:23" x14ac:dyDescent="0.25">
      <c r="A5" s="8" t="s">
        <v>17</v>
      </c>
      <c r="B5" s="5">
        <v>129</v>
      </c>
      <c r="C5" s="10"/>
      <c r="D5" s="10"/>
      <c r="E5" s="10"/>
      <c r="F5" s="10"/>
      <c r="G5" s="10"/>
      <c r="H5" s="10">
        <f t="shared" si="0"/>
        <v>129</v>
      </c>
      <c r="I5" s="122">
        <v>5</v>
      </c>
      <c r="J5" s="125"/>
      <c r="K5" s="10">
        <v>122</v>
      </c>
      <c r="L5" s="125">
        <v>5</v>
      </c>
      <c r="M5" s="10">
        <f t="shared" si="1"/>
        <v>7</v>
      </c>
      <c r="N5" s="125"/>
      <c r="O5" s="10">
        <v>127</v>
      </c>
      <c r="P5" s="125">
        <v>5</v>
      </c>
      <c r="Q5" s="52">
        <f t="shared" ref="Q5:Q16" si="3">K5-O5</f>
        <v>-5</v>
      </c>
      <c r="R5" s="125"/>
    </row>
    <row r="6" spans="1:23" x14ac:dyDescent="0.25">
      <c r="A6" s="8" t="s">
        <v>18</v>
      </c>
      <c r="B6" s="5">
        <v>126</v>
      </c>
      <c r="C6" s="10"/>
      <c r="D6" s="10"/>
      <c r="E6" s="10"/>
      <c r="F6" s="10"/>
      <c r="G6" s="10"/>
      <c r="H6" s="10">
        <f t="shared" si="0"/>
        <v>126</v>
      </c>
      <c r="I6" s="122">
        <v>5</v>
      </c>
      <c r="J6" s="125"/>
      <c r="K6" s="10">
        <v>128</v>
      </c>
      <c r="L6" s="125">
        <v>5</v>
      </c>
      <c r="M6" s="10">
        <f t="shared" si="1"/>
        <v>-2</v>
      </c>
      <c r="N6" s="125"/>
      <c r="O6" s="10">
        <v>129</v>
      </c>
      <c r="P6" s="125">
        <v>5</v>
      </c>
      <c r="Q6" s="52">
        <f t="shared" si="3"/>
        <v>-1</v>
      </c>
      <c r="R6" s="125"/>
    </row>
    <row r="7" spans="1:23" x14ac:dyDescent="0.25">
      <c r="A7" s="12" t="s">
        <v>19</v>
      </c>
      <c r="B7" s="5">
        <v>129</v>
      </c>
      <c r="C7" s="10"/>
      <c r="D7" s="10"/>
      <c r="E7" s="10"/>
      <c r="F7" s="10"/>
      <c r="G7" s="10"/>
      <c r="H7" s="10">
        <f t="shared" si="0"/>
        <v>129</v>
      </c>
      <c r="I7" s="122">
        <v>5</v>
      </c>
      <c r="J7" s="125"/>
      <c r="K7" s="10">
        <v>131</v>
      </c>
      <c r="L7" s="125">
        <v>5</v>
      </c>
      <c r="M7" s="10">
        <f t="shared" si="1"/>
        <v>-2</v>
      </c>
      <c r="N7" s="125"/>
      <c r="O7" s="10">
        <v>97</v>
      </c>
      <c r="P7" s="125">
        <v>4</v>
      </c>
      <c r="Q7" s="52">
        <f t="shared" si="3"/>
        <v>34</v>
      </c>
      <c r="R7" s="125"/>
    </row>
    <row r="8" spans="1:23" x14ac:dyDescent="0.25">
      <c r="A8" s="12" t="s">
        <v>20</v>
      </c>
      <c r="B8" s="5">
        <v>98</v>
      </c>
      <c r="C8" s="10"/>
      <c r="D8" s="10"/>
      <c r="E8" s="10"/>
      <c r="F8" s="10"/>
      <c r="G8" s="10"/>
      <c r="H8" s="10">
        <f t="shared" si="0"/>
        <v>98</v>
      </c>
      <c r="I8" s="122">
        <v>4</v>
      </c>
      <c r="J8" s="125"/>
      <c r="K8" s="10">
        <v>103</v>
      </c>
      <c r="L8" s="125">
        <v>4</v>
      </c>
      <c r="M8" s="10">
        <f t="shared" si="1"/>
        <v>-5</v>
      </c>
      <c r="N8" s="125"/>
      <c r="O8" s="10">
        <v>81</v>
      </c>
      <c r="P8" s="125">
        <v>3</v>
      </c>
      <c r="Q8" s="52">
        <f t="shared" si="3"/>
        <v>22</v>
      </c>
      <c r="R8" s="125"/>
    </row>
    <row r="9" spans="1:23" x14ac:dyDescent="0.25">
      <c r="A9" s="12" t="s">
        <v>21</v>
      </c>
      <c r="B9" s="5">
        <v>99</v>
      </c>
      <c r="C9" s="10"/>
      <c r="D9" s="10"/>
      <c r="E9" s="10"/>
      <c r="F9" s="10"/>
      <c r="G9" s="10"/>
      <c r="H9" s="10">
        <f t="shared" si="0"/>
        <v>99</v>
      </c>
      <c r="I9" s="122">
        <v>4</v>
      </c>
      <c r="J9" s="125"/>
      <c r="K9" s="10">
        <v>89</v>
      </c>
      <c r="L9" s="125">
        <v>3</v>
      </c>
      <c r="M9" s="10">
        <f t="shared" si="1"/>
        <v>10</v>
      </c>
      <c r="N9" s="125"/>
      <c r="O9" s="10">
        <v>81</v>
      </c>
      <c r="P9" s="125">
        <v>3</v>
      </c>
      <c r="Q9" s="52">
        <f t="shared" si="3"/>
        <v>8</v>
      </c>
      <c r="R9" s="125"/>
    </row>
    <row r="10" spans="1:23" x14ac:dyDescent="0.25">
      <c r="A10" s="12" t="s">
        <v>22</v>
      </c>
      <c r="B10" s="5">
        <v>127</v>
      </c>
      <c r="C10" s="5"/>
      <c r="D10" s="5"/>
      <c r="E10" s="5"/>
      <c r="F10" s="5"/>
      <c r="G10" s="5"/>
      <c r="H10" s="10">
        <f t="shared" si="0"/>
        <v>127</v>
      </c>
      <c r="I10" s="122">
        <v>4</v>
      </c>
      <c r="J10" s="125"/>
      <c r="K10" s="10">
        <v>98</v>
      </c>
      <c r="L10" s="125">
        <v>3</v>
      </c>
      <c r="M10" s="10">
        <f t="shared" si="1"/>
        <v>29</v>
      </c>
      <c r="N10" s="125"/>
      <c r="O10" s="10">
        <v>65</v>
      </c>
      <c r="P10" s="125">
        <v>2</v>
      </c>
      <c r="Q10" s="52">
        <f t="shared" si="3"/>
        <v>33</v>
      </c>
      <c r="R10" s="125"/>
    </row>
    <row r="11" spans="1:23" x14ac:dyDescent="0.25">
      <c r="A11" s="12" t="s">
        <v>23</v>
      </c>
      <c r="B11" s="5">
        <v>67</v>
      </c>
      <c r="C11" s="5"/>
      <c r="D11" s="5"/>
      <c r="E11" s="5"/>
      <c r="F11" s="5"/>
      <c r="G11" s="5"/>
      <c r="H11" s="10">
        <f t="shared" si="0"/>
        <v>67</v>
      </c>
      <c r="I11" s="122">
        <f>H11/33</f>
        <v>2.0303030303030303</v>
      </c>
      <c r="J11" s="125"/>
      <c r="K11" s="10">
        <v>66</v>
      </c>
      <c r="L11" s="125">
        <v>2</v>
      </c>
      <c r="M11" s="10">
        <f t="shared" si="1"/>
        <v>1</v>
      </c>
      <c r="N11" s="125"/>
      <c r="O11" s="10">
        <v>67</v>
      </c>
      <c r="P11" s="125">
        <v>2</v>
      </c>
      <c r="Q11" s="52">
        <f t="shared" si="3"/>
        <v>-1</v>
      </c>
      <c r="R11" s="125"/>
    </row>
    <row r="12" spans="1:23" x14ac:dyDescent="0.25">
      <c r="A12" s="12" t="s">
        <v>24</v>
      </c>
      <c r="B12" s="5">
        <v>70</v>
      </c>
      <c r="C12" s="5"/>
      <c r="D12" s="5"/>
      <c r="E12" s="5"/>
      <c r="F12" s="5"/>
      <c r="G12" s="5"/>
      <c r="H12" s="10">
        <f t="shared" si="0"/>
        <v>70</v>
      </c>
      <c r="I12" s="122">
        <v>2</v>
      </c>
      <c r="J12" s="125"/>
      <c r="K12" s="10">
        <v>65</v>
      </c>
      <c r="L12" s="125">
        <v>2</v>
      </c>
      <c r="M12" s="10">
        <f t="shared" si="1"/>
        <v>5</v>
      </c>
      <c r="N12" s="125"/>
      <c r="O12" s="10">
        <v>67</v>
      </c>
      <c r="P12" s="125">
        <v>2</v>
      </c>
      <c r="Q12" s="52">
        <f t="shared" si="3"/>
        <v>-2</v>
      </c>
      <c r="R12" s="125"/>
    </row>
    <row r="13" spans="1:23" x14ac:dyDescent="0.25">
      <c r="A13" s="12" t="s">
        <v>25</v>
      </c>
      <c r="B13" s="5">
        <v>57</v>
      </c>
      <c r="C13" s="5"/>
      <c r="D13" s="5"/>
      <c r="E13" s="5"/>
      <c r="F13" s="5"/>
      <c r="G13" s="5"/>
      <c r="H13" s="10">
        <f t="shared" si="0"/>
        <v>57</v>
      </c>
      <c r="I13" s="122">
        <v>2</v>
      </c>
      <c r="K13" s="10">
        <v>65</v>
      </c>
      <c r="L13" s="125">
        <v>2</v>
      </c>
      <c r="M13" s="10">
        <f t="shared" si="1"/>
        <v>-8</v>
      </c>
      <c r="O13" s="10">
        <v>60</v>
      </c>
      <c r="P13" s="125">
        <v>2</v>
      </c>
      <c r="Q13" s="52">
        <f t="shared" si="3"/>
        <v>5</v>
      </c>
    </row>
    <row r="14" spans="1:23" x14ac:dyDescent="0.25">
      <c r="A14" s="12" t="s">
        <v>26</v>
      </c>
      <c r="B14" s="5">
        <v>42</v>
      </c>
      <c r="C14" s="5"/>
      <c r="D14" s="5"/>
      <c r="E14" s="5"/>
      <c r="F14" s="5"/>
      <c r="G14" s="5"/>
      <c r="H14" s="10">
        <f t="shared" si="0"/>
        <v>42</v>
      </c>
      <c r="I14" s="122">
        <v>2</v>
      </c>
      <c r="K14" s="10">
        <v>59</v>
      </c>
      <c r="L14" s="125">
        <v>2</v>
      </c>
      <c r="M14" s="10">
        <f t="shared" si="1"/>
        <v>-17</v>
      </c>
      <c r="O14" s="10">
        <v>0</v>
      </c>
      <c r="Q14" s="52">
        <f t="shared" si="3"/>
        <v>59</v>
      </c>
    </row>
    <row r="15" spans="1:23" x14ac:dyDescent="0.25">
      <c r="A15" s="12" t="s">
        <v>27</v>
      </c>
      <c r="B15" s="5">
        <v>0</v>
      </c>
      <c r="C15" s="5"/>
      <c r="D15" s="5"/>
      <c r="E15" s="5"/>
      <c r="F15" s="5"/>
      <c r="G15" s="5"/>
      <c r="H15" s="10">
        <f t="shared" si="0"/>
        <v>0</v>
      </c>
      <c r="I15" s="11"/>
      <c r="K15" s="10">
        <v>0</v>
      </c>
      <c r="M15" s="10">
        <f t="shared" si="1"/>
        <v>0</v>
      </c>
      <c r="O15" s="10">
        <v>0</v>
      </c>
      <c r="Q15" s="52">
        <f t="shared" si="3"/>
        <v>0</v>
      </c>
    </row>
    <row r="16" spans="1:23" x14ac:dyDescent="0.25">
      <c r="A16" s="12" t="s">
        <v>28</v>
      </c>
      <c r="B16" s="5">
        <v>0</v>
      </c>
      <c r="C16" s="5"/>
      <c r="D16" s="5"/>
      <c r="E16" s="5"/>
      <c r="F16" s="5"/>
      <c r="G16" s="5"/>
      <c r="H16" s="10">
        <f t="shared" si="0"/>
        <v>0</v>
      </c>
      <c r="I16" s="11"/>
      <c r="K16" s="10">
        <v>0</v>
      </c>
      <c r="M16" s="10">
        <f t="shared" si="1"/>
        <v>0</v>
      </c>
      <c r="O16" s="10">
        <v>0</v>
      </c>
      <c r="Q16" s="52">
        <f t="shared" si="3"/>
        <v>0</v>
      </c>
    </row>
    <row r="17" spans="1:20" x14ac:dyDescent="0.25">
      <c r="A17" s="100" t="s">
        <v>15</v>
      </c>
      <c r="B17" s="9">
        <f t="shared" ref="B17:G17" si="4">SUM(B4:B16)</f>
        <v>1060</v>
      </c>
      <c r="C17" s="9">
        <f t="shared" si="4"/>
        <v>0</v>
      </c>
      <c r="D17" s="9">
        <f t="shared" si="4"/>
        <v>0</v>
      </c>
      <c r="E17" s="9">
        <f t="shared" si="4"/>
        <v>0</v>
      </c>
      <c r="F17" s="9">
        <f t="shared" si="4"/>
        <v>0</v>
      </c>
      <c r="G17" s="9">
        <f t="shared" si="4"/>
        <v>0</v>
      </c>
      <c r="H17" s="9">
        <f>SUM(H4:H16)</f>
        <v>1060</v>
      </c>
      <c r="I17" s="122">
        <f>SUM(I4:I16)</f>
        <v>40.030303030303031</v>
      </c>
      <c r="J17" s="126"/>
      <c r="K17" s="9">
        <v>1024</v>
      </c>
      <c r="L17" s="125">
        <f>SUM(L4:L16)</f>
        <v>38</v>
      </c>
      <c r="M17" s="9">
        <f t="shared" si="1"/>
        <v>36</v>
      </c>
      <c r="N17" s="126"/>
      <c r="O17" s="9">
        <v>890</v>
      </c>
      <c r="P17" s="125">
        <f>SUM(P4:P16)</f>
        <v>33</v>
      </c>
      <c r="Q17" s="9">
        <f>SUM(Q4:Q16)</f>
        <v>134</v>
      </c>
      <c r="R17" s="126"/>
    </row>
    <row r="18" spans="1:20" x14ac:dyDescent="0.25">
      <c r="A18" s="12"/>
      <c r="B18" s="5"/>
      <c r="C18" s="13"/>
      <c r="D18" s="13"/>
      <c r="E18" s="13"/>
      <c r="F18" s="13"/>
      <c r="G18" s="13"/>
      <c r="H18" s="13"/>
      <c r="I18" s="18"/>
      <c r="J18" s="7"/>
      <c r="K18" s="13"/>
      <c r="M18" s="13">
        <f t="shared" si="1"/>
        <v>0</v>
      </c>
      <c r="N18" s="7"/>
      <c r="O18" s="13"/>
      <c r="Q18" s="13"/>
      <c r="R18" s="7"/>
    </row>
    <row r="19" spans="1:20" x14ac:dyDescent="0.25">
      <c r="A19" s="14" t="s">
        <v>29</v>
      </c>
      <c r="B19" s="15" t="str">
        <f>B1</f>
        <v>Operating</v>
      </c>
      <c r="C19" s="15" t="str">
        <f>C1</f>
        <v>SPED</v>
      </c>
      <c r="D19" s="15" t="str">
        <f>D1</f>
        <v>NSLP</v>
      </c>
      <c r="E19" s="15" t="str">
        <f t="shared" ref="E19:G19" si="5">E1</f>
        <v>Other</v>
      </c>
      <c r="F19" s="15" t="str">
        <f t="shared" si="5"/>
        <v>Title I</v>
      </c>
      <c r="G19" s="15" t="str">
        <f t="shared" si="5"/>
        <v>Title II/III/IV</v>
      </c>
      <c r="H19" s="15" t="str">
        <f>H1</f>
        <v>Total (24-25)</v>
      </c>
      <c r="I19" s="16"/>
      <c r="J19" s="16"/>
      <c r="K19" s="15" t="s">
        <v>7</v>
      </c>
      <c r="M19" s="15" t="str">
        <f>M1</f>
        <v>Variance</v>
      </c>
      <c r="N19" s="16"/>
      <c r="O19" s="15" t="s">
        <v>30</v>
      </c>
      <c r="Q19" s="15" t="str">
        <f>Q1</f>
        <v>Variance</v>
      </c>
      <c r="R19" s="16"/>
      <c r="S19" s="16"/>
    </row>
    <row r="20" spans="1:20" x14ac:dyDescent="0.25">
      <c r="A20" s="12" t="s">
        <v>31</v>
      </c>
      <c r="B20" s="5"/>
      <c r="C20" s="5">
        <v>77</v>
      </c>
      <c r="D20" s="5"/>
      <c r="E20" s="5"/>
      <c r="F20" s="5"/>
      <c r="G20" s="5"/>
      <c r="H20" s="5">
        <f>SUM(B20:G20)</f>
        <v>77</v>
      </c>
      <c r="I20" s="17" t="s">
        <v>32</v>
      </c>
      <c r="J20" s="127"/>
      <c r="K20" s="5">
        <v>77</v>
      </c>
      <c r="M20" s="5">
        <f t="shared" si="1"/>
        <v>0</v>
      </c>
      <c r="N20" s="127"/>
      <c r="O20" s="5">
        <v>59</v>
      </c>
      <c r="Q20" s="52">
        <f>K20-O20</f>
        <v>18</v>
      </c>
      <c r="R20" s="127"/>
      <c r="S20" s="18"/>
    </row>
    <row r="21" spans="1:20" x14ac:dyDescent="0.25">
      <c r="A21" s="12" t="s">
        <v>33</v>
      </c>
      <c r="B21" s="5">
        <v>276</v>
      </c>
      <c r="C21" s="5"/>
      <c r="D21" s="5"/>
      <c r="E21" s="5"/>
      <c r="F21" s="5"/>
      <c r="G21" s="5"/>
      <c r="H21" s="5">
        <f>SUM(B21:G21)</f>
        <v>276</v>
      </c>
      <c r="I21" s="17"/>
      <c r="J21" s="127"/>
      <c r="K21" s="5">
        <v>276</v>
      </c>
      <c r="M21" s="5">
        <f t="shared" si="1"/>
        <v>0</v>
      </c>
      <c r="N21" s="127"/>
      <c r="O21" s="5">
        <v>241</v>
      </c>
      <c r="Q21" s="52">
        <f t="shared" ref="Q21:Q24" si="6">K21-O21</f>
        <v>35</v>
      </c>
      <c r="R21" s="127"/>
      <c r="S21" s="18"/>
    </row>
    <row r="22" spans="1:20" x14ac:dyDescent="0.25">
      <c r="A22" s="12" t="s">
        <v>34</v>
      </c>
      <c r="B22" s="10">
        <v>0</v>
      </c>
      <c r="C22" s="10"/>
      <c r="D22" s="10"/>
      <c r="E22" s="10"/>
      <c r="F22" s="10"/>
      <c r="G22" s="10"/>
      <c r="H22" s="5">
        <f>SUM(B22:G22)</f>
        <v>0</v>
      </c>
      <c r="I22" s="11"/>
      <c r="K22" s="5">
        <v>0</v>
      </c>
      <c r="M22" s="5">
        <f t="shared" si="1"/>
        <v>0</v>
      </c>
      <c r="O22" s="5">
        <v>0</v>
      </c>
      <c r="Q22" s="52">
        <f t="shared" si="6"/>
        <v>0</v>
      </c>
    </row>
    <row r="23" spans="1:20" x14ac:dyDescent="0.25">
      <c r="A23" s="12" t="s">
        <v>35</v>
      </c>
      <c r="B23" s="10">
        <v>552</v>
      </c>
      <c r="C23" s="19"/>
      <c r="D23" s="19">
        <v>1</v>
      </c>
      <c r="E23" s="19"/>
      <c r="F23" s="19"/>
      <c r="G23" s="19"/>
      <c r="H23" s="19">
        <f>SUM(C23:G23)</f>
        <v>1</v>
      </c>
      <c r="I23" s="20"/>
      <c r="J23" s="128"/>
      <c r="K23" s="19">
        <v>1</v>
      </c>
      <c r="M23" s="19">
        <f t="shared" si="1"/>
        <v>0</v>
      </c>
      <c r="N23" s="128"/>
      <c r="O23" s="19">
        <v>1</v>
      </c>
      <c r="Q23" s="52">
        <f t="shared" si="6"/>
        <v>0</v>
      </c>
      <c r="R23" s="128"/>
    </row>
    <row r="24" spans="1:20" x14ac:dyDescent="0.25">
      <c r="A24" s="12" t="s">
        <v>36</v>
      </c>
      <c r="B24" s="5">
        <v>101</v>
      </c>
      <c r="C24" s="5"/>
      <c r="D24" s="5"/>
      <c r="E24" s="5"/>
      <c r="F24" s="5"/>
      <c r="G24" s="5"/>
      <c r="H24" s="5">
        <f>SUM(B24:G24)</f>
        <v>101</v>
      </c>
      <c r="I24" s="20"/>
      <c r="J24" s="128"/>
      <c r="K24" s="5">
        <v>101</v>
      </c>
      <c r="M24" s="5">
        <f t="shared" si="1"/>
        <v>0</v>
      </c>
      <c r="N24" s="128"/>
      <c r="O24" s="5">
        <v>49</v>
      </c>
      <c r="Q24" s="52">
        <f t="shared" si="6"/>
        <v>52</v>
      </c>
      <c r="R24" s="128"/>
    </row>
    <row r="25" spans="1:20" x14ac:dyDescent="0.25">
      <c r="A25" s="12"/>
      <c r="B25" s="5"/>
      <c r="C25" s="5"/>
      <c r="D25" s="5"/>
      <c r="E25" s="5"/>
      <c r="F25" s="5"/>
      <c r="G25" s="5"/>
      <c r="H25" s="5"/>
      <c r="I25" s="7"/>
      <c r="J25" s="7"/>
      <c r="K25" s="5"/>
      <c r="M25" s="5">
        <f t="shared" si="1"/>
        <v>0</v>
      </c>
      <c r="N25" s="7"/>
      <c r="O25" s="5"/>
      <c r="Q25" s="239">
        <f t="shared" ref="Q25" si="7">H25-O25</f>
        <v>0</v>
      </c>
      <c r="R25" s="7"/>
    </row>
    <row r="26" spans="1:20" x14ac:dyDescent="0.25">
      <c r="A26" s="21" t="s">
        <v>37</v>
      </c>
      <c r="B26" s="15" t="str">
        <f>B1</f>
        <v>Operating</v>
      </c>
      <c r="C26" s="15" t="str">
        <f>C1</f>
        <v>SPED</v>
      </c>
      <c r="D26" s="15" t="str">
        <f>D1</f>
        <v>NSLP</v>
      </c>
      <c r="E26" s="15" t="str">
        <f t="shared" ref="E26:G26" si="8">E1</f>
        <v>Other</v>
      </c>
      <c r="F26" s="15" t="str">
        <f t="shared" si="8"/>
        <v>Title I</v>
      </c>
      <c r="G26" s="15" t="str">
        <f t="shared" si="8"/>
        <v>Title II/III/IV</v>
      </c>
      <c r="H26" s="15" t="str">
        <f>H1</f>
        <v>Total (24-25)</v>
      </c>
      <c r="I26" s="16"/>
      <c r="J26" s="16"/>
      <c r="K26" s="15" t="s">
        <v>7</v>
      </c>
      <c r="M26" s="15" t="str">
        <f>M1</f>
        <v>Variance</v>
      </c>
      <c r="N26" s="16"/>
      <c r="O26" s="15" t="s">
        <v>30</v>
      </c>
      <c r="Q26" s="15" t="str">
        <f>Q1</f>
        <v>Variance</v>
      </c>
      <c r="R26" s="16"/>
      <c r="S26" s="22"/>
      <c r="T26" s="22"/>
    </row>
    <row r="27" spans="1:20" x14ac:dyDescent="0.25">
      <c r="A27" s="29" t="s">
        <v>38</v>
      </c>
      <c r="B27" s="23">
        <v>40</v>
      </c>
      <c r="C27" s="23"/>
      <c r="D27" s="23"/>
      <c r="E27" s="23"/>
      <c r="F27" s="23"/>
      <c r="G27" s="23"/>
      <c r="H27" s="23">
        <f t="shared" ref="H27:H35" si="9">SUM(B27:G27)</f>
        <v>40</v>
      </c>
      <c r="I27" s="122">
        <f>H27/6</f>
        <v>6.666666666666667</v>
      </c>
      <c r="J27" s="125"/>
      <c r="K27" s="23">
        <v>39</v>
      </c>
      <c r="M27" s="23">
        <f t="shared" si="1"/>
        <v>1</v>
      </c>
      <c r="N27" s="125"/>
      <c r="O27" s="23">
        <v>33</v>
      </c>
      <c r="Q27" s="239">
        <f t="shared" ref="Q27:Q35" si="10">K27-O27</f>
        <v>6</v>
      </c>
      <c r="R27" s="125"/>
      <c r="T27" s="24"/>
    </row>
    <row r="28" spans="1:20" x14ac:dyDescent="0.25">
      <c r="A28" s="29" t="s">
        <v>39</v>
      </c>
      <c r="B28" s="25">
        <v>0</v>
      </c>
      <c r="C28" s="25">
        <v>6</v>
      </c>
      <c r="D28" s="25"/>
      <c r="E28" s="25"/>
      <c r="F28" s="25"/>
      <c r="G28" s="25"/>
      <c r="H28" s="23">
        <f t="shared" si="9"/>
        <v>6</v>
      </c>
      <c r="I28" s="122">
        <f>H20/21</f>
        <v>3.6666666666666665</v>
      </c>
      <c r="J28" s="125"/>
      <c r="K28" s="23">
        <v>4</v>
      </c>
      <c r="M28" s="23">
        <f t="shared" si="1"/>
        <v>2</v>
      </c>
      <c r="N28" s="125"/>
      <c r="O28" s="23">
        <v>4</v>
      </c>
      <c r="Q28" s="239">
        <f t="shared" si="10"/>
        <v>0</v>
      </c>
      <c r="R28" s="125"/>
      <c r="T28" s="24"/>
    </row>
    <row r="29" spans="1:20" x14ac:dyDescent="0.25">
      <c r="A29" s="29" t="s">
        <v>40</v>
      </c>
      <c r="B29" s="23">
        <v>1</v>
      </c>
      <c r="C29" s="23"/>
      <c r="D29" s="23"/>
      <c r="E29" s="23"/>
      <c r="F29" s="23"/>
      <c r="G29" s="23"/>
      <c r="H29" s="23">
        <f t="shared" si="9"/>
        <v>1</v>
      </c>
      <c r="I29" s="11"/>
      <c r="K29" s="23">
        <v>1</v>
      </c>
      <c r="M29" s="23">
        <f t="shared" si="1"/>
        <v>0</v>
      </c>
      <c r="O29" s="23">
        <v>1</v>
      </c>
      <c r="Q29" s="239">
        <f t="shared" si="10"/>
        <v>0</v>
      </c>
      <c r="T29" s="24"/>
    </row>
    <row r="30" spans="1:20" x14ac:dyDescent="0.25">
      <c r="A30" s="29" t="s">
        <v>41</v>
      </c>
      <c r="B30" s="23">
        <v>1</v>
      </c>
      <c r="C30" s="23"/>
      <c r="D30" s="23"/>
      <c r="E30" s="23"/>
      <c r="F30" s="23"/>
      <c r="G30" s="23"/>
      <c r="H30" s="23">
        <f t="shared" si="9"/>
        <v>1</v>
      </c>
      <c r="I30" s="11"/>
      <c r="K30" s="23">
        <v>1</v>
      </c>
      <c r="M30" s="23">
        <f t="shared" si="1"/>
        <v>0</v>
      </c>
      <c r="O30" s="23">
        <v>1</v>
      </c>
      <c r="Q30" s="239">
        <f t="shared" si="10"/>
        <v>0</v>
      </c>
      <c r="T30" s="24"/>
    </row>
    <row r="31" spans="1:20" x14ac:dyDescent="0.25">
      <c r="A31" s="29" t="s">
        <v>42</v>
      </c>
      <c r="B31" s="23">
        <v>1</v>
      </c>
      <c r="C31" s="23"/>
      <c r="D31" s="23"/>
      <c r="E31" s="23"/>
      <c r="F31" s="23"/>
      <c r="G31" s="23"/>
      <c r="H31" s="23">
        <f t="shared" si="9"/>
        <v>1</v>
      </c>
      <c r="I31" s="11"/>
      <c r="K31" s="23">
        <v>1</v>
      </c>
      <c r="M31" s="23">
        <f t="shared" si="1"/>
        <v>0</v>
      </c>
      <c r="O31" s="23">
        <v>1</v>
      </c>
      <c r="Q31" s="239">
        <f t="shared" si="10"/>
        <v>0</v>
      </c>
      <c r="T31" s="26"/>
    </row>
    <row r="32" spans="1:20" x14ac:dyDescent="0.25">
      <c r="A32" s="97" t="s">
        <v>43</v>
      </c>
      <c r="B32" s="23">
        <v>0</v>
      </c>
      <c r="C32" s="23"/>
      <c r="D32" s="23"/>
      <c r="E32" s="23"/>
      <c r="F32" s="23"/>
      <c r="G32" s="23"/>
      <c r="H32" s="23">
        <f t="shared" si="9"/>
        <v>0</v>
      </c>
      <c r="I32" s="11"/>
      <c r="K32" s="23">
        <v>0</v>
      </c>
      <c r="M32" s="23">
        <f t="shared" si="1"/>
        <v>0</v>
      </c>
      <c r="O32" s="23">
        <v>0</v>
      </c>
      <c r="Q32" s="239">
        <f t="shared" si="10"/>
        <v>0</v>
      </c>
      <c r="T32" s="26"/>
    </row>
    <row r="33" spans="1:20" x14ac:dyDescent="0.25">
      <c r="A33" s="97" t="s">
        <v>44</v>
      </c>
      <c r="B33" s="23">
        <v>1</v>
      </c>
      <c r="C33" s="23"/>
      <c r="D33" s="23"/>
      <c r="E33" s="23"/>
      <c r="F33" s="23"/>
      <c r="G33" s="23"/>
      <c r="H33" s="23">
        <f t="shared" si="9"/>
        <v>1</v>
      </c>
      <c r="I33" s="11"/>
      <c r="K33" s="23">
        <v>1</v>
      </c>
      <c r="M33" s="23">
        <f t="shared" si="1"/>
        <v>0</v>
      </c>
      <c r="O33" s="23">
        <v>1</v>
      </c>
      <c r="Q33" s="239">
        <f t="shared" si="10"/>
        <v>0</v>
      </c>
      <c r="T33" s="26"/>
    </row>
    <row r="34" spans="1:20" x14ac:dyDescent="0.25">
      <c r="A34" s="97" t="s">
        <v>45</v>
      </c>
      <c r="B34" s="23">
        <v>2</v>
      </c>
      <c r="C34" s="23"/>
      <c r="D34" s="23"/>
      <c r="E34" s="23"/>
      <c r="F34" s="23"/>
      <c r="G34" s="23"/>
      <c r="H34" s="23">
        <f t="shared" si="9"/>
        <v>2</v>
      </c>
      <c r="I34" s="11"/>
      <c r="K34" s="23">
        <v>2</v>
      </c>
      <c r="M34" s="23">
        <f t="shared" si="1"/>
        <v>0</v>
      </c>
      <c r="O34" s="23">
        <v>2</v>
      </c>
      <c r="Q34" s="239">
        <f t="shared" si="10"/>
        <v>0</v>
      </c>
    </row>
    <row r="35" spans="1:20" x14ac:dyDescent="0.25">
      <c r="A35" s="30" t="s">
        <v>46</v>
      </c>
      <c r="B35" s="23">
        <v>0</v>
      </c>
      <c r="C35" s="23"/>
      <c r="D35" s="23"/>
      <c r="E35" s="23"/>
      <c r="F35" s="23"/>
      <c r="G35" s="23"/>
      <c r="H35" s="23">
        <f t="shared" si="9"/>
        <v>0</v>
      </c>
      <c r="I35" s="11"/>
      <c r="K35" s="23">
        <v>0</v>
      </c>
      <c r="M35" s="23">
        <f t="shared" si="1"/>
        <v>0</v>
      </c>
      <c r="O35" s="23">
        <v>0</v>
      </c>
      <c r="Q35" s="239">
        <f t="shared" si="10"/>
        <v>0</v>
      </c>
    </row>
    <row r="36" spans="1:20" x14ac:dyDescent="0.25">
      <c r="A36" s="21" t="s">
        <v>47</v>
      </c>
      <c r="B36" s="28">
        <f>SUM(B27:B35)</f>
        <v>46</v>
      </c>
      <c r="C36" s="28">
        <f t="shared" ref="C36:G36" si="11">SUM(C27:C35)</f>
        <v>6</v>
      </c>
      <c r="D36" s="28">
        <f t="shared" si="11"/>
        <v>0</v>
      </c>
      <c r="E36" s="28">
        <f t="shared" si="11"/>
        <v>0</v>
      </c>
      <c r="F36" s="28">
        <f t="shared" si="11"/>
        <v>0</v>
      </c>
      <c r="G36" s="28">
        <f t="shared" si="11"/>
        <v>0</v>
      </c>
      <c r="H36" s="28">
        <f>SUM(H27:H35)</f>
        <v>52</v>
      </c>
      <c r="I36" s="7"/>
      <c r="J36" s="7"/>
      <c r="K36" s="28">
        <v>49</v>
      </c>
      <c r="M36" s="28">
        <f t="shared" si="1"/>
        <v>3</v>
      </c>
      <c r="N36" s="7"/>
      <c r="O36" s="28">
        <v>43</v>
      </c>
      <c r="Q36" s="28">
        <f>SUM(Q27:Q35)</f>
        <v>6</v>
      </c>
      <c r="R36" s="7"/>
    </row>
    <row r="37" spans="1:20" x14ac:dyDescent="0.25">
      <c r="A37" s="27"/>
      <c r="B37" s="5"/>
      <c r="C37" s="5"/>
      <c r="D37" s="5"/>
      <c r="E37" s="5"/>
      <c r="F37" s="5"/>
      <c r="G37" s="5"/>
      <c r="H37" s="5"/>
      <c r="I37" s="7"/>
      <c r="J37" s="7"/>
      <c r="K37" s="5"/>
      <c r="M37" s="5">
        <f t="shared" si="1"/>
        <v>0</v>
      </c>
      <c r="N37" s="7"/>
      <c r="O37" s="5"/>
      <c r="Q37" s="5"/>
      <c r="R37" s="7"/>
    </row>
    <row r="38" spans="1:20" x14ac:dyDescent="0.25">
      <c r="A38" s="21" t="s">
        <v>48</v>
      </c>
      <c r="B38" s="15" t="str">
        <f>B1</f>
        <v>Operating</v>
      </c>
      <c r="C38" s="15" t="str">
        <f>C1</f>
        <v>SPED</v>
      </c>
      <c r="D38" s="15" t="str">
        <f>D1</f>
        <v>NSLP</v>
      </c>
      <c r="E38" s="15" t="str">
        <f t="shared" ref="E38:G38" si="12">E1</f>
        <v>Other</v>
      </c>
      <c r="F38" s="15" t="str">
        <f t="shared" si="12"/>
        <v>Title I</v>
      </c>
      <c r="G38" s="15" t="str">
        <f t="shared" si="12"/>
        <v>Title II/III/IV</v>
      </c>
      <c r="H38" s="15" t="str">
        <f>H1</f>
        <v>Total (24-25)</v>
      </c>
      <c r="I38" s="16"/>
      <c r="J38" s="16"/>
      <c r="K38" s="15" t="s">
        <v>7</v>
      </c>
      <c r="M38" s="15" t="str">
        <f>M1</f>
        <v>Variance</v>
      </c>
      <c r="N38" s="16"/>
      <c r="O38" s="15" t="s">
        <v>30</v>
      </c>
      <c r="Q38" s="15" t="str">
        <f>Q1</f>
        <v>Variance</v>
      </c>
      <c r="R38" s="16"/>
      <c r="S38" s="22"/>
      <c r="T38" s="22"/>
    </row>
    <row r="39" spans="1:20" x14ac:dyDescent="0.25">
      <c r="A39" s="29" t="s">
        <v>49</v>
      </c>
      <c r="B39" s="25">
        <v>1</v>
      </c>
      <c r="C39" s="25"/>
      <c r="D39" s="25"/>
      <c r="E39" s="25"/>
      <c r="F39" s="25"/>
      <c r="G39" s="25"/>
      <c r="H39" s="23">
        <f t="shared" ref="H39:H60" si="13">SUM(B39:G39)</f>
        <v>1</v>
      </c>
      <c r="I39" s="11"/>
      <c r="K39" s="23">
        <v>1</v>
      </c>
      <c r="M39" s="23">
        <f t="shared" si="1"/>
        <v>0</v>
      </c>
      <c r="O39" s="23">
        <v>1</v>
      </c>
      <c r="Q39" s="239">
        <f t="shared" ref="Q39:Q60" si="14">K39-O39</f>
        <v>0</v>
      </c>
    </row>
    <row r="40" spans="1:20" x14ac:dyDescent="0.25">
      <c r="A40" s="29" t="s">
        <v>50</v>
      </c>
      <c r="B40" s="25">
        <v>3</v>
      </c>
      <c r="C40" s="25"/>
      <c r="D40" s="25"/>
      <c r="E40" s="25"/>
      <c r="F40" s="25">
        <v>1</v>
      </c>
      <c r="G40" s="25"/>
      <c r="H40" s="23">
        <f t="shared" si="13"/>
        <v>4</v>
      </c>
      <c r="I40" s="11"/>
      <c r="K40" s="23">
        <v>4</v>
      </c>
      <c r="M40" s="23">
        <f t="shared" si="1"/>
        <v>0</v>
      </c>
      <c r="O40" s="23">
        <v>3</v>
      </c>
      <c r="Q40" s="239">
        <f t="shared" si="14"/>
        <v>1</v>
      </c>
    </row>
    <row r="41" spans="1:20" x14ac:dyDescent="0.25">
      <c r="A41" s="30" t="s">
        <v>51</v>
      </c>
      <c r="B41" s="25">
        <v>1</v>
      </c>
      <c r="C41" s="25"/>
      <c r="D41" s="25"/>
      <c r="E41" s="25"/>
      <c r="F41" s="25"/>
      <c r="G41" s="25"/>
      <c r="H41" s="23">
        <f t="shared" si="13"/>
        <v>1</v>
      </c>
      <c r="I41" s="11"/>
      <c r="K41" s="23">
        <v>1</v>
      </c>
      <c r="M41" s="23">
        <f t="shared" si="1"/>
        <v>0</v>
      </c>
      <c r="O41" s="23">
        <v>1</v>
      </c>
      <c r="Q41" s="239">
        <f t="shared" si="14"/>
        <v>0</v>
      </c>
    </row>
    <row r="42" spans="1:20" x14ac:dyDescent="0.25">
      <c r="A42" s="31" t="s">
        <v>52</v>
      </c>
      <c r="B42" s="25">
        <v>1</v>
      </c>
      <c r="C42" s="25"/>
      <c r="D42" s="25"/>
      <c r="E42" s="25"/>
      <c r="F42" s="25"/>
      <c r="G42" s="25"/>
      <c r="H42" s="23">
        <f t="shared" si="13"/>
        <v>1</v>
      </c>
      <c r="I42" s="11"/>
      <c r="K42" s="23">
        <v>1</v>
      </c>
      <c r="M42" s="23">
        <f t="shared" si="1"/>
        <v>0</v>
      </c>
      <c r="O42" s="23">
        <v>1</v>
      </c>
      <c r="Q42" s="239">
        <f t="shared" si="14"/>
        <v>0</v>
      </c>
    </row>
    <row r="43" spans="1:20" x14ac:dyDescent="0.25">
      <c r="A43" s="31" t="s">
        <v>53</v>
      </c>
      <c r="B43" s="25">
        <v>4</v>
      </c>
      <c r="C43" s="25"/>
      <c r="D43" s="25"/>
      <c r="E43" s="25"/>
      <c r="F43" s="25"/>
      <c r="G43" s="25"/>
      <c r="H43" s="23">
        <f t="shared" si="13"/>
        <v>4</v>
      </c>
      <c r="I43" s="11"/>
      <c r="K43" s="23">
        <v>3</v>
      </c>
      <c r="M43" s="23">
        <f t="shared" si="1"/>
        <v>1</v>
      </c>
      <c r="O43" s="23">
        <v>0</v>
      </c>
      <c r="Q43" s="239">
        <f t="shared" si="14"/>
        <v>3</v>
      </c>
    </row>
    <row r="44" spans="1:20" x14ac:dyDescent="0.25">
      <c r="A44" s="31" t="s">
        <v>54</v>
      </c>
      <c r="B44" s="25">
        <v>2</v>
      </c>
      <c r="C44" s="25"/>
      <c r="D44" s="25"/>
      <c r="E44" s="25"/>
      <c r="F44" s="25">
        <v>1</v>
      </c>
      <c r="G44" s="25">
        <v>0</v>
      </c>
      <c r="H44" s="23">
        <f t="shared" si="13"/>
        <v>3</v>
      </c>
      <c r="I44" s="11"/>
      <c r="K44" s="23">
        <v>3</v>
      </c>
      <c r="M44" s="23">
        <f t="shared" si="1"/>
        <v>0</v>
      </c>
      <c r="O44" s="23">
        <v>3</v>
      </c>
      <c r="Q44" s="239">
        <f t="shared" si="14"/>
        <v>0</v>
      </c>
    </row>
    <row r="45" spans="1:20" x14ac:dyDescent="0.25">
      <c r="A45" s="31" t="s">
        <v>55</v>
      </c>
      <c r="B45" s="25">
        <v>0</v>
      </c>
      <c r="C45" s="25"/>
      <c r="D45" s="25"/>
      <c r="E45" s="25"/>
      <c r="F45" s="25"/>
      <c r="G45" s="25"/>
      <c r="H45" s="23">
        <f t="shared" si="13"/>
        <v>0</v>
      </c>
      <c r="I45" s="11"/>
      <c r="K45" s="23"/>
      <c r="M45" s="23">
        <f t="shared" si="1"/>
        <v>0</v>
      </c>
      <c r="O45" s="23"/>
      <c r="Q45" s="239">
        <f t="shared" si="14"/>
        <v>0</v>
      </c>
    </row>
    <row r="46" spans="1:20" x14ac:dyDescent="0.25">
      <c r="A46" s="29" t="s">
        <v>56</v>
      </c>
      <c r="B46" s="25">
        <v>2</v>
      </c>
      <c r="C46" s="25"/>
      <c r="D46" s="25"/>
      <c r="E46" s="25"/>
      <c r="F46" s="25"/>
      <c r="G46" s="25"/>
      <c r="H46" s="23">
        <f t="shared" si="13"/>
        <v>2</v>
      </c>
      <c r="I46" s="11"/>
      <c r="K46" s="23">
        <v>2</v>
      </c>
      <c r="M46" s="23">
        <f t="shared" si="1"/>
        <v>0</v>
      </c>
      <c r="O46" s="23">
        <v>2</v>
      </c>
      <c r="Q46" s="239">
        <f t="shared" si="14"/>
        <v>0</v>
      </c>
      <c r="S46" s="22"/>
      <c r="T46" s="22"/>
    </row>
    <row r="47" spans="1:20" x14ac:dyDescent="0.25">
      <c r="A47" s="29" t="s">
        <v>57</v>
      </c>
      <c r="B47" s="25">
        <v>1</v>
      </c>
      <c r="C47" s="25"/>
      <c r="D47" s="25"/>
      <c r="E47" s="25"/>
      <c r="F47" s="25"/>
      <c r="G47" s="25"/>
      <c r="H47" s="23">
        <f t="shared" si="13"/>
        <v>1</v>
      </c>
      <c r="I47" s="11"/>
      <c r="K47" s="23">
        <v>1</v>
      </c>
      <c r="M47" s="23">
        <f t="shared" si="1"/>
        <v>0</v>
      </c>
      <c r="O47" s="23">
        <v>1</v>
      </c>
      <c r="Q47" s="239">
        <f t="shared" si="14"/>
        <v>0</v>
      </c>
    </row>
    <row r="48" spans="1:20" x14ac:dyDescent="0.25">
      <c r="A48" s="29" t="s">
        <v>58</v>
      </c>
      <c r="B48" s="25">
        <v>1</v>
      </c>
      <c r="C48" s="25"/>
      <c r="D48" s="25"/>
      <c r="E48" s="25"/>
      <c r="F48" s="25"/>
      <c r="G48" s="25"/>
      <c r="H48" s="23">
        <f t="shared" si="13"/>
        <v>1</v>
      </c>
      <c r="I48" s="11"/>
      <c r="K48" s="23">
        <v>1</v>
      </c>
      <c r="M48" s="23">
        <f t="shared" si="1"/>
        <v>0</v>
      </c>
      <c r="O48" s="23">
        <v>1</v>
      </c>
      <c r="Q48" s="239">
        <f t="shared" si="14"/>
        <v>0</v>
      </c>
      <c r="S48" s="22"/>
      <c r="T48" s="22"/>
    </row>
    <row r="49" spans="1:20" x14ac:dyDescent="0.25">
      <c r="A49" s="29" t="s">
        <v>59</v>
      </c>
      <c r="B49" s="25">
        <v>2</v>
      </c>
      <c r="C49" s="25"/>
      <c r="D49" s="25"/>
      <c r="E49" s="25"/>
      <c r="F49" s="25"/>
      <c r="G49" s="25"/>
      <c r="H49" s="23">
        <f t="shared" si="13"/>
        <v>2</v>
      </c>
      <c r="I49" s="11"/>
      <c r="K49" s="23">
        <v>2</v>
      </c>
      <c r="M49" s="23">
        <f t="shared" si="1"/>
        <v>0</v>
      </c>
      <c r="O49" s="23">
        <v>2</v>
      </c>
      <c r="Q49" s="239">
        <f t="shared" si="14"/>
        <v>0</v>
      </c>
      <c r="T49" s="32"/>
    </row>
    <row r="50" spans="1:20" x14ac:dyDescent="0.25">
      <c r="A50" s="29" t="s">
        <v>60</v>
      </c>
      <c r="B50" s="25">
        <v>10</v>
      </c>
      <c r="C50" s="25">
        <v>4</v>
      </c>
      <c r="D50" s="25"/>
      <c r="E50" s="25"/>
      <c r="F50" s="25">
        <v>8</v>
      </c>
      <c r="G50" s="25">
        <v>2</v>
      </c>
      <c r="H50" s="23">
        <f t="shared" si="13"/>
        <v>24</v>
      </c>
      <c r="I50" s="11"/>
      <c r="K50" s="23">
        <v>19</v>
      </c>
      <c r="M50" s="23">
        <f t="shared" si="1"/>
        <v>5</v>
      </c>
      <c r="O50" s="23">
        <v>18</v>
      </c>
      <c r="Q50" s="239">
        <f t="shared" si="14"/>
        <v>1</v>
      </c>
      <c r="S50" s="22"/>
      <c r="T50" s="22"/>
    </row>
    <row r="51" spans="1:20" x14ac:dyDescent="0.25">
      <c r="A51" s="29" t="s">
        <v>61</v>
      </c>
      <c r="B51" s="25">
        <v>4</v>
      </c>
      <c r="C51" s="25"/>
      <c r="D51" s="25"/>
      <c r="E51" s="25"/>
      <c r="F51" s="25"/>
      <c r="G51" s="25"/>
      <c r="H51" s="23">
        <f t="shared" si="13"/>
        <v>4</v>
      </c>
      <c r="I51" s="11"/>
      <c r="K51" s="23">
        <v>4</v>
      </c>
      <c r="M51" s="23">
        <f t="shared" si="1"/>
        <v>0</v>
      </c>
      <c r="O51" s="23">
        <v>4</v>
      </c>
      <c r="Q51" s="239">
        <f t="shared" si="14"/>
        <v>0</v>
      </c>
    </row>
    <row r="52" spans="1:20" x14ac:dyDescent="0.25">
      <c r="A52" s="29" t="s">
        <v>62</v>
      </c>
      <c r="B52" s="25"/>
      <c r="C52" s="25"/>
      <c r="D52" s="25">
        <v>4</v>
      </c>
      <c r="E52" s="25"/>
      <c r="F52" s="25"/>
      <c r="G52" s="25"/>
      <c r="H52" s="23">
        <f t="shared" si="13"/>
        <v>4</v>
      </c>
      <c r="I52" s="11"/>
      <c r="K52" s="23">
        <v>4</v>
      </c>
      <c r="M52" s="23">
        <f t="shared" si="1"/>
        <v>0</v>
      </c>
      <c r="O52" s="23">
        <v>4</v>
      </c>
      <c r="Q52" s="239">
        <f t="shared" si="14"/>
        <v>0</v>
      </c>
      <c r="S52" s="22"/>
      <c r="T52" s="22"/>
    </row>
    <row r="53" spans="1:20" x14ac:dyDescent="0.25">
      <c r="A53" s="29" t="s">
        <v>63</v>
      </c>
      <c r="B53" s="25">
        <v>1</v>
      </c>
      <c r="C53" s="25"/>
      <c r="D53" s="25"/>
      <c r="E53" s="25"/>
      <c r="F53" s="25"/>
      <c r="G53" s="25"/>
      <c r="H53" s="23">
        <f t="shared" si="13"/>
        <v>1</v>
      </c>
      <c r="I53" s="6"/>
      <c r="J53" s="60"/>
      <c r="K53" s="23">
        <v>1</v>
      </c>
      <c r="M53" s="23">
        <f t="shared" si="1"/>
        <v>0</v>
      </c>
      <c r="N53" s="60"/>
      <c r="O53" s="23">
        <v>0</v>
      </c>
      <c r="Q53" s="239">
        <f t="shared" si="14"/>
        <v>1</v>
      </c>
      <c r="R53" s="60"/>
    </row>
    <row r="54" spans="1:20" x14ac:dyDescent="0.25">
      <c r="A54" s="30" t="s">
        <v>64</v>
      </c>
      <c r="B54" s="25">
        <v>0</v>
      </c>
      <c r="C54" s="25">
        <v>1</v>
      </c>
      <c r="D54" s="25"/>
      <c r="E54" s="25"/>
      <c r="F54" s="25"/>
      <c r="G54" s="25"/>
      <c r="H54" s="23">
        <f t="shared" si="13"/>
        <v>1</v>
      </c>
      <c r="I54" s="6"/>
      <c r="J54" s="60"/>
      <c r="K54" s="23">
        <v>1</v>
      </c>
      <c r="M54" s="23">
        <f t="shared" si="1"/>
        <v>0</v>
      </c>
      <c r="N54" s="60"/>
      <c r="O54" s="23">
        <v>1</v>
      </c>
      <c r="Q54" s="239">
        <f t="shared" si="14"/>
        <v>0</v>
      </c>
      <c r="R54" s="60"/>
    </row>
    <row r="55" spans="1:20" x14ac:dyDescent="0.25">
      <c r="A55" s="30" t="s">
        <v>65</v>
      </c>
      <c r="B55" s="25"/>
      <c r="C55" s="25">
        <v>0</v>
      </c>
      <c r="D55" s="25"/>
      <c r="E55" s="25"/>
      <c r="F55" s="25"/>
      <c r="G55" s="25"/>
      <c r="H55" s="23">
        <f t="shared" si="13"/>
        <v>0</v>
      </c>
      <c r="I55" s="6"/>
      <c r="J55" s="60"/>
      <c r="K55" s="23">
        <v>0</v>
      </c>
      <c r="M55" s="23">
        <f t="shared" si="1"/>
        <v>0</v>
      </c>
      <c r="N55" s="60"/>
      <c r="O55" s="23">
        <v>0</v>
      </c>
      <c r="Q55" s="239">
        <f t="shared" si="14"/>
        <v>0</v>
      </c>
      <c r="R55" s="60"/>
    </row>
    <row r="56" spans="1:20" x14ac:dyDescent="0.25">
      <c r="A56" s="30" t="s">
        <v>66</v>
      </c>
      <c r="B56" s="25"/>
      <c r="C56" s="25">
        <v>0</v>
      </c>
      <c r="D56" s="25"/>
      <c r="E56" s="25"/>
      <c r="F56" s="25"/>
      <c r="G56" s="25"/>
      <c r="H56" s="23">
        <f t="shared" si="13"/>
        <v>0</v>
      </c>
      <c r="I56" s="6"/>
      <c r="J56" s="60"/>
      <c r="K56" s="23">
        <v>0</v>
      </c>
      <c r="M56" s="23">
        <f t="shared" si="1"/>
        <v>0</v>
      </c>
      <c r="N56" s="60"/>
      <c r="O56" s="23">
        <v>0</v>
      </c>
      <c r="Q56" s="239">
        <f t="shared" si="14"/>
        <v>0</v>
      </c>
      <c r="R56" s="60"/>
      <c r="S56" s="22"/>
      <c r="T56" s="22"/>
    </row>
    <row r="57" spans="1:20" x14ac:dyDescent="0.25">
      <c r="A57" s="30" t="s">
        <v>67</v>
      </c>
      <c r="B57" s="25"/>
      <c r="C57" s="25"/>
      <c r="D57" s="25"/>
      <c r="E57" s="25"/>
      <c r="F57" s="25"/>
      <c r="G57" s="25"/>
      <c r="H57" s="23">
        <f t="shared" si="13"/>
        <v>0</v>
      </c>
      <c r="I57" s="6"/>
      <c r="J57" s="60"/>
      <c r="K57" s="23">
        <v>0</v>
      </c>
      <c r="M57" s="23">
        <f t="shared" si="1"/>
        <v>0</v>
      </c>
      <c r="N57" s="60"/>
      <c r="O57" s="23">
        <v>0</v>
      </c>
      <c r="Q57" s="239">
        <f t="shared" si="14"/>
        <v>0</v>
      </c>
      <c r="R57" s="60"/>
    </row>
    <row r="58" spans="1:20" x14ac:dyDescent="0.25">
      <c r="A58" s="30" t="s">
        <v>68</v>
      </c>
      <c r="B58" s="25"/>
      <c r="C58" s="25"/>
      <c r="D58" s="25"/>
      <c r="E58" s="25"/>
      <c r="F58" s="25"/>
      <c r="G58" s="25"/>
      <c r="H58" s="23">
        <f t="shared" si="13"/>
        <v>0</v>
      </c>
      <c r="I58" s="6"/>
      <c r="J58" s="60"/>
      <c r="K58" s="23">
        <v>0</v>
      </c>
      <c r="M58" s="23">
        <f t="shared" si="1"/>
        <v>0</v>
      </c>
      <c r="N58" s="60"/>
      <c r="O58" s="23">
        <v>0</v>
      </c>
      <c r="Q58" s="239">
        <f t="shared" si="14"/>
        <v>0</v>
      </c>
      <c r="R58" s="60"/>
    </row>
    <row r="59" spans="1:20" x14ac:dyDescent="0.25">
      <c r="A59" s="30" t="s">
        <v>69</v>
      </c>
      <c r="B59" s="25">
        <v>2</v>
      </c>
      <c r="C59" s="25"/>
      <c r="D59" s="25"/>
      <c r="E59" s="25"/>
      <c r="F59" s="25"/>
      <c r="G59" s="25"/>
      <c r="H59" s="23">
        <f t="shared" si="13"/>
        <v>2</v>
      </c>
      <c r="I59" s="6"/>
      <c r="J59" s="60"/>
      <c r="K59" s="23">
        <v>2</v>
      </c>
      <c r="M59" s="23">
        <f t="shared" si="1"/>
        <v>0</v>
      </c>
      <c r="N59" s="60"/>
      <c r="O59" s="23">
        <v>2</v>
      </c>
      <c r="Q59" s="239">
        <f t="shared" si="14"/>
        <v>0</v>
      </c>
      <c r="R59" s="60"/>
    </row>
    <row r="60" spans="1:20" x14ac:dyDescent="0.25">
      <c r="A60" s="29" t="s">
        <v>70</v>
      </c>
      <c r="B60" s="23"/>
      <c r="C60" s="23"/>
      <c r="D60" s="23"/>
      <c r="E60" s="23"/>
      <c r="F60" s="23"/>
      <c r="G60" s="23"/>
      <c r="H60" s="23">
        <f t="shared" si="13"/>
        <v>0</v>
      </c>
      <c r="I60" s="6"/>
      <c r="J60" s="60"/>
      <c r="K60" s="23">
        <v>0</v>
      </c>
      <c r="M60" s="23">
        <f t="shared" si="1"/>
        <v>0</v>
      </c>
      <c r="N60" s="60"/>
      <c r="O60" s="23">
        <v>0</v>
      </c>
      <c r="Q60" s="239">
        <f t="shared" si="14"/>
        <v>0</v>
      </c>
      <c r="R60" s="60"/>
    </row>
    <row r="61" spans="1:20" x14ac:dyDescent="0.25">
      <c r="A61" s="21" t="s">
        <v>71</v>
      </c>
      <c r="B61" s="33">
        <f>SUM(B39:B60)</f>
        <v>35</v>
      </c>
      <c r="C61" s="33">
        <f>SUM(C39:C60)</f>
        <v>5</v>
      </c>
      <c r="D61" s="33">
        <f>SUM(D39:D60)</f>
        <v>4</v>
      </c>
      <c r="E61" s="33">
        <f t="shared" ref="E61:G61" si="15">SUM(E39:E60)</f>
        <v>0</v>
      </c>
      <c r="F61" s="33">
        <f t="shared" si="15"/>
        <v>10</v>
      </c>
      <c r="G61" s="33">
        <f t="shared" si="15"/>
        <v>2</v>
      </c>
      <c r="H61" s="33">
        <f>SUM(H39:H60)</f>
        <v>56</v>
      </c>
      <c r="I61" s="7"/>
      <c r="J61" s="7"/>
      <c r="K61" s="33">
        <v>50</v>
      </c>
      <c r="M61" s="33">
        <f t="shared" si="1"/>
        <v>6</v>
      </c>
      <c r="N61" s="7"/>
      <c r="O61" s="33">
        <v>44</v>
      </c>
      <c r="Q61" s="33">
        <f>SUM(Q39:Q60)</f>
        <v>6</v>
      </c>
      <c r="R61" s="7"/>
      <c r="S61" s="22"/>
      <c r="T61" s="22"/>
    </row>
    <row r="62" spans="1:20" ht="15.75" thickBot="1" x14ac:dyDescent="0.3">
      <c r="A62" s="34"/>
      <c r="B62" s="35"/>
      <c r="C62" s="35"/>
      <c r="D62" s="35"/>
      <c r="E62" s="35"/>
      <c r="F62" s="35"/>
      <c r="G62" s="35"/>
      <c r="H62" s="35"/>
      <c r="I62" s="7"/>
      <c r="J62" s="7"/>
      <c r="K62" s="35"/>
      <c r="M62" s="35">
        <f t="shared" si="1"/>
        <v>0</v>
      </c>
      <c r="N62" s="7"/>
      <c r="O62" s="35"/>
      <c r="Q62" s="35"/>
      <c r="R62" s="7"/>
    </row>
    <row r="63" spans="1:20" x14ac:dyDescent="0.25">
      <c r="A63" s="36" t="s">
        <v>72</v>
      </c>
      <c r="B63" s="37">
        <f>B36</f>
        <v>46</v>
      </c>
      <c r="C63" s="37">
        <f>C36</f>
        <v>6</v>
      </c>
      <c r="D63" s="37">
        <f>D36</f>
        <v>0</v>
      </c>
      <c r="E63" s="37">
        <f t="shared" ref="E63:G63" si="16">E36</f>
        <v>0</v>
      </c>
      <c r="F63" s="37">
        <f t="shared" si="16"/>
        <v>0</v>
      </c>
      <c r="G63" s="37">
        <f t="shared" si="16"/>
        <v>0</v>
      </c>
      <c r="H63" s="37">
        <f>H36</f>
        <v>52</v>
      </c>
      <c r="I63" s="7"/>
      <c r="J63" s="7"/>
      <c r="K63" s="37">
        <v>49</v>
      </c>
      <c r="M63" s="37">
        <f t="shared" si="1"/>
        <v>3</v>
      </c>
      <c r="N63" s="7"/>
      <c r="O63" s="37">
        <v>43</v>
      </c>
      <c r="Q63" s="37">
        <f>Q36</f>
        <v>6</v>
      </c>
      <c r="R63" s="7"/>
    </row>
    <row r="64" spans="1:20" x14ac:dyDescent="0.25">
      <c r="A64" s="38" t="s">
        <v>73</v>
      </c>
      <c r="B64" s="39">
        <f>B61</f>
        <v>35</v>
      </c>
      <c r="C64" s="39">
        <f t="shared" ref="C64:H64" si="17">C61</f>
        <v>5</v>
      </c>
      <c r="D64" s="39">
        <f t="shared" si="17"/>
        <v>4</v>
      </c>
      <c r="E64" s="39">
        <f t="shared" si="17"/>
        <v>0</v>
      </c>
      <c r="F64" s="39">
        <f t="shared" si="17"/>
        <v>10</v>
      </c>
      <c r="G64" s="39">
        <f t="shared" si="17"/>
        <v>2</v>
      </c>
      <c r="H64" s="39">
        <f t="shared" si="17"/>
        <v>56</v>
      </c>
      <c r="I64" s="7"/>
      <c r="J64" s="7"/>
      <c r="K64" s="39">
        <v>50</v>
      </c>
      <c r="M64" s="39">
        <f t="shared" si="1"/>
        <v>6</v>
      </c>
      <c r="N64" s="7"/>
      <c r="O64" s="39">
        <v>44</v>
      </c>
      <c r="Q64" s="39">
        <f t="shared" ref="Q64" si="18">Q61</f>
        <v>6</v>
      </c>
      <c r="R64" s="7"/>
    </row>
    <row r="65" spans="1:19" ht="15.75" thickBot="1" x14ac:dyDescent="0.3">
      <c r="A65" s="40" t="s">
        <v>74</v>
      </c>
      <c r="B65" s="41">
        <f>SUM(B63:B64)</f>
        <v>81</v>
      </c>
      <c r="C65" s="41">
        <f t="shared" ref="C65:H65" si="19">SUM(C63:C64)</f>
        <v>11</v>
      </c>
      <c r="D65" s="41">
        <f t="shared" si="19"/>
        <v>4</v>
      </c>
      <c r="E65" s="41">
        <f t="shared" si="19"/>
        <v>0</v>
      </c>
      <c r="F65" s="41">
        <f t="shared" si="19"/>
        <v>10</v>
      </c>
      <c r="G65" s="41">
        <f t="shared" si="19"/>
        <v>2</v>
      </c>
      <c r="H65" s="41">
        <f t="shared" si="19"/>
        <v>108</v>
      </c>
      <c r="I65" s="7"/>
      <c r="J65" s="7"/>
      <c r="K65" s="41">
        <v>99</v>
      </c>
      <c r="M65" s="41">
        <f t="shared" si="1"/>
        <v>9</v>
      </c>
      <c r="N65" s="7"/>
      <c r="O65" s="41">
        <v>87</v>
      </c>
      <c r="Q65" s="41">
        <f t="shared" ref="Q65" si="20">SUM(Q63:Q64)</f>
        <v>12</v>
      </c>
      <c r="R65" s="7"/>
    </row>
    <row r="66" spans="1:19" x14ac:dyDescent="0.25">
      <c r="A66" s="30"/>
      <c r="B66" s="42"/>
      <c r="C66" s="42"/>
      <c r="D66" s="42"/>
      <c r="E66" s="42"/>
      <c r="F66" s="42"/>
      <c r="G66" s="42"/>
      <c r="H66" s="42"/>
      <c r="I66" s="7"/>
      <c r="J66" s="7"/>
      <c r="K66" s="42"/>
      <c r="M66" s="42">
        <f t="shared" ref="M66:M129" si="21">H66-K66</f>
        <v>0</v>
      </c>
      <c r="N66" s="7"/>
      <c r="O66" s="42"/>
      <c r="Q66" s="42"/>
      <c r="R66" s="7"/>
    </row>
    <row r="67" spans="1:19" x14ac:dyDescent="0.25">
      <c r="A67" s="43" t="s">
        <v>75</v>
      </c>
      <c r="B67" s="44"/>
      <c r="C67" s="44"/>
      <c r="D67" s="44"/>
      <c r="E67" s="44"/>
      <c r="F67" s="44"/>
      <c r="G67" s="44"/>
      <c r="H67" s="45">
        <f>H142/(H211+H213+H214+H215+H216+H217)</f>
        <v>0.60587433769513366</v>
      </c>
      <c r="I67" s="7"/>
      <c r="J67" s="7"/>
      <c r="K67" s="45">
        <v>0.60327430805635662</v>
      </c>
      <c r="M67" s="45">
        <f t="shared" si="21"/>
        <v>2.600029638777035E-3</v>
      </c>
      <c r="N67" s="7"/>
      <c r="O67" s="45">
        <v>0.62918381405288326</v>
      </c>
      <c r="Q67" s="45">
        <f>Q142/(Q211+Q213+Q214+Q215+Q216+Q217)</f>
        <v>0.50335042492006699</v>
      </c>
      <c r="R67" s="7"/>
    </row>
    <row r="68" spans="1:19" x14ac:dyDescent="0.25">
      <c r="A68" s="43" t="s">
        <v>76</v>
      </c>
      <c r="B68" s="44"/>
      <c r="C68" s="44"/>
      <c r="D68" s="44"/>
      <c r="E68" s="44"/>
      <c r="F68" s="44"/>
      <c r="G68" s="44"/>
      <c r="H68" s="45">
        <f>(H114+H115+H118+H128)/H132</f>
        <v>0.67511229435161679</v>
      </c>
      <c r="I68" s="7"/>
      <c r="J68" s="7"/>
      <c r="K68" s="45">
        <v>0.66456875350232347</v>
      </c>
      <c r="M68" s="45">
        <f t="shared" si="21"/>
        <v>1.054354084929332E-2</v>
      </c>
      <c r="N68" s="7"/>
      <c r="O68" s="45">
        <v>0.68817150504684121</v>
      </c>
      <c r="Q68" s="45">
        <f>(Q114+Q115+Q118+Q128)/Q132</f>
        <v>0.54822591293772649</v>
      </c>
      <c r="R68" s="7"/>
    </row>
    <row r="69" spans="1:19" x14ac:dyDescent="0.25">
      <c r="A69" s="43" t="s">
        <v>77</v>
      </c>
      <c r="B69" s="44"/>
      <c r="C69" s="44"/>
      <c r="D69" s="44"/>
      <c r="E69" s="44"/>
      <c r="F69" s="44"/>
      <c r="G69" s="44"/>
      <c r="H69" s="45">
        <f>(H107+H108+H109+H112+H116+H117+H119+H120++H123+H124+H125+H126+H127+H129+H130)/H132</f>
        <v>0.26165126966242419</v>
      </c>
      <c r="I69" s="7"/>
      <c r="J69" s="7"/>
      <c r="K69" s="45">
        <v>0.28092445771659119</v>
      </c>
      <c r="M69" s="45">
        <f t="shared" si="21"/>
        <v>-1.9273188054167001E-2</v>
      </c>
      <c r="N69" s="7"/>
      <c r="O69" s="45">
        <v>0.29172689701013299</v>
      </c>
      <c r="Q69" s="45">
        <f>(Q132-(Q114+Q115+Q118+Q128))/Q132</f>
        <v>0.45177408706227357</v>
      </c>
      <c r="R69" s="7"/>
    </row>
    <row r="70" spans="1:19" x14ac:dyDescent="0.25">
      <c r="A70" s="43" t="s">
        <v>78</v>
      </c>
      <c r="B70" s="44"/>
      <c r="C70" s="44"/>
      <c r="D70" s="44"/>
      <c r="E70" s="44"/>
      <c r="F70" s="44"/>
      <c r="G70" s="44"/>
      <c r="H70" s="45">
        <f>(H213+H214+H215+H216)/(H97)</f>
        <v>0.13341315386401106</v>
      </c>
      <c r="I70" s="7"/>
      <c r="J70" s="7"/>
      <c r="K70" s="45">
        <v>0.14130467314577691</v>
      </c>
      <c r="M70" s="45">
        <f t="shared" si="21"/>
        <v>-7.8915192817658464E-3</v>
      </c>
      <c r="N70" s="7"/>
      <c r="O70" s="45">
        <v>0</v>
      </c>
      <c r="Q70" s="45">
        <f>(Q213+Q214+Q215+Q216)/(Q97)</f>
        <v>0.27936304670151574</v>
      </c>
      <c r="R70" s="7"/>
    </row>
    <row r="71" spans="1:19" ht="15.75" thickBot="1" x14ac:dyDescent="0.3">
      <c r="B71" s="42"/>
      <c r="C71" s="42"/>
      <c r="D71" s="42"/>
      <c r="E71" s="42"/>
      <c r="F71" s="42"/>
      <c r="G71" s="42"/>
      <c r="H71" s="42"/>
      <c r="I71" s="18"/>
      <c r="J71" s="7"/>
      <c r="K71" s="42"/>
      <c r="M71" s="42">
        <f t="shared" si="21"/>
        <v>0</v>
      </c>
      <c r="N71" s="7"/>
      <c r="O71" s="42"/>
      <c r="Q71" s="42"/>
      <c r="R71" s="7"/>
    </row>
    <row r="72" spans="1:19" ht="15.75" thickBot="1" x14ac:dyDescent="0.3">
      <c r="A72" s="46" t="s">
        <v>79</v>
      </c>
      <c r="B72" s="47" t="str">
        <f>B1</f>
        <v>Operating</v>
      </c>
      <c r="C72" s="47" t="str">
        <f>C1</f>
        <v>SPED</v>
      </c>
      <c r="D72" s="47" t="str">
        <f>D1</f>
        <v>NSLP</v>
      </c>
      <c r="E72" s="47" t="str">
        <f t="shared" ref="E72:G72" si="22">E1</f>
        <v>Other</v>
      </c>
      <c r="F72" s="47" t="str">
        <f t="shared" si="22"/>
        <v>Title I</v>
      </c>
      <c r="G72" s="47" t="str">
        <f t="shared" si="22"/>
        <v>Title II/III/IV</v>
      </c>
      <c r="H72" s="47" t="str">
        <f>H1</f>
        <v>Total (24-25)</v>
      </c>
      <c r="I72" s="18"/>
      <c r="J72" s="7"/>
      <c r="K72" s="47" t="s">
        <v>7</v>
      </c>
      <c r="M72" s="47" t="str">
        <f>M1</f>
        <v>Variance</v>
      </c>
      <c r="N72" s="7"/>
      <c r="O72" s="47" t="s">
        <v>30</v>
      </c>
      <c r="Q72" s="47" t="str">
        <f>Q1</f>
        <v>Variance</v>
      </c>
      <c r="R72" s="7"/>
    </row>
    <row r="73" spans="1:19" x14ac:dyDescent="0.25">
      <c r="A73" s="48" t="s">
        <v>80</v>
      </c>
      <c r="B73" s="49"/>
      <c r="C73" s="49"/>
      <c r="D73" s="49"/>
      <c r="E73" s="49"/>
      <c r="F73" s="49"/>
      <c r="G73" s="49"/>
      <c r="H73" s="50"/>
      <c r="I73" s="16"/>
      <c r="J73" s="7"/>
      <c r="K73" s="50"/>
      <c r="M73" s="50">
        <f t="shared" si="21"/>
        <v>0</v>
      </c>
      <c r="N73" s="7"/>
      <c r="O73" s="50"/>
      <c r="Q73" s="50"/>
      <c r="R73" s="7"/>
    </row>
    <row r="74" spans="1:19" x14ac:dyDescent="0.25">
      <c r="A74" s="30" t="s">
        <v>81</v>
      </c>
      <c r="B74" s="51">
        <f>(B2*B3)</f>
        <v>9978840</v>
      </c>
      <c r="C74" s="51"/>
      <c r="D74" s="51"/>
      <c r="E74" s="51"/>
      <c r="F74" s="51"/>
      <c r="G74" s="51"/>
      <c r="H74" s="52">
        <f t="shared" ref="H74:H79" si="23">SUM(B74:G74)</f>
        <v>9978840</v>
      </c>
      <c r="I74" s="11"/>
      <c r="K74" s="52">
        <v>9639936</v>
      </c>
      <c r="M74" s="52">
        <f t="shared" si="21"/>
        <v>338904</v>
      </c>
      <c r="O74" s="52">
        <v>7979740</v>
      </c>
      <c r="Q74" s="52">
        <f t="shared" ref="Q74:Q79" si="24">K74-O74</f>
        <v>1660196</v>
      </c>
    </row>
    <row r="75" spans="1:19" x14ac:dyDescent="0.25">
      <c r="A75" s="30" t="s">
        <v>82</v>
      </c>
      <c r="B75" s="35">
        <v>1169214</v>
      </c>
      <c r="C75" s="35"/>
      <c r="D75" s="35"/>
      <c r="E75" s="35"/>
      <c r="F75" s="35"/>
      <c r="G75" s="35"/>
      <c r="H75" s="5">
        <f t="shared" si="23"/>
        <v>1169214</v>
      </c>
      <c r="I75" s="6">
        <v>4236</v>
      </c>
      <c r="J75" s="60"/>
      <c r="K75" s="5">
        <v>1169136</v>
      </c>
      <c r="M75" s="5">
        <f t="shared" si="21"/>
        <v>78</v>
      </c>
      <c r="N75" s="60"/>
      <c r="O75" s="5">
        <v>972194</v>
      </c>
      <c r="Q75" s="52">
        <f t="shared" si="24"/>
        <v>196942</v>
      </c>
      <c r="R75" s="60"/>
      <c r="S75" s="53"/>
    </row>
    <row r="76" spans="1:19" x14ac:dyDescent="0.25">
      <c r="A76" s="30" t="s">
        <v>83</v>
      </c>
      <c r="B76" s="5">
        <f>1075*B22</f>
        <v>0</v>
      </c>
      <c r="C76" s="5"/>
      <c r="D76" s="5"/>
      <c r="E76" s="5"/>
      <c r="F76" s="5"/>
      <c r="G76" s="5"/>
      <c r="H76" s="5">
        <f t="shared" si="23"/>
        <v>0</v>
      </c>
      <c r="I76" s="6">
        <v>1129</v>
      </c>
      <c r="J76" s="60"/>
      <c r="K76" s="5">
        <v>0</v>
      </c>
      <c r="M76" s="5">
        <f t="shared" si="21"/>
        <v>0</v>
      </c>
      <c r="N76" s="60"/>
      <c r="O76" s="5">
        <v>0</v>
      </c>
      <c r="Q76" s="52">
        <f t="shared" si="24"/>
        <v>0</v>
      </c>
      <c r="R76" s="60"/>
      <c r="S76" s="53"/>
    </row>
    <row r="77" spans="1:19" x14ac:dyDescent="0.25">
      <c r="A77" s="30" t="s">
        <v>84</v>
      </c>
      <c r="B77" s="10">
        <v>332784</v>
      </c>
      <c r="C77" s="5"/>
      <c r="D77" s="35"/>
      <c r="E77" s="5"/>
      <c r="F77" s="5"/>
      <c r="G77" s="5"/>
      <c r="H77" s="5">
        <f t="shared" si="23"/>
        <v>332784</v>
      </c>
      <c r="I77" s="6">
        <v>3295</v>
      </c>
      <c r="K77" s="5">
        <v>332795</v>
      </c>
      <c r="M77" s="5">
        <f t="shared" si="21"/>
        <v>-11</v>
      </c>
      <c r="O77" s="5">
        <v>153762</v>
      </c>
      <c r="Q77" s="52">
        <f t="shared" si="24"/>
        <v>179033</v>
      </c>
    </row>
    <row r="78" spans="1:19" x14ac:dyDescent="0.25">
      <c r="A78" s="30" t="s">
        <v>85</v>
      </c>
      <c r="B78" s="35"/>
      <c r="C78" s="35">
        <v>257689</v>
      </c>
      <c r="D78" s="35"/>
      <c r="E78" s="35"/>
      <c r="F78" s="35"/>
      <c r="G78" s="35"/>
      <c r="H78" s="35">
        <f t="shared" si="23"/>
        <v>257689</v>
      </c>
      <c r="I78" s="6"/>
      <c r="J78" s="129"/>
      <c r="K78" s="35">
        <v>257639</v>
      </c>
      <c r="M78" s="35">
        <f t="shared" si="21"/>
        <v>50</v>
      </c>
      <c r="N78" s="129"/>
      <c r="O78" s="35">
        <v>257639</v>
      </c>
      <c r="Q78" s="52">
        <f t="shared" si="24"/>
        <v>0</v>
      </c>
      <c r="R78" s="129"/>
      <c r="S78" s="16"/>
    </row>
    <row r="79" spans="1:19" x14ac:dyDescent="0.25">
      <c r="A79" s="30" t="s">
        <v>86</v>
      </c>
      <c r="B79" s="35">
        <v>0</v>
      </c>
      <c r="C79" s="35">
        <f>3890.1*C20</f>
        <v>299537.7</v>
      </c>
      <c r="D79" s="35">
        <f>B79/12</f>
        <v>0</v>
      </c>
      <c r="E79" s="35"/>
      <c r="F79" s="35"/>
      <c r="G79" s="35"/>
      <c r="H79" s="35">
        <f t="shared" si="23"/>
        <v>299537.7</v>
      </c>
      <c r="I79" s="6">
        <f>299537.67/H20</f>
        <v>3890.09961038961</v>
      </c>
      <c r="J79" s="129"/>
      <c r="K79" s="35">
        <v>295680</v>
      </c>
      <c r="M79" s="35">
        <f t="shared" si="21"/>
        <v>3857.7000000000116</v>
      </c>
      <c r="N79" s="129"/>
      <c r="O79" s="35">
        <v>226855</v>
      </c>
      <c r="Q79" s="52">
        <f t="shared" si="24"/>
        <v>68825</v>
      </c>
      <c r="R79" s="129"/>
      <c r="S79" s="16"/>
    </row>
    <row r="80" spans="1:19" x14ac:dyDescent="0.25">
      <c r="A80" s="55" t="s">
        <v>87</v>
      </c>
      <c r="B80" s="56">
        <f>SUM(B74:B79)</f>
        <v>11480838</v>
      </c>
      <c r="C80" s="56">
        <f>SUM(C74:C79)</f>
        <v>557226.69999999995</v>
      </c>
      <c r="D80" s="56">
        <f>SUM(D74:D79)</f>
        <v>0</v>
      </c>
      <c r="E80" s="56"/>
      <c r="F80" s="56"/>
      <c r="G80" s="56"/>
      <c r="H80" s="56">
        <f>SUM(H74:H79)</f>
        <v>12038064.699999999</v>
      </c>
      <c r="I80" s="7"/>
      <c r="J80" s="7"/>
      <c r="K80" s="56">
        <v>11695186</v>
      </c>
      <c r="M80" s="56">
        <f t="shared" si="21"/>
        <v>342878.69999999925</v>
      </c>
      <c r="N80" s="7"/>
      <c r="O80" s="56">
        <v>9590190</v>
      </c>
      <c r="Q80" s="56">
        <f>SUM(Q74:Q79)</f>
        <v>2104996</v>
      </c>
      <c r="R80" s="7"/>
    </row>
    <row r="81" spans="1:19" x14ac:dyDescent="0.25">
      <c r="A81" s="57" t="s">
        <v>88</v>
      </c>
      <c r="B81" s="49"/>
      <c r="C81" s="49"/>
      <c r="D81" s="49"/>
      <c r="E81" s="49"/>
      <c r="F81" s="49"/>
      <c r="G81" s="49"/>
      <c r="H81" s="50"/>
      <c r="I81" s="7"/>
      <c r="J81" s="7"/>
      <c r="K81" s="50"/>
      <c r="M81" s="50">
        <f t="shared" si="21"/>
        <v>0</v>
      </c>
      <c r="N81" s="7"/>
      <c r="O81" s="50"/>
      <c r="Q81" s="50"/>
      <c r="R81" s="7"/>
    </row>
    <row r="82" spans="1:19" x14ac:dyDescent="0.25">
      <c r="A82" s="30" t="s">
        <v>89</v>
      </c>
      <c r="B82" s="5"/>
      <c r="C82" s="5">
        <v>90161.34</v>
      </c>
      <c r="D82" s="5"/>
      <c r="E82" s="5"/>
      <c r="F82" s="5"/>
      <c r="G82" s="5"/>
      <c r="H82" s="5">
        <f t="shared" ref="H82:H89" si="25">SUM(B82:G82)</f>
        <v>90161.34</v>
      </c>
      <c r="I82" s="6">
        <f>H82/H20</f>
        <v>1170.9264935064934</v>
      </c>
      <c r="J82" s="60"/>
      <c r="K82" s="5">
        <v>84021.92</v>
      </c>
      <c r="M82" s="5">
        <f t="shared" si="21"/>
        <v>6139.4199999999983</v>
      </c>
      <c r="N82" s="60"/>
      <c r="O82" s="5">
        <v>75933</v>
      </c>
      <c r="Q82" s="52">
        <f t="shared" ref="Q82:Q89" si="26">K82-O82</f>
        <v>8088.9199999999983</v>
      </c>
      <c r="R82" s="60"/>
      <c r="S82" s="53"/>
    </row>
    <row r="83" spans="1:19" x14ac:dyDescent="0.25">
      <c r="A83" s="30" t="s">
        <v>90</v>
      </c>
      <c r="B83" s="5"/>
      <c r="C83" s="5"/>
      <c r="D83" s="10">
        <f>((B17*D23*0.5)*2.28*180)</f>
        <v>217511.99999999997</v>
      </c>
      <c r="E83" s="5"/>
      <c r="F83" s="5"/>
      <c r="G83" s="5"/>
      <c r="H83" s="5">
        <f t="shared" si="25"/>
        <v>217511.99999999997</v>
      </c>
      <c r="I83" s="58">
        <v>2.2799999999999998</v>
      </c>
      <c r="J83" s="130"/>
      <c r="K83" s="5">
        <v>210124.79999999999</v>
      </c>
      <c r="M83" s="5">
        <f t="shared" si="21"/>
        <v>7387.1999999999825</v>
      </c>
      <c r="N83" s="130"/>
      <c r="O83" s="5">
        <v>218672.99999999997</v>
      </c>
      <c r="Q83" s="52">
        <f t="shared" si="26"/>
        <v>-8548.1999999999825</v>
      </c>
      <c r="R83" s="130"/>
      <c r="S83" s="59"/>
    </row>
    <row r="84" spans="1:19" x14ac:dyDescent="0.25">
      <c r="A84" s="30" t="s">
        <v>91</v>
      </c>
      <c r="B84" s="35"/>
      <c r="C84" s="35"/>
      <c r="D84" s="10">
        <f>((B17*D23*0.5)*4.33*180)</f>
        <v>413082</v>
      </c>
      <c r="E84" s="35"/>
      <c r="F84" s="35"/>
      <c r="G84" s="35"/>
      <c r="H84" s="5">
        <f t="shared" si="25"/>
        <v>413082</v>
      </c>
      <c r="I84" s="58">
        <v>4.33</v>
      </c>
      <c r="J84" s="130"/>
      <c r="K84" s="5">
        <v>399052.79999999999</v>
      </c>
      <c r="M84" s="5">
        <f t="shared" si="21"/>
        <v>14029.200000000012</v>
      </c>
      <c r="N84" s="130"/>
      <c r="O84" s="5">
        <v>354042</v>
      </c>
      <c r="Q84" s="52">
        <f t="shared" si="26"/>
        <v>45010.799999999988</v>
      </c>
      <c r="R84" s="130"/>
      <c r="S84" s="59"/>
    </row>
    <row r="85" spans="1:19" x14ac:dyDescent="0.25">
      <c r="A85" s="30" t="s">
        <v>5</v>
      </c>
      <c r="B85" s="35"/>
      <c r="C85" s="35"/>
      <c r="D85" s="35"/>
      <c r="E85" s="135"/>
      <c r="F85" s="135">
        <v>486621.51</v>
      </c>
      <c r="G85" s="135"/>
      <c r="H85" s="5">
        <f t="shared" si="25"/>
        <v>486621.51</v>
      </c>
      <c r="I85" s="6"/>
      <c r="J85" s="60"/>
      <c r="K85" s="5">
        <v>449515.49</v>
      </c>
      <c r="M85" s="5">
        <f t="shared" si="21"/>
        <v>37106.020000000019</v>
      </c>
      <c r="N85" s="60"/>
      <c r="O85" s="5">
        <v>419735.34</v>
      </c>
      <c r="Q85" s="52">
        <f t="shared" si="26"/>
        <v>29780.149999999965</v>
      </c>
      <c r="R85" s="60"/>
      <c r="S85" s="53"/>
    </row>
    <row r="86" spans="1:19" x14ac:dyDescent="0.25">
      <c r="A86" s="30" t="s">
        <v>92</v>
      </c>
      <c r="B86" s="35"/>
      <c r="C86" s="35"/>
      <c r="D86" s="35"/>
      <c r="E86" s="135"/>
      <c r="F86" s="135"/>
      <c r="G86" s="135">
        <v>42068.59</v>
      </c>
      <c r="H86" s="5">
        <f t="shared" si="25"/>
        <v>42068.59</v>
      </c>
      <c r="I86" s="6"/>
      <c r="J86" s="60"/>
      <c r="K86" s="5">
        <v>123648.18</v>
      </c>
      <c r="M86" s="5">
        <f t="shared" si="21"/>
        <v>-81579.59</v>
      </c>
      <c r="N86" s="60"/>
      <c r="O86" s="5">
        <v>119603.29</v>
      </c>
      <c r="Q86" s="52">
        <f t="shared" si="26"/>
        <v>4044.8899999999994</v>
      </c>
      <c r="R86" s="60"/>
      <c r="S86" s="53"/>
    </row>
    <row r="87" spans="1:19" x14ac:dyDescent="0.25">
      <c r="A87" s="30" t="s">
        <v>93</v>
      </c>
      <c r="B87" s="35"/>
      <c r="C87" s="35"/>
      <c r="D87" s="35"/>
      <c r="E87" s="135"/>
      <c r="F87" s="135"/>
      <c r="G87" s="135">
        <v>51752.33</v>
      </c>
      <c r="H87" s="5">
        <f t="shared" si="25"/>
        <v>51752.33</v>
      </c>
      <c r="I87" s="6"/>
      <c r="J87" s="60"/>
      <c r="K87" s="5">
        <v>44196.82</v>
      </c>
      <c r="M87" s="5">
        <f t="shared" si="21"/>
        <v>7555.510000000002</v>
      </c>
      <c r="N87" s="60"/>
      <c r="O87" s="5">
        <v>46380.13</v>
      </c>
      <c r="Q87" s="52">
        <f t="shared" si="26"/>
        <v>-2183.3099999999977</v>
      </c>
      <c r="R87" s="60"/>
      <c r="S87" s="53"/>
    </row>
    <row r="88" spans="1:19" x14ac:dyDescent="0.25">
      <c r="A88" s="30" t="s">
        <v>94</v>
      </c>
      <c r="B88" s="35"/>
      <c r="C88" s="35"/>
      <c r="D88" s="35"/>
      <c r="E88" s="35"/>
      <c r="F88" s="35"/>
      <c r="G88" s="35">
        <v>34661.18</v>
      </c>
      <c r="H88" s="5">
        <f t="shared" si="25"/>
        <v>34661.18</v>
      </c>
      <c r="I88" s="6"/>
      <c r="J88" s="60"/>
      <c r="K88" s="5">
        <v>30624.400000000001</v>
      </c>
      <c r="M88" s="5">
        <f t="shared" si="21"/>
        <v>4036.7799999999988</v>
      </c>
      <c r="N88" s="60"/>
      <c r="O88" s="5">
        <v>0</v>
      </c>
      <c r="Q88" s="52">
        <f t="shared" si="26"/>
        <v>30624.400000000001</v>
      </c>
      <c r="R88" s="60"/>
      <c r="S88" s="53"/>
    </row>
    <row r="89" spans="1:19" x14ac:dyDescent="0.25">
      <c r="A89" s="30" t="s">
        <v>95</v>
      </c>
      <c r="B89" s="35">
        <v>322000</v>
      </c>
      <c r="C89" s="35"/>
      <c r="D89" s="35"/>
      <c r="E89" s="35">
        <v>0</v>
      </c>
      <c r="F89" s="35"/>
      <c r="G89" s="35"/>
      <c r="H89" s="5">
        <f t="shared" si="25"/>
        <v>322000</v>
      </c>
      <c r="I89" s="6"/>
      <c r="J89" s="60"/>
      <c r="K89" s="5">
        <v>0</v>
      </c>
      <c r="M89" s="5">
        <f t="shared" si="21"/>
        <v>322000</v>
      </c>
      <c r="N89" s="60"/>
      <c r="O89" s="5"/>
      <c r="Q89" s="52">
        <f t="shared" si="26"/>
        <v>0</v>
      </c>
      <c r="R89" s="60"/>
      <c r="S89" s="53"/>
    </row>
    <row r="90" spans="1:19" x14ac:dyDescent="0.25">
      <c r="A90" s="55" t="s">
        <v>96</v>
      </c>
      <c r="B90" s="56">
        <f t="shared" ref="B90:H90" si="27">SUM(B82:B89)</f>
        <v>322000</v>
      </c>
      <c r="C90" s="56">
        <f t="shared" si="27"/>
        <v>90161.34</v>
      </c>
      <c r="D90" s="56">
        <f t="shared" si="27"/>
        <v>630594</v>
      </c>
      <c r="E90" s="56">
        <f t="shared" si="27"/>
        <v>0</v>
      </c>
      <c r="F90" s="56">
        <f t="shared" si="27"/>
        <v>486621.51</v>
      </c>
      <c r="G90" s="56">
        <f t="shared" si="27"/>
        <v>128482.1</v>
      </c>
      <c r="H90" s="56">
        <f t="shared" si="27"/>
        <v>1657858.9500000002</v>
      </c>
      <c r="I90" s="7"/>
      <c r="J90" s="7"/>
      <c r="K90" s="56">
        <v>1341184.4099999999</v>
      </c>
      <c r="M90" s="56">
        <f t="shared" si="21"/>
        <v>316674.54000000027</v>
      </c>
      <c r="N90" s="7"/>
      <c r="O90" s="56">
        <v>1234366.76</v>
      </c>
      <c r="Q90" s="56">
        <f t="shared" ref="Q90" si="28">SUM(Q82:Q88)</f>
        <v>106817.64999999997</v>
      </c>
      <c r="R90" s="7"/>
    </row>
    <row r="91" spans="1:19" x14ac:dyDescent="0.25">
      <c r="A91" s="57" t="s">
        <v>97</v>
      </c>
      <c r="B91" s="49"/>
      <c r="C91" s="49"/>
      <c r="D91" s="49"/>
      <c r="E91" s="49"/>
      <c r="F91" s="49"/>
      <c r="G91" s="49"/>
      <c r="H91" s="50"/>
      <c r="I91" s="7"/>
      <c r="J91" s="7"/>
      <c r="K91" s="50"/>
      <c r="M91" s="50">
        <f t="shared" si="21"/>
        <v>0</v>
      </c>
      <c r="N91" s="7"/>
      <c r="O91" s="50"/>
      <c r="Q91" s="50"/>
      <c r="R91" s="7"/>
    </row>
    <row r="92" spans="1:19" x14ac:dyDescent="0.25">
      <c r="A92" s="30" t="s">
        <v>98</v>
      </c>
      <c r="B92" s="5"/>
      <c r="C92" s="5"/>
      <c r="D92" s="5"/>
      <c r="E92" s="5"/>
      <c r="F92" s="5"/>
      <c r="G92" s="5"/>
      <c r="H92" s="5">
        <f>SUM(B92:G92)</f>
        <v>0</v>
      </c>
      <c r="I92" s="11"/>
      <c r="K92" s="5">
        <v>0</v>
      </c>
      <c r="M92" s="5">
        <f t="shared" si="21"/>
        <v>0</v>
      </c>
      <c r="O92" s="5">
        <v>0</v>
      </c>
      <c r="Q92" s="52">
        <f t="shared" ref="Q92:Q95" si="29">K92-O92</f>
        <v>0</v>
      </c>
    </row>
    <row r="93" spans="1:19" x14ac:dyDescent="0.25">
      <c r="A93" s="30" t="s">
        <v>99</v>
      </c>
      <c r="B93" s="10"/>
      <c r="C93" s="10"/>
      <c r="D93" s="10"/>
      <c r="E93" s="10">
        <v>200000</v>
      </c>
      <c r="F93" s="10"/>
      <c r="G93" s="10"/>
      <c r="H93" s="5">
        <f>SUM(B93:G93)</f>
        <v>200000</v>
      </c>
      <c r="I93" s="11"/>
      <c r="K93" s="5">
        <v>83500</v>
      </c>
      <c r="M93" s="5">
        <f t="shared" si="21"/>
        <v>116500</v>
      </c>
      <c r="O93" s="5">
        <v>83500</v>
      </c>
      <c r="Q93" s="52">
        <f t="shared" si="29"/>
        <v>0</v>
      </c>
    </row>
    <row r="94" spans="1:19" x14ac:dyDescent="0.25">
      <c r="A94" s="30" t="s">
        <v>100</v>
      </c>
      <c r="B94" s="35"/>
      <c r="C94" s="35"/>
      <c r="D94" s="35"/>
      <c r="E94" s="35"/>
      <c r="F94" s="35"/>
      <c r="G94" s="35"/>
      <c r="H94" s="35">
        <f>SUM(B94:G94)</f>
        <v>0</v>
      </c>
      <c r="I94" s="11"/>
      <c r="K94" s="35">
        <v>0</v>
      </c>
      <c r="M94" s="35">
        <f t="shared" si="21"/>
        <v>0</v>
      </c>
      <c r="O94" s="35">
        <v>0</v>
      </c>
      <c r="Q94" s="52">
        <f t="shared" si="29"/>
        <v>0</v>
      </c>
    </row>
    <row r="95" spans="1:19" x14ac:dyDescent="0.25">
      <c r="A95" s="30" t="s">
        <v>101</v>
      </c>
      <c r="B95" s="35"/>
      <c r="C95" s="35"/>
      <c r="D95" s="35"/>
      <c r="E95" s="35"/>
      <c r="F95" s="35"/>
      <c r="G95" s="35"/>
      <c r="H95" s="35">
        <f>SUM(B95:G95)</f>
        <v>0</v>
      </c>
      <c r="I95" s="11"/>
      <c r="K95" s="35">
        <v>0</v>
      </c>
      <c r="M95" s="35">
        <f t="shared" si="21"/>
        <v>0</v>
      </c>
      <c r="O95" s="35">
        <v>0</v>
      </c>
      <c r="Q95" s="52">
        <f t="shared" si="29"/>
        <v>0</v>
      </c>
    </row>
    <row r="96" spans="1:19" x14ac:dyDescent="0.25">
      <c r="A96" s="55" t="s">
        <v>102</v>
      </c>
      <c r="B96" s="56">
        <f>SUM(B92:B95)</f>
        <v>0</v>
      </c>
      <c r="C96" s="56">
        <f t="shared" ref="C96:G96" si="30">SUM(C92:C95)</f>
        <v>0</v>
      </c>
      <c r="D96" s="56">
        <f t="shared" si="30"/>
        <v>0</v>
      </c>
      <c r="E96" s="56">
        <f t="shared" si="30"/>
        <v>200000</v>
      </c>
      <c r="F96" s="56">
        <f t="shared" si="30"/>
        <v>0</v>
      </c>
      <c r="G96" s="56">
        <f t="shared" si="30"/>
        <v>0</v>
      </c>
      <c r="H96" s="56">
        <f>SUM(H92:H95)</f>
        <v>200000</v>
      </c>
      <c r="I96" s="7"/>
      <c r="J96" s="7"/>
      <c r="K96" s="56">
        <v>83500</v>
      </c>
      <c r="M96" s="56">
        <f t="shared" si="21"/>
        <v>116500</v>
      </c>
      <c r="N96" s="7"/>
      <c r="O96" s="56">
        <v>83500</v>
      </c>
      <c r="Q96" s="56">
        <f>SUM(Q92:Q95)</f>
        <v>0</v>
      </c>
      <c r="R96" s="7"/>
    </row>
    <row r="97" spans="1:18" x14ac:dyDescent="0.25">
      <c r="A97" s="62" t="s">
        <v>103</v>
      </c>
      <c r="B97" s="63">
        <f>B80+B90+B96</f>
        <v>11802838</v>
      </c>
      <c r="C97" s="63">
        <f t="shared" ref="C97:H97" si="31">C80+C90+C96</f>
        <v>647388.03999999992</v>
      </c>
      <c r="D97" s="63">
        <f t="shared" si="31"/>
        <v>630594</v>
      </c>
      <c r="E97" s="63">
        <f t="shared" si="31"/>
        <v>200000</v>
      </c>
      <c r="F97" s="63">
        <f t="shared" si="31"/>
        <v>486621.51</v>
      </c>
      <c r="G97" s="63">
        <f t="shared" si="31"/>
        <v>128482.1</v>
      </c>
      <c r="H97" s="63">
        <f t="shared" si="31"/>
        <v>13895923.649999999</v>
      </c>
      <c r="I97" s="7"/>
      <c r="J97" s="7"/>
      <c r="K97" s="63">
        <v>13119870.41</v>
      </c>
      <c r="M97" s="63">
        <f t="shared" si="21"/>
        <v>776053.23999999836</v>
      </c>
      <c r="N97" s="7"/>
      <c r="O97" s="63">
        <v>10908056.76</v>
      </c>
      <c r="Q97" s="63">
        <f t="shared" ref="Q97" si="32">Q80+Q90+Q96</f>
        <v>2211813.65</v>
      </c>
      <c r="R97" s="7"/>
    </row>
    <row r="98" spans="1:18" x14ac:dyDescent="0.25">
      <c r="A98" s="57" t="s">
        <v>104</v>
      </c>
      <c r="B98" s="49"/>
      <c r="C98" s="49"/>
      <c r="D98" s="49"/>
      <c r="E98" s="49"/>
      <c r="F98" s="49"/>
      <c r="G98" s="49"/>
      <c r="H98" s="50"/>
      <c r="I98" s="7"/>
      <c r="J98" s="7"/>
      <c r="K98" s="50"/>
      <c r="M98" s="50">
        <f t="shared" si="21"/>
        <v>0</v>
      </c>
      <c r="N98" s="7"/>
      <c r="O98" s="50"/>
      <c r="Q98" s="49"/>
      <c r="R98" s="7"/>
    </row>
    <row r="99" spans="1:18" x14ac:dyDescent="0.25">
      <c r="A99" s="30" t="s">
        <v>105</v>
      </c>
      <c r="B99" s="5">
        <v>0</v>
      </c>
      <c r="C99" s="5">
        <v>0</v>
      </c>
      <c r="D99" s="5">
        <v>0</v>
      </c>
      <c r="E99" s="5">
        <v>0</v>
      </c>
      <c r="F99" s="5">
        <v>0</v>
      </c>
      <c r="G99" s="5">
        <v>0</v>
      </c>
      <c r="H99" s="5">
        <f>SUM(B99:G99)</f>
        <v>0</v>
      </c>
      <c r="I99" s="11"/>
      <c r="J99" s="7"/>
      <c r="K99" s="5">
        <v>0</v>
      </c>
      <c r="M99" s="5">
        <f t="shared" si="21"/>
        <v>0</v>
      </c>
      <c r="N99" s="7"/>
      <c r="O99" s="5">
        <v>0</v>
      </c>
      <c r="Q99" s="52">
        <f t="shared" ref="Q99:Q103" si="33">K99-O99</f>
        <v>0</v>
      </c>
      <c r="R99" s="7"/>
    </row>
    <row r="100" spans="1:18" x14ac:dyDescent="0.25">
      <c r="A100" s="30" t="s">
        <v>106</v>
      </c>
      <c r="B100" s="10">
        <v>0</v>
      </c>
      <c r="C100" s="10">
        <v>0</v>
      </c>
      <c r="D100" s="10">
        <v>0</v>
      </c>
      <c r="E100" s="10">
        <v>324644.76</v>
      </c>
      <c r="F100" s="10">
        <v>0</v>
      </c>
      <c r="G100" s="10">
        <v>0</v>
      </c>
      <c r="H100" s="5">
        <f>SUM(B100:G100)</f>
        <v>324644.76</v>
      </c>
      <c r="I100" s="11" t="s">
        <v>107</v>
      </c>
      <c r="J100" s="7"/>
      <c r="K100" s="5">
        <v>225000</v>
      </c>
      <c r="M100" s="5">
        <f t="shared" si="21"/>
        <v>99644.760000000009</v>
      </c>
      <c r="N100" s="7"/>
      <c r="O100" s="5">
        <v>0</v>
      </c>
      <c r="Q100" s="52">
        <f t="shared" si="33"/>
        <v>225000</v>
      </c>
      <c r="R100" s="7"/>
    </row>
    <row r="101" spans="1:18" x14ac:dyDescent="0.25">
      <c r="A101" s="30" t="s">
        <v>108</v>
      </c>
      <c r="B101" s="35">
        <f>[1]Summary!C22+[1]Summary!D22</f>
        <v>100078.08</v>
      </c>
      <c r="C101" s="35"/>
      <c r="D101" s="35"/>
      <c r="E101" s="35"/>
      <c r="F101" s="35"/>
      <c r="G101" s="35"/>
      <c r="H101" s="5">
        <f>SUM(B101:G101)</f>
        <v>100078.08</v>
      </c>
      <c r="I101" s="11"/>
      <c r="J101" s="7"/>
      <c r="K101" s="5">
        <v>322000</v>
      </c>
      <c r="M101" s="5">
        <f t="shared" si="21"/>
        <v>-221921.91999999998</v>
      </c>
      <c r="N101" s="7"/>
      <c r="O101" s="5">
        <v>0</v>
      </c>
      <c r="Q101" s="52">
        <f t="shared" si="33"/>
        <v>322000</v>
      </c>
      <c r="R101" s="7"/>
    </row>
    <row r="102" spans="1:18" x14ac:dyDescent="0.25">
      <c r="A102" s="30" t="s">
        <v>109</v>
      </c>
      <c r="B102" s="35">
        <f>[1]Summary!E22</f>
        <v>290847</v>
      </c>
      <c r="C102" s="35"/>
      <c r="D102" s="35"/>
      <c r="E102" s="35"/>
      <c r="F102" s="35"/>
      <c r="G102" s="35"/>
      <c r="H102" s="5">
        <f>SUM(B102:G102)</f>
        <v>290847</v>
      </c>
      <c r="I102" s="11"/>
      <c r="J102" s="7"/>
      <c r="K102" s="5">
        <v>0</v>
      </c>
      <c r="M102" s="5">
        <f t="shared" si="21"/>
        <v>290847</v>
      </c>
      <c r="N102" s="7"/>
      <c r="O102" s="5">
        <v>0</v>
      </c>
      <c r="Q102" s="52">
        <f t="shared" si="33"/>
        <v>0</v>
      </c>
      <c r="R102" s="7"/>
    </row>
    <row r="103" spans="1:18" x14ac:dyDescent="0.25">
      <c r="A103" s="55" t="s">
        <v>110</v>
      </c>
      <c r="B103" s="56">
        <f>SUM(B99:B102)</f>
        <v>390925.08</v>
      </c>
      <c r="C103" s="56">
        <f t="shared" ref="C103:G103" si="34">SUM(C99:C102)</f>
        <v>0</v>
      </c>
      <c r="D103" s="56">
        <f t="shared" si="34"/>
        <v>0</v>
      </c>
      <c r="E103" s="56">
        <f t="shared" si="34"/>
        <v>324644.76</v>
      </c>
      <c r="F103" s="56">
        <f t="shared" si="34"/>
        <v>0</v>
      </c>
      <c r="G103" s="56">
        <f t="shared" si="34"/>
        <v>0</v>
      </c>
      <c r="H103" s="56">
        <f>SUM(H99:H102)</f>
        <v>715569.84000000008</v>
      </c>
      <c r="I103" s="16"/>
      <c r="J103" s="7"/>
      <c r="K103" s="56">
        <v>547000</v>
      </c>
      <c r="M103" s="56">
        <f t="shared" si="21"/>
        <v>168569.84000000008</v>
      </c>
      <c r="N103" s="7"/>
      <c r="O103" s="56">
        <v>0</v>
      </c>
      <c r="Q103" s="52">
        <f t="shared" si="33"/>
        <v>547000</v>
      </c>
      <c r="R103" s="7"/>
    </row>
    <row r="104" spans="1:18" ht="15.75" thickBot="1" x14ac:dyDescent="0.3">
      <c r="A104" s="30"/>
      <c r="B104" s="42"/>
      <c r="C104" s="42"/>
      <c r="D104" s="42"/>
      <c r="E104" s="42"/>
      <c r="F104" s="42"/>
      <c r="G104" s="42"/>
      <c r="H104" s="42"/>
      <c r="I104" s="7"/>
      <c r="J104" s="7"/>
      <c r="K104" s="42"/>
      <c r="M104" s="42">
        <f t="shared" si="21"/>
        <v>0</v>
      </c>
      <c r="N104" s="7"/>
      <c r="O104" s="42"/>
      <c r="Q104" s="42"/>
      <c r="R104" s="7"/>
    </row>
    <row r="105" spans="1:18" ht="15.75" thickBot="1" x14ac:dyDescent="0.3">
      <c r="A105" s="64" t="s">
        <v>111</v>
      </c>
      <c r="B105" s="65" t="str">
        <f t="shared" ref="B105:H105" si="35">B1</f>
        <v>Operating</v>
      </c>
      <c r="C105" s="65" t="str">
        <f t="shared" si="35"/>
        <v>SPED</v>
      </c>
      <c r="D105" s="65" t="str">
        <f t="shared" si="35"/>
        <v>NSLP</v>
      </c>
      <c r="E105" s="65" t="str">
        <f t="shared" si="35"/>
        <v>Other</v>
      </c>
      <c r="F105" s="65" t="str">
        <f t="shared" si="35"/>
        <v>Title I</v>
      </c>
      <c r="G105" s="65" t="str">
        <f t="shared" si="35"/>
        <v>Title II/III/IV</v>
      </c>
      <c r="H105" s="65" t="str">
        <f t="shared" si="35"/>
        <v>Total (24-25)</v>
      </c>
      <c r="I105" s="7"/>
      <c r="J105" s="7"/>
      <c r="K105" s="65" t="s">
        <v>7</v>
      </c>
      <c r="M105" s="65" t="str">
        <f t="shared" ref="M105" si="36">M1</f>
        <v>Variance</v>
      </c>
      <c r="N105" s="7"/>
      <c r="O105" s="65" t="s">
        <v>30</v>
      </c>
      <c r="Q105" s="65" t="str">
        <f>Q1</f>
        <v>Variance</v>
      </c>
      <c r="R105" s="7"/>
    </row>
    <row r="106" spans="1:18" x14ac:dyDescent="0.25">
      <c r="A106" s="48" t="s">
        <v>112</v>
      </c>
      <c r="B106" s="49"/>
      <c r="C106" s="49"/>
      <c r="D106" s="49"/>
      <c r="E106" s="49"/>
      <c r="F106" s="49"/>
      <c r="G106" s="49"/>
      <c r="H106" s="50"/>
      <c r="I106" s="7"/>
      <c r="J106" s="7"/>
      <c r="K106" s="50"/>
      <c r="M106" s="50">
        <f t="shared" si="21"/>
        <v>0</v>
      </c>
      <c r="N106" s="7"/>
      <c r="O106" s="50"/>
      <c r="Q106" s="50"/>
      <c r="R106" s="7"/>
    </row>
    <row r="107" spans="1:18" x14ac:dyDescent="0.25">
      <c r="A107" s="30" t="s">
        <v>49</v>
      </c>
      <c r="B107" s="10">
        <v>125000</v>
      </c>
      <c r="C107" s="5"/>
      <c r="D107" s="5"/>
      <c r="E107" s="5"/>
      <c r="F107" s="5"/>
      <c r="G107" s="5"/>
      <c r="H107" s="5">
        <f t="shared" ref="H107:H120" si="37">SUM(B107:G107)</f>
        <v>125000</v>
      </c>
      <c r="I107" s="11"/>
      <c r="K107" s="5">
        <v>125000</v>
      </c>
      <c r="M107" s="5">
        <f t="shared" si="21"/>
        <v>0</v>
      </c>
      <c r="O107" s="5">
        <v>126000</v>
      </c>
      <c r="Q107" s="52">
        <f t="shared" ref="Q107:Q120" si="38">K107-O107</f>
        <v>-1000</v>
      </c>
    </row>
    <row r="108" spans="1:18" x14ac:dyDescent="0.25">
      <c r="A108" s="30" t="s">
        <v>113</v>
      </c>
      <c r="B108" s="5">
        <f>(85000*3)*1.03</f>
        <v>262650</v>
      </c>
      <c r="C108" s="5"/>
      <c r="D108" s="5"/>
      <c r="E108" s="5"/>
      <c r="F108" s="5">
        <f>90000*1.03</f>
        <v>92700</v>
      </c>
      <c r="G108" s="5"/>
      <c r="H108" s="5">
        <f t="shared" si="37"/>
        <v>355350</v>
      </c>
      <c r="I108" s="11"/>
      <c r="K108" s="5">
        <v>355350</v>
      </c>
      <c r="M108" s="5">
        <f t="shared" si="21"/>
        <v>0</v>
      </c>
      <c r="O108" s="5">
        <v>255000</v>
      </c>
      <c r="Q108" s="52">
        <f t="shared" si="38"/>
        <v>100350</v>
      </c>
    </row>
    <row r="109" spans="1:18" x14ac:dyDescent="0.25">
      <c r="A109" s="30" t="s">
        <v>114</v>
      </c>
      <c r="B109" s="5">
        <f>(80000*B41)*1.03+80000</f>
        <v>162400</v>
      </c>
      <c r="C109" s="5"/>
      <c r="D109" s="5"/>
      <c r="E109" s="5"/>
      <c r="F109" s="5"/>
      <c r="G109" s="5"/>
      <c r="H109" s="5">
        <f t="shared" si="37"/>
        <v>162400</v>
      </c>
      <c r="I109" s="11"/>
      <c r="K109" s="5">
        <v>162400</v>
      </c>
      <c r="M109" s="5">
        <f t="shared" si="21"/>
        <v>0</v>
      </c>
      <c r="O109" s="5">
        <v>80000</v>
      </c>
      <c r="Q109" s="52">
        <f t="shared" si="38"/>
        <v>82400</v>
      </c>
    </row>
    <row r="110" spans="1:18" x14ac:dyDescent="0.25">
      <c r="A110" s="31" t="s">
        <v>52</v>
      </c>
      <c r="B110" s="5">
        <f>(75000*B42)*1.03</f>
        <v>77250</v>
      </c>
      <c r="C110" s="5"/>
      <c r="D110" s="5"/>
      <c r="E110" s="5"/>
      <c r="F110" s="5"/>
      <c r="G110" s="5"/>
      <c r="H110" s="5">
        <f t="shared" si="37"/>
        <v>77250</v>
      </c>
      <c r="I110" s="11"/>
      <c r="K110" s="5">
        <v>77250</v>
      </c>
      <c r="M110" s="5">
        <f t="shared" si="21"/>
        <v>0</v>
      </c>
      <c r="O110" s="5">
        <v>90000</v>
      </c>
      <c r="Q110" s="52">
        <f t="shared" si="38"/>
        <v>-12750</v>
      </c>
    </row>
    <row r="111" spans="1:18" x14ac:dyDescent="0.25">
      <c r="A111" s="31" t="s">
        <v>53</v>
      </c>
      <c r="B111" s="5">
        <f>(70000*B43)*1.03</f>
        <v>288400</v>
      </c>
      <c r="C111" s="5"/>
      <c r="D111" s="5"/>
      <c r="E111" s="5"/>
      <c r="F111" s="5"/>
      <c r="G111" s="5"/>
      <c r="H111" s="5">
        <f t="shared" si="37"/>
        <v>288400</v>
      </c>
      <c r="I111" s="11"/>
      <c r="K111" s="5">
        <v>216300</v>
      </c>
      <c r="M111" s="5">
        <f t="shared" si="21"/>
        <v>72100</v>
      </c>
      <c r="O111" s="5">
        <v>0</v>
      </c>
      <c r="Q111" s="52">
        <f t="shared" si="38"/>
        <v>216300</v>
      </c>
    </row>
    <row r="112" spans="1:18" x14ac:dyDescent="0.25">
      <c r="A112" s="30" t="s">
        <v>115</v>
      </c>
      <c r="B112" s="5">
        <f>(75000*B44)*1.03</f>
        <v>154500</v>
      </c>
      <c r="C112" s="5">
        <v>0</v>
      </c>
      <c r="D112" s="5"/>
      <c r="E112" s="5"/>
      <c r="F112" s="5">
        <f>55000*1.03</f>
        <v>56650</v>
      </c>
      <c r="G112" s="5">
        <v>0</v>
      </c>
      <c r="H112" s="5">
        <f t="shared" si="37"/>
        <v>211150</v>
      </c>
      <c r="I112" s="11"/>
      <c r="K112" s="5">
        <v>211150</v>
      </c>
      <c r="M112" s="5">
        <f t="shared" si="21"/>
        <v>0</v>
      </c>
      <c r="O112" s="5">
        <v>205000</v>
      </c>
      <c r="Q112" s="52">
        <f t="shared" si="38"/>
        <v>6150</v>
      </c>
    </row>
    <row r="113" spans="1:20" x14ac:dyDescent="0.25">
      <c r="A113" s="30" t="s">
        <v>116</v>
      </c>
      <c r="B113" s="5"/>
      <c r="C113" s="5"/>
      <c r="D113" s="5"/>
      <c r="E113" s="5"/>
      <c r="F113" s="5"/>
      <c r="G113" s="5"/>
      <c r="H113" s="5">
        <f t="shared" si="37"/>
        <v>0</v>
      </c>
      <c r="I113" s="11"/>
      <c r="K113" s="5">
        <v>0</v>
      </c>
      <c r="M113" s="5">
        <f t="shared" si="21"/>
        <v>0</v>
      </c>
      <c r="O113" s="5">
        <v>0</v>
      </c>
      <c r="Q113" s="52">
        <f t="shared" si="38"/>
        <v>0</v>
      </c>
    </row>
    <row r="114" spans="1:20" x14ac:dyDescent="0.25">
      <c r="A114" s="30" t="s">
        <v>117</v>
      </c>
      <c r="B114" s="5">
        <f>62000*(B36)</f>
        <v>2852000</v>
      </c>
      <c r="C114" s="5"/>
      <c r="D114" s="5"/>
      <c r="E114" s="5"/>
      <c r="F114" s="5"/>
      <c r="G114" s="5"/>
      <c r="H114" s="5">
        <f t="shared" si="37"/>
        <v>2852000</v>
      </c>
      <c r="I114" s="11"/>
      <c r="K114" s="5">
        <v>2790000</v>
      </c>
      <c r="M114" s="5">
        <f t="shared" si="21"/>
        <v>62000</v>
      </c>
      <c r="O114" s="5">
        <v>2340000</v>
      </c>
      <c r="Q114" s="52">
        <f t="shared" si="38"/>
        <v>450000</v>
      </c>
    </row>
    <row r="115" spans="1:20" x14ac:dyDescent="0.25">
      <c r="A115" s="30" t="s">
        <v>39</v>
      </c>
      <c r="B115" s="5"/>
      <c r="C115" s="5">
        <f>62000*H28</f>
        <v>372000</v>
      </c>
      <c r="D115" s="5"/>
      <c r="E115" s="5"/>
      <c r="F115" s="5"/>
      <c r="G115" s="5"/>
      <c r="H115" s="5">
        <f t="shared" si="37"/>
        <v>372000</v>
      </c>
      <c r="I115" s="11"/>
      <c r="K115" s="5">
        <v>248000</v>
      </c>
      <c r="M115" s="5">
        <f t="shared" si="21"/>
        <v>124000</v>
      </c>
      <c r="O115" s="5">
        <v>240000</v>
      </c>
      <c r="Q115" s="52">
        <f t="shared" si="38"/>
        <v>8000</v>
      </c>
    </row>
    <row r="116" spans="1:20" x14ac:dyDescent="0.25">
      <c r="A116" s="30" t="s">
        <v>118</v>
      </c>
      <c r="B116" s="10">
        <f>((51000+43000)*1.02*1.2+45000)*1.03</f>
        <v>164857.68</v>
      </c>
      <c r="C116" s="5"/>
      <c r="D116" s="5"/>
      <c r="E116" s="5"/>
      <c r="F116" s="5"/>
      <c r="G116" s="5"/>
      <c r="H116" s="5">
        <f t="shared" si="37"/>
        <v>164857.68</v>
      </c>
      <c r="I116" s="11"/>
      <c r="K116" s="5">
        <v>164857.68</v>
      </c>
      <c r="M116" s="5">
        <f t="shared" si="21"/>
        <v>0</v>
      </c>
      <c r="O116" s="5">
        <v>160056</v>
      </c>
      <c r="Q116" s="52">
        <f t="shared" si="38"/>
        <v>4801.679999999993</v>
      </c>
    </row>
    <row r="117" spans="1:20" x14ac:dyDescent="0.25">
      <c r="A117" s="30" t="s">
        <v>119</v>
      </c>
      <c r="B117" s="10">
        <f>(22.25*8*190)*(B49+B48)</f>
        <v>101460</v>
      </c>
      <c r="C117" s="5"/>
      <c r="D117" s="5"/>
      <c r="E117" s="5"/>
      <c r="F117" s="5"/>
      <c r="G117" s="5"/>
      <c r="H117" s="5">
        <f t="shared" si="37"/>
        <v>101460</v>
      </c>
      <c r="I117" s="11"/>
      <c r="K117" s="5">
        <v>101460</v>
      </c>
      <c r="M117" s="5">
        <f t="shared" si="21"/>
        <v>0</v>
      </c>
      <c r="O117" s="5">
        <v>100320</v>
      </c>
      <c r="Q117" s="52">
        <f t="shared" si="38"/>
        <v>1140</v>
      </c>
    </row>
    <row r="118" spans="1:20" x14ac:dyDescent="0.25">
      <c r="A118" s="30" t="s">
        <v>120</v>
      </c>
      <c r="B118" s="5">
        <f>(19.25*8*180)*B50</f>
        <v>277200</v>
      </c>
      <c r="C118" s="5">
        <f>(19.25*8*180)*C50</f>
        <v>110880</v>
      </c>
      <c r="D118" s="5">
        <f t="shared" ref="D118" si="39">(20*8*180)*D50</f>
        <v>0</v>
      </c>
      <c r="E118" s="5"/>
      <c r="F118" s="5">
        <f>(20.25*8*180)*F50</f>
        <v>233280</v>
      </c>
      <c r="G118" s="5">
        <f>(20.25*8*180)*G50</f>
        <v>58320</v>
      </c>
      <c r="H118" s="5">
        <f t="shared" si="37"/>
        <v>679680</v>
      </c>
      <c r="I118" s="11"/>
      <c r="K118" s="5">
        <v>541080</v>
      </c>
      <c r="M118" s="5">
        <f t="shared" si="21"/>
        <v>138600</v>
      </c>
      <c r="O118" s="5">
        <v>501120</v>
      </c>
      <c r="Q118" s="52">
        <f t="shared" si="38"/>
        <v>39960</v>
      </c>
      <c r="S118" s="18"/>
      <c r="T118" s="18"/>
    </row>
    <row r="119" spans="1:20" x14ac:dyDescent="0.25">
      <c r="A119" s="30" t="s">
        <v>121</v>
      </c>
      <c r="B119" s="10">
        <f>(20.25*8*240)*B51</f>
        <v>155520</v>
      </c>
      <c r="C119" s="5"/>
      <c r="D119" s="5"/>
      <c r="E119" s="5"/>
      <c r="F119" s="5"/>
      <c r="G119" s="5"/>
      <c r="H119" s="5">
        <f t="shared" si="37"/>
        <v>155520</v>
      </c>
      <c r="I119" s="11"/>
      <c r="K119" s="5">
        <v>155520</v>
      </c>
      <c r="M119" s="5">
        <f t="shared" si="21"/>
        <v>0</v>
      </c>
      <c r="O119" s="5">
        <v>153600</v>
      </c>
      <c r="Q119" s="52">
        <f t="shared" si="38"/>
        <v>1920</v>
      </c>
    </row>
    <row r="120" spans="1:20" x14ac:dyDescent="0.25">
      <c r="A120" s="30" t="s">
        <v>62</v>
      </c>
      <c r="B120" s="5"/>
      <c r="C120" s="5"/>
      <c r="D120" s="5"/>
      <c r="E120" s="5"/>
      <c r="F120" s="5"/>
      <c r="G120" s="5"/>
      <c r="H120" s="5">
        <f t="shared" si="37"/>
        <v>0</v>
      </c>
      <c r="I120" s="11"/>
      <c r="K120" s="5">
        <v>0</v>
      </c>
      <c r="M120" s="5">
        <f t="shared" si="21"/>
        <v>0</v>
      </c>
      <c r="O120" s="5">
        <v>0</v>
      </c>
      <c r="Q120" s="52">
        <f t="shared" si="38"/>
        <v>0</v>
      </c>
    </row>
    <row r="121" spans="1:20" x14ac:dyDescent="0.25">
      <c r="A121" s="66" t="s">
        <v>122</v>
      </c>
      <c r="B121" s="67">
        <f>SUM(B107:B120)</f>
        <v>4621237.68</v>
      </c>
      <c r="C121" s="67">
        <f t="shared" ref="C121:G121" si="40">SUM(C107:C120)</f>
        <v>482880</v>
      </c>
      <c r="D121" s="67">
        <f t="shared" si="40"/>
        <v>0</v>
      </c>
      <c r="E121" s="67">
        <f t="shared" si="40"/>
        <v>0</v>
      </c>
      <c r="F121" s="67">
        <f t="shared" si="40"/>
        <v>382630</v>
      </c>
      <c r="G121" s="67">
        <f t="shared" si="40"/>
        <v>58320</v>
      </c>
      <c r="H121" s="67">
        <f>SUM(H107:H120)</f>
        <v>5545067.6799999997</v>
      </c>
      <c r="I121" s="7"/>
      <c r="J121" s="7"/>
      <c r="K121" s="67">
        <v>5148367.68</v>
      </c>
      <c r="M121" s="67">
        <f t="shared" si="21"/>
        <v>396700</v>
      </c>
      <c r="N121" s="7"/>
      <c r="O121" s="67">
        <v>4251096</v>
      </c>
      <c r="Q121" s="67">
        <f t="shared" ref="Q121" si="41">SUM(Q107:Q120)</f>
        <v>897271.67999999993</v>
      </c>
      <c r="R121" s="7"/>
    </row>
    <row r="122" spans="1:20" x14ac:dyDescent="0.25">
      <c r="A122" s="68" t="s">
        <v>123</v>
      </c>
      <c r="B122" s="49"/>
      <c r="C122" s="49"/>
      <c r="D122" s="49"/>
      <c r="E122" s="49"/>
      <c r="F122" s="49"/>
      <c r="G122" s="49"/>
      <c r="H122" s="50"/>
      <c r="I122" s="7"/>
      <c r="J122" s="7"/>
      <c r="K122" s="50"/>
      <c r="M122" s="50">
        <f t="shared" si="21"/>
        <v>0</v>
      </c>
      <c r="N122" s="7"/>
      <c r="O122" s="50"/>
      <c r="Q122" s="50"/>
      <c r="R122" s="7"/>
    </row>
    <row r="123" spans="1:20" x14ac:dyDescent="0.25">
      <c r="A123" s="30" t="s">
        <v>64</v>
      </c>
      <c r="B123" s="5">
        <v>0</v>
      </c>
      <c r="C123" s="5">
        <f>(80000*C54)*1.03</f>
        <v>82400</v>
      </c>
      <c r="D123" s="5"/>
      <c r="E123" s="5"/>
      <c r="F123" s="5"/>
      <c r="G123" s="5"/>
      <c r="H123" s="5">
        <f t="shared" ref="H123:H130" si="42">SUM(B123:G123)</f>
        <v>82400</v>
      </c>
      <c r="I123" s="11"/>
      <c r="K123" s="5">
        <v>82400</v>
      </c>
      <c r="M123" s="5">
        <f t="shared" si="21"/>
        <v>0</v>
      </c>
      <c r="O123" s="5">
        <v>80000</v>
      </c>
      <c r="Q123" s="52">
        <f t="shared" ref="Q123:Q130" si="43">K123-O123</f>
        <v>2400</v>
      </c>
    </row>
    <row r="124" spans="1:20" x14ac:dyDescent="0.25">
      <c r="A124" s="30" t="s">
        <v>65</v>
      </c>
      <c r="B124" s="5">
        <v>0</v>
      </c>
      <c r="C124" s="5">
        <v>0</v>
      </c>
      <c r="D124" s="5"/>
      <c r="E124" s="5"/>
      <c r="F124" s="5"/>
      <c r="G124" s="5"/>
      <c r="H124" s="23">
        <f t="shared" si="42"/>
        <v>0</v>
      </c>
      <c r="I124" s="11"/>
      <c r="K124" s="23">
        <v>0</v>
      </c>
      <c r="M124" s="23">
        <f t="shared" si="21"/>
        <v>0</v>
      </c>
      <c r="O124" s="23">
        <v>0</v>
      </c>
      <c r="Q124" s="52">
        <f t="shared" si="43"/>
        <v>0</v>
      </c>
    </row>
    <row r="125" spans="1:20" x14ac:dyDescent="0.25">
      <c r="A125" s="30" t="s">
        <v>66</v>
      </c>
      <c r="B125" s="5">
        <v>0</v>
      </c>
      <c r="C125" s="5">
        <v>0</v>
      </c>
      <c r="D125" s="5"/>
      <c r="E125" s="5"/>
      <c r="F125" s="5"/>
      <c r="G125" s="5"/>
      <c r="H125" s="5">
        <f t="shared" si="42"/>
        <v>0</v>
      </c>
      <c r="I125" s="11"/>
      <c r="K125" s="5">
        <v>0</v>
      </c>
      <c r="M125" s="5">
        <f t="shared" si="21"/>
        <v>0</v>
      </c>
      <c r="O125" s="5">
        <v>0</v>
      </c>
      <c r="Q125" s="52">
        <f t="shared" si="43"/>
        <v>0</v>
      </c>
    </row>
    <row r="126" spans="1:20" x14ac:dyDescent="0.25">
      <c r="A126" s="30" t="s">
        <v>124</v>
      </c>
      <c r="B126" s="5">
        <v>0</v>
      </c>
      <c r="C126" s="5"/>
      <c r="D126" s="5"/>
      <c r="E126" s="5"/>
      <c r="F126" s="5"/>
      <c r="G126" s="5"/>
      <c r="H126" s="23">
        <f t="shared" si="42"/>
        <v>0</v>
      </c>
      <c r="I126" s="11"/>
      <c r="K126" s="23">
        <v>0</v>
      </c>
      <c r="M126" s="23">
        <f t="shared" si="21"/>
        <v>0</v>
      </c>
      <c r="O126" s="23">
        <v>0</v>
      </c>
      <c r="Q126" s="52">
        <f t="shared" si="43"/>
        <v>0</v>
      </c>
    </row>
    <row r="127" spans="1:20" x14ac:dyDescent="0.25">
      <c r="A127" s="30" t="s">
        <v>68</v>
      </c>
      <c r="B127" s="5">
        <v>0</v>
      </c>
      <c r="C127" s="5"/>
      <c r="D127" s="5"/>
      <c r="E127" s="5"/>
      <c r="F127" s="5"/>
      <c r="G127" s="5"/>
      <c r="H127" s="23">
        <f t="shared" si="42"/>
        <v>0</v>
      </c>
      <c r="I127" s="11"/>
      <c r="K127" s="23">
        <v>0</v>
      </c>
      <c r="M127" s="23">
        <f t="shared" si="21"/>
        <v>0</v>
      </c>
      <c r="O127" s="23">
        <v>0</v>
      </c>
      <c r="Q127" s="52">
        <f t="shared" si="43"/>
        <v>0</v>
      </c>
    </row>
    <row r="128" spans="1:20" x14ac:dyDescent="0.25">
      <c r="A128" s="30" t="s">
        <v>125</v>
      </c>
      <c r="B128" s="5"/>
      <c r="C128" s="5"/>
      <c r="D128" s="5"/>
      <c r="E128" s="5"/>
      <c r="F128" s="5"/>
      <c r="G128" s="5"/>
      <c r="H128" s="23">
        <f t="shared" si="42"/>
        <v>0</v>
      </c>
      <c r="I128" s="11"/>
      <c r="K128" s="23">
        <v>0</v>
      </c>
      <c r="M128" s="23">
        <f t="shared" si="21"/>
        <v>0</v>
      </c>
      <c r="O128" s="23">
        <v>0</v>
      </c>
      <c r="Q128" s="52">
        <f t="shared" si="43"/>
        <v>0</v>
      </c>
    </row>
    <row r="129" spans="1:21" x14ac:dyDescent="0.25">
      <c r="A129" s="30" t="s">
        <v>126</v>
      </c>
      <c r="B129" s="5">
        <f>(12.5*6*185)*B52</f>
        <v>0</v>
      </c>
      <c r="C129" s="5">
        <f>(12.5*6*185)*C52</f>
        <v>0</v>
      </c>
      <c r="D129" s="5">
        <f>(16.25*8*180)*D52</f>
        <v>93600</v>
      </c>
      <c r="E129" s="5"/>
      <c r="F129" s="5"/>
      <c r="G129" s="5"/>
      <c r="H129" s="5">
        <f t="shared" si="42"/>
        <v>93600</v>
      </c>
      <c r="I129" s="11"/>
      <c r="K129" s="5">
        <v>93600</v>
      </c>
      <c r="M129" s="5">
        <f t="shared" si="21"/>
        <v>0</v>
      </c>
      <c r="O129" s="5">
        <v>92160</v>
      </c>
      <c r="Q129" s="52">
        <f t="shared" si="43"/>
        <v>1440</v>
      </c>
    </row>
    <row r="130" spans="1:21" x14ac:dyDescent="0.25">
      <c r="A130" s="30" t="s">
        <v>69</v>
      </c>
      <c r="B130" s="35">
        <f>170*180*B59</f>
        <v>61200</v>
      </c>
      <c r="C130" s="5"/>
      <c r="D130" s="5"/>
      <c r="E130" s="5"/>
      <c r="F130" s="5"/>
      <c r="G130" s="5">
        <v>0</v>
      </c>
      <c r="H130" s="5">
        <f t="shared" si="42"/>
        <v>61200</v>
      </c>
      <c r="I130" s="11"/>
      <c r="K130" s="5">
        <v>61200</v>
      </c>
      <c r="M130" s="5">
        <f t="shared" ref="M130:M142" si="44">H130-K130</f>
        <v>0</v>
      </c>
      <c r="O130" s="5">
        <v>54000</v>
      </c>
      <c r="Q130" s="52">
        <f t="shared" si="43"/>
        <v>7200</v>
      </c>
    </row>
    <row r="131" spans="1:21" x14ac:dyDescent="0.25">
      <c r="A131" s="69" t="s">
        <v>127</v>
      </c>
      <c r="B131" s="70">
        <f>SUM(B123:B130)</f>
        <v>61200</v>
      </c>
      <c r="C131" s="70">
        <f>SUM(C123:C130)</f>
        <v>82400</v>
      </c>
      <c r="D131" s="70">
        <f>SUM(D123:D130)</f>
        <v>93600</v>
      </c>
      <c r="E131" s="70"/>
      <c r="F131" s="70"/>
      <c r="G131" s="70"/>
      <c r="H131" s="70">
        <f>SUM(H123:H130)</f>
        <v>237200</v>
      </c>
      <c r="I131" s="7"/>
      <c r="J131" s="7"/>
      <c r="K131" s="70">
        <v>237200</v>
      </c>
      <c r="M131" s="70">
        <f t="shared" si="44"/>
        <v>0</v>
      </c>
      <c r="N131" s="7"/>
      <c r="O131" s="70">
        <v>226160</v>
      </c>
      <c r="Q131" s="70">
        <f t="shared" ref="Q131" si="45">SUM(Q123:Q130)</f>
        <v>11040</v>
      </c>
      <c r="R131" s="7"/>
    </row>
    <row r="132" spans="1:21" x14ac:dyDescent="0.25">
      <c r="A132" s="71" t="s">
        <v>128</v>
      </c>
      <c r="B132" s="72">
        <f>B121+B131</f>
        <v>4682437.68</v>
      </c>
      <c r="C132" s="72">
        <f>C121+C131</f>
        <v>565280</v>
      </c>
      <c r="D132" s="72">
        <f>D121+D131</f>
        <v>93600</v>
      </c>
      <c r="E132" s="72">
        <f t="shared" ref="E132:G132" si="46">E121+E131</f>
        <v>0</v>
      </c>
      <c r="F132" s="72">
        <f t="shared" si="46"/>
        <v>382630</v>
      </c>
      <c r="G132" s="72">
        <f t="shared" si="46"/>
        <v>58320</v>
      </c>
      <c r="H132" s="72">
        <f>H121+H131</f>
        <v>5782267.6799999997</v>
      </c>
      <c r="I132" s="16"/>
      <c r="J132" s="7"/>
      <c r="K132" s="72">
        <v>5385567.6799999997</v>
      </c>
      <c r="M132" s="72">
        <f t="shared" si="44"/>
        <v>396700</v>
      </c>
      <c r="N132" s="7"/>
      <c r="O132" s="72">
        <v>4477256</v>
      </c>
      <c r="Q132" s="72">
        <f t="shared" ref="Q132" si="47">Q121+Q131</f>
        <v>908311.67999999993</v>
      </c>
      <c r="R132" s="7"/>
    </row>
    <row r="133" spans="1:21" x14ac:dyDescent="0.25">
      <c r="A133" s="30" t="s">
        <v>129</v>
      </c>
      <c r="B133" s="52">
        <f>B132*0.335</f>
        <v>1568616.6228</v>
      </c>
      <c r="C133" s="52">
        <f t="shared" ref="C133:G133" si="48">C132*0.335</f>
        <v>189368.80000000002</v>
      </c>
      <c r="D133" s="52">
        <f t="shared" si="48"/>
        <v>31356.000000000004</v>
      </c>
      <c r="E133" s="52">
        <f t="shared" si="48"/>
        <v>0</v>
      </c>
      <c r="F133" s="52">
        <f t="shared" si="48"/>
        <v>128181.05</v>
      </c>
      <c r="G133" s="52">
        <f t="shared" si="48"/>
        <v>19537.2</v>
      </c>
      <c r="H133" s="5">
        <f t="shared" ref="H133:H140" si="49">SUM(B133:G133)</f>
        <v>1937059.6728000001</v>
      </c>
      <c r="I133" s="111">
        <f>H133/H132</f>
        <v>0.33500000000000002</v>
      </c>
      <c r="J133" s="131"/>
      <c r="K133" s="5">
        <v>1804165.1728000001</v>
      </c>
      <c r="M133" s="5">
        <f t="shared" si="44"/>
        <v>132894.5</v>
      </c>
      <c r="N133" s="131"/>
      <c r="O133" s="5">
        <v>1481455.76</v>
      </c>
      <c r="Q133" s="52">
        <f t="shared" ref="Q133:Q140" si="50">K133-O133</f>
        <v>322709.41280000005</v>
      </c>
      <c r="R133" s="131"/>
    </row>
    <row r="134" spans="1:21" x14ac:dyDescent="0.25">
      <c r="A134" s="123" t="s">
        <v>130</v>
      </c>
      <c r="B134" s="10">
        <f>(((9600*(B65*0.5))+((765*(B65*0.5)))+((95*(B65*0.5))+((50*(B65*0.6))+((1600*(B65*0.14)))))+(B132*0.0145)+(B132*0.031)))</f>
        <v>657254.91443999996</v>
      </c>
      <c r="C134" s="10">
        <f t="shared" ref="C134:G134" si="51">(((9600*(C65*0.5))+((765*(C65*0.5)))+((95*(C65*0.5))+((50*(C65*0.6))+((1600*(C65*0.14)))))+(C132*0.0145)+(C132*0.031)))</f>
        <v>86044.239999999991</v>
      </c>
      <c r="D134" s="10">
        <f t="shared" si="51"/>
        <v>26194.799999999999</v>
      </c>
      <c r="E134" s="10">
        <f t="shared" si="51"/>
        <v>0</v>
      </c>
      <c r="F134" s="10">
        <f t="shared" si="51"/>
        <v>72249.665000000008</v>
      </c>
      <c r="G134" s="10">
        <f t="shared" si="51"/>
        <v>13621.56</v>
      </c>
      <c r="H134" s="5">
        <f t="shared" si="49"/>
        <v>855365.17944000009</v>
      </c>
      <c r="I134" s="111">
        <f>H134/H132</f>
        <v>0.14792901795234775</v>
      </c>
      <c r="J134" s="131"/>
      <c r="K134" s="5">
        <v>787959.32944000012</v>
      </c>
      <c r="M134" s="5">
        <f t="shared" si="44"/>
        <v>67405.849999999977</v>
      </c>
      <c r="N134" s="131"/>
      <c r="O134" s="5">
        <v>671876.14800000004</v>
      </c>
      <c r="Q134" s="52">
        <f t="shared" si="50"/>
        <v>116083.18144000007</v>
      </c>
      <c r="R134" s="131"/>
    </row>
    <row r="135" spans="1:21" x14ac:dyDescent="0.25">
      <c r="A135" s="30" t="s">
        <v>131</v>
      </c>
      <c r="B135" s="5">
        <f>(B36*1250)+(B39*2500)+(B40*2000)+(SUM(B41:B47)*1750)+(SUM(B48:B59)*500)</f>
        <v>95250</v>
      </c>
      <c r="C135" s="5">
        <f t="shared" ref="C135:G135" si="52">(C36*1250)+(C39*2500)+(C40*2000)+(SUM(C41:C47)*1750)+(SUM(C48:C59)*500)</f>
        <v>10000</v>
      </c>
      <c r="D135" s="5">
        <f t="shared" si="52"/>
        <v>2000</v>
      </c>
      <c r="E135" s="5">
        <f t="shared" si="52"/>
        <v>0</v>
      </c>
      <c r="F135" s="5">
        <f t="shared" si="52"/>
        <v>7750</v>
      </c>
      <c r="G135" s="5">
        <f t="shared" si="52"/>
        <v>1000</v>
      </c>
      <c r="H135" s="5">
        <f t="shared" si="49"/>
        <v>116000</v>
      </c>
      <c r="I135" s="11"/>
      <c r="K135" s="5">
        <v>108000</v>
      </c>
      <c r="M135" s="5">
        <f t="shared" si="44"/>
        <v>8000</v>
      </c>
      <c r="O135" s="5">
        <v>51625</v>
      </c>
      <c r="Q135" s="52">
        <f t="shared" si="50"/>
        <v>56375</v>
      </c>
    </row>
    <row r="136" spans="1:21" x14ac:dyDescent="0.25">
      <c r="A136" s="123" t="s">
        <v>132</v>
      </c>
      <c r="B136" s="82">
        <f>125*B65+125*6</f>
        <v>10875</v>
      </c>
      <c r="C136" s="124">
        <f>125*C65</f>
        <v>1375</v>
      </c>
      <c r="D136" s="124">
        <f>125*D65</f>
        <v>500</v>
      </c>
      <c r="E136" s="124">
        <f>125*E65</f>
        <v>0</v>
      </c>
      <c r="F136" s="124">
        <f>125*F65</f>
        <v>1250</v>
      </c>
      <c r="G136" s="124">
        <f>125*G65</f>
        <v>250</v>
      </c>
      <c r="H136" s="5">
        <f t="shared" si="49"/>
        <v>14250</v>
      </c>
      <c r="I136" s="11"/>
      <c r="K136" s="5">
        <v>13125</v>
      </c>
      <c r="M136" s="5">
        <f t="shared" si="44"/>
        <v>1125</v>
      </c>
      <c r="O136" s="5">
        <v>11625</v>
      </c>
      <c r="Q136" s="52">
        <f t="shared" si="50"/>
        <v>1500</v>
      </c>
    </row>
    <row r="137" spans="1:21" x14ac:dyDescent="0.25">
      <c r="A137" s="30" t="s">
        <v>133</v>
      </c>
      <c r="B137" s="5">
        <v>0</v>
      </c>
      <c r="C137" s="10"/>
      <c r="D137" s="10"/>
      <c r="E137" s="10">
        <v>0</v>
      </c>
      <c r="F137" s="10">
        <v>0</v>
      </c>
      <c r="G137" s="10">
        <f>G88</f>
        <v>34661.18</v>
      </c>
      <c r="H137" s="5">
        <f t="shared" si="49"/>
        <v>34661.18</v>
      </c>
      <c r="I137" s="11"/>
      <c r="K137" s="5">
        <v>45603</v>
      </c>
      <c r="M137" s="5">
        <f t="shared" si="44"/>
        <v>-10941.82</v>
      </c>
      <c r="O137" s="5">
        <v>46342</v>
      </c>
      <c r="Q137" s="52">
        <f t="shared" si="50"/>
        <v>-739</v>
      </c>
    </row>
    <row r="138" spans="1:21" x14ac:dyDescent="0.25">
      <c r="A138" s="30" t="s">
        <v>134</v>
      </c>
      <c r="B138" s="5"/>
      <c r="C138" s="10"/>
      <c r="D138" s="10"/>
      <c r="E138" s="10"/>
      <c r="F138" s="10"/>
      <c r="G138" s="10"/>
      <c r="H138" s="5">
        <f t="shared" si="49"/>
        <v>0</v>
      </c>
      <c r="I138" s="11"/>
      <c r="K138" s="5">
        <v>0</v>
      </c>
      <c r="M138" s="5">
        <f t="shared" si="44"/>
        <v>0</v>
      </c>
      <c r="O138" s="5">
        <v>0</v>
      </c>
      <c r="Q138" s="52">
        <f t="shared" si="50"/>
        <v>0</v>
      </c>
      <c r="U138" s="73"/>
    </row>
    <row r="139" spans="1:21" x14ac:dyDescent="0.25">
      <c r="A139" s="30" t="s">
        <v>135</v>
      </c>
      <c r="B139" s="10">
        <v>20000</v>
      </c>
      <c r="C139" s="10"/>
      <c r="D139" s="10"/>
      <c r="E139" s="10"/>
      <c r="F139" s="10"/>
      <c r="G139" s="10"/>
      <c r="H139" s="5">
        <f t="shared" si="49"/>
        <v>20000</v>
      </c>
      <c r="I139" s="11"/>
      <c r="K139" s="5">
        <v>20000</v>
      </c>
      <c r="M139" s="5">
        <f t="shared" si="44"/>
        <v>0</v>
      </c>
      <c r="O139" s="5">
        <v>20000</v>
      </c>
      <c r="Q139" s="52">
        <f t="shared" si="50"/>
        <v>0</v>
      </c>
      <c r="U139" s="73"/>
    </row>
    <row r="140" spans="1:21" x14ac:dyDescent="0.25">
      <c r="A140" s="30" t="s">
        <v>136</v>
      </c>
      <c r="B140" s="35">
        <f>(185*11*B36)-B130</f>
        <v>32410</v>
      </c>
      <c r="C140" s="35">
        <f t="shared" ref="C140:G140" si="53">(185*11*C36)-C130</f>
        <v>12210</v>
      </c>
      <c r="D140" s="35">
        <f t="shared" si="53"/>
        <v>0</v>
      </c>
      <c r="E140" s="35">
        <f t="shared" si="53"/>
        <v>0</v>
      </c>
      <c r="F140" s="35">
        <f t="shared" si="53"/>
        <v>0</v>
      </c>
      <c r="G140" s="35">
        <f t="shared" si="53"/>
        <v>0</v>
      </c>
      <c r="H140" s="5">
        <f t="shared" si="49"/>
        <v>44620</v>
      </c>
      <c r="I140" s="11" t="s">
        <v>137</v>
      </c>
      <c r="K140" s="5">
        <v>38515</v>
      </c>
      <c r="M140" s="5">
        <f t="shared" si="44"/>
        <v>6105</v>
      </c>
      <c r="O140" s="5">
        <v>33505</v>
      </c>
      <c r="Q140" s="52">
        <f t="shared" si="50"/>
        <v>5010</v>
      </c>
    </row>
    <row r="141" spans="1:21" x14ac:dyDescent="0.25">
      <c r="A141" s="74" t="s">
        <v>138</v>
      </c>
      <c r="B141" s="75">
        <f>SUM(B133:B140)</f>
        <v>2384406.53724</v>
      </c>
      <c r="C141" s="75">
        <f t="shared" ref="C141:G141" si="54">SUM(C133:C140)</f>
        <v>298998.04000000004</v>
      </c>
      <c r="D141" s="75">
        <f t="shared" si="54"/>
        <v>60050.8</v>
      </c>
      <c r="E141" s="75">
        <f t="shared" si="54"/>
        <v>0</v>
      </c>
      <c r="F141" s="75">
        <f t="shared" si="54"/>
        <v>209430.71500000003</v>
      </c>
      <c r="G141" s="75">
        <f t="shared" si="54"/>
        <v>69069.94</v>
      </c>
      <c r="H141" s="75">
        <f>SUM(H133:H140)</f>
        <v>3021956.0322400001</v>
      </c>
      <c r="I141" s="7"/>
      <c r="J141" s="7"/>
      <c r="K141" s="75">
        <v>2817367.5022400003</v>
      </c>
      <c r="M141" s="75">
        <f t="shared" si="44"/>
        <v>204588.5299999998</v>
      </c>
      <c r="N141" s="7"/>
      <c r="O141" s="75">
        <v>2316428.9079999998</v>
      </c>
      <c r="Q141" s="75">
        <f>SUM(Q133:Q140)</f>
        <v>500938.59424000012</v>
      </c>
      <c r="R141" s="7"/>
    </row>
    <row r="142" spans="1:21" x14ac:dyDescent="0.25">
      <c r="A142" s="71" t="s">
        <v>139</v>
      </c>
      <c r="B142" s="72">
        <f>B132+B141</f>
        <v>7066844.2172400001</v>
      </c>
      <c r="C142" s="72">
        <f>C132+C141</f>
        <v>864278.04</v>
      </c>
      <c r="D142" s="72">
        <f>D132+D141</f>
        <v>153650.79999999999</v>
      </c>
      <c r="E142" s="72">
        <f t="shared" ref="E142:G142" si="55">E132+E141</f>
        <v>0</v>
      </c>
      <c r="F142" s="72">
        <f t="shared" si="55"/>
        <v>592060.71500000008</v>
      </c>
      <c r="G142" s="72">
        <f t="shared" si="55"/>
        <v>127389.94</v>
      </c>
      <c r="H142" s="72">
        <f>H132+H141</f>
        <v>8804223.7122399993</v>
      </c>
      <c r="I142" s="7"/>
      <c r="J142" s="7"/>
      <c r="K142" s="72">
        <v>8202935.18224</v>
      </c>
      <c r="M142" s="72">
        <f t="shared" si="44"/>
        <v>601288.52999999933</v>
      </c>
      <c r="N142" s="7"/>
      <c r="O142" s="72">
        <v>6793684.9079999998</v>
      </c>
      <c r="Q142" s="72">
        <f t="shared" ref="Q142" si="56">Q132+Q141</f>
        <v>1409250.2742400002</v>
      </c>
      <c r="R142" s="7"/>
    </row>
    <row r="143" spans="1:21" x14ac:dyDescent="0.25">
      <c r="A143" s="76" t="s">
        <v>140</v>
      </c>
      <c r="B143" s="15" t="str">
        <f t="shared" ref="B143:H143" si="57">B1</f>
        <v>Operating</v>
      </c>
      <c r="C143" s="15" t="str">
        <f t="shared" si="57"/>
        <v>SPED</v>
      </c>
      <c r="D143" s="15" t="str">
        <f t="shared" si="57"/>
        <v>NSLP</v>
      </c>
      <c r="E143" s="15" t="str">
        <f t="shared" si="57"/>
        <v>Other</v>
      </c>
      <c r="F143" s="15" t="str">
        <f t="shared" si="57"/>
        <v>Title I</v>
      </c>
      <c r="G143" s="15" t="str">
        <f t="shared" si="57"/>
        <v>Title II/III/IV</v>
      </c>
      <c r="H143" s="15" t="str">
        <f t="shared" si="57"/>
        <v>Total (24-25)</v>
      </c>
      <c r="I143" s="7"/>
      <c r="J143" s="7"/>
      <c r="K143" s="15" t="s">
        <v>7</v>
      </c>
      <c r="M143" s="15" t="str">
        <f>M1</f>
        <v>Variance</v>
      </c>
      <c r="N143" s="7"/>
      <c r="O143" s="15" t="s">
        <v>30</v>
      </c>
      <c r="Q143" s="15" t="str">
        <f>Q1</f>
        <v>Variance</v>
      </c>
      <c r="R143" s="7"/>
    </row>
    <row r="144" spans="1:21" x14ac:dyDescent="0.25">
      <c r="A144" s="77" t="s">
        <v>141</v>
      </c>
      <c r="B144" s="10">
        <v>215040</v>
      </c>
      <c r="C144" s="10"/>
      <c r="D144" s="10"/>
      <c r="E144" s="10">
        <v>0</v>
      </c>
      <c r="F144" s="10">
        <v>0</v>
      </c>
      <c r="G144" s="10">
        <v>0</v>
      </c>
      <c r="H144" s="5">
        <f t="shared" ref="H144:H153" si="58">SUM(B144:G144)</f>
        <v>215040</v>
      </c>
      <c r="I144" s="6" t="s">
        <v>142</v>
      </c>
      <c r="K144" s="5">
        <v>215040</v>
      </c>
      <c r="M144" s="5">
        <f t="shared" ref="M144:M154" si="59">H144-K144</f>
        <v>0</v>
      </c>
      <c r="O144" s="5">
        <v>147165</v>
      </c>
      <c r="Q144" s="52">
        <f t="shared" ref="Q144:Q153" si="60">K144-O144</f>
        <v>67875</v>
      </c>
    </row>
    <row r="145" spans="1:18" x14ac:dyDescent="0.25">
      <c r="A145" s="78" t="s">
        <v>143</v>
      </c>
      <c r="B145" s="5">
        <v>0</v>
      </c>
      <c r="C145" s="10"/>
      <c r="D145" s="10"/>
      <c r="E145" s="10"/>
      <c r="F145" s="10"/>
      <c r="G145" s="10"/>
      <c r="H145" s="5">
        <f t="shared" si="58"/>
        <v>0</v>
      </c>
      <c r="I145" s="11"/>
      <c r="K145" s="5">
        <v>0</v>
      </c>
      <c r="M145" s="5">
        <f t="shared" si="59"/>
        <v>0</v>
      </c>
      <c r="O145" s="5">
        <v>0</v>
      </c>
      <c r="Q145" s="52">
        <f t="shared" si="60"/>
        <v>0</v>
      </c>
    </row>
    <row r="146" spans="1:18" x14ac:dyDescent="0.25">
      <c r="A146" s="30" t="s">
        <v>144</v>
      </c>
      <c r="B146" s="10">
        <v>0</v>
      </c>
      <c r="C146" s="10"/>
      <c r="D146" s="10"/>
      <c r="E146" s="10">
        <v>324644.76</v>
      </c>
      <c r="F146" s="10"/>
      <c r="G146" s="10"/>
      <c r="H146" s="5">
        <f t="shared" si="58"/>
        <v>324644.76</v>
      </c>
      <c r="I146" s="11"/>
      <c r="K146" s="5">
        <v>225000</v>
      </c>
      <c r="M146" s="5">
        <f t="shared" si="59"/>
        <v>99644.760000000009</v>
      </c>
      <c r="O146" s="5">
        <v>0</v>
      </c>
      <c r="Q146" s="52">
        <f t="shared" si="60"/>
        <v>225000</v>
      </c>
    </row>
    <row r="147" spans="1:18" x14ac:dyDescent="0.25">
      <c r="A147" s="30" t="s">
        <v>145</v>
      </c>
      <c r="B147" s="5">
        <f>30*B17</f>
        <v>31800</v>
      </c>
      <c r="C147" s="10"/>
      <c r="D147" s="10"/>
      <c r="E147" s="10"/>
      <c r="F147" s="10"/>
      <c r="G147" s="10"/>
      <c r="H147" s="5">
        <f t="shared" si="58"/>
        <v>31800</v>
      </c>
      <c r="I147" s="6" t="s">
        <v>146</v>
      </c>
      <c r="K147" s="5">
        <v>30720</v>
      </c>
      <c r="M147" s="5">
        <f t="shared" si="59"/>
        <v>1080</v>
      </c>
      <c r="O147" s="5">
        <v>26700</v>
      </c>
      <c r="Q147" s="52">
        <f t="shared" si="60"/>
        <v>4020</v>
      </c>
    </row>
    <row r="148" spans="1:18" x14ac:dyDescent="0.25">
      <c r="A148" s="30" t="s">
        <v>147</v>
      </c>
      <c r="B148" s="5">
        <f>40*B17</f>
        <v>42400</v>
      </c>
      <c r="C148" s="10"/>
      <c r="D148" s="10"/>
      <c r="E148" s="10"/>
      <c r="F148" s="10"/>
      <c r="G148" s="10"/>
      <c r="H148" s="5">
        <f t="shared" si="58"/>
        <v>42400</v>
      </c>
      <c r="I148" s="6" t="s">
        <v>148</v>
      </c>
      <c r="K148" s="5">
        <v>40960</v>
      </c>
      <c r="M148" s="5">
        <f t="shared" si="59"/>
        <v>1440</v>
      </c>
      <c r="O148" s="5">
        <v>35600</v>
      </c>
      <c r="Q148" s="52">
        <f t="shared" si="60"/>
        <v>5360</v>
      </c>
    </row>
    <row r="149" spans="1:18" x14ac:dyDescent="0.25">
      <c r="A149" s="30" t="s">
        <v>149</v>
      </c>
      <c r="B149" s="5">
        <f>10*B17</f>
        <v>10600</v>
      </c>
      <c r="C149" s="10"/>
      <c r="D149" s="10"/>
      <c r="E149" s="10"/>
      <c r="F149" s="10"/>
      <c r="G149" s="10"/>
      <c r="H149" s="5">
        <f t="shared" si="58"/>
        <v>10600</v>
      </c>
      <c r="I149" s="6" t="s">
        <v>150</v>
      </c>
      <c r="K149" s="5">
        <v>10240</v>
      </c>
      <c r="M149" s="5">
        <f t="shared" si="59"/>
        <v>360</v>
      </c>
      <c r="O149" s="5">
        <v>8900</v>
      </c>
      <c r="Q149" s="52">
        <f t="shared" si="60"/>
        <v>1340</v>
      </c>
    </row>
    <row r="150" spans="1:18" x14ac:dyDescent="0.25">
      <c r="A150" s="30" t="s">
        <v>151</v>
      </c>
      <c r="B150" s="5">
        <f>8*B17</f>
        <v>8480</v>
      </c>
      <c r="C150" s="10"/>
      <c r="D150" s="10"/>
      <c r="E150" s="10"/>
      <c r="F150" s="10"/>
      <c r="G150" s="10"/>
      <c r="H150" s="5">
        <f t="shared" si="58"/>
        <v>8480</v>
      </c>
      <c r="I150" s="6" t="s">
        <v>152</v>
      </c>
      <c r="K150" s="5">
        <v>8192</v>
      </c>
      <c r="M150" s="5">
        <f t="shared" si="59"/>
        <v>288</v>
      </c>
      <c r="O150" s="5">
        <v>7120</v>
      </c>
      <c r="Q150" s="52">
        <f t="shared" si="60"/>
        <v>1072</v>
      </c>
    </row>
    <row r="151" spans="1:18" x14ac:dyDescent="0.25">
      <c r="A151" s="30" t="s">
        <v>153</v>
      </c>
      <c r="B151" s="5"/>
      <c r="C151" s="10">
        <f>150*(C20)</f>
        <v>11550</v>
      </c>
      <c r="D151" s="10"/>
      <c r="E151" s="10"/>
      <c r="F151" s="10"/>
      <c r="G151" s="10"/>
      <c r="H151" s="5">
        <f t="shared" si="58"/>
        <v>11550</v>
      </c>
      <c r="I151" s="6" t="s">
        <v>154</v>
      </c>
      <c r="K151" s="5">
        <v>11550</v>
      </c>
      <c r="M151" s="5">
        <f t="shared" si="59"/>
        <v>0</v>
      </c>
      <c r="O151" s="5">
        <v>8850</v>
      </c>
      <c r="Q151" s="52">
        <f t="shared" si="60"/>
        <v>2700</v>
      </c>
    </row>
    <row r="152" spans="1:18" x14ac:dyDescent="0.25">
      <c r="A152" s="30" t="s">
        <v>155</v>
      </c>
      <c r="B152" s="5">
        <f>100000</f>
        <v>100000</v>
      </c>
      <c r="C152" s="5"/>
      <c r="D152" s="5"/>
      <c r="E152" s="5"/>
      <c r="F152" s="5"/>
      <c r="G152" s="5"/>
      <c r="H152" s="5">
        <f t="shared" si="58"/>
        <v>100000</v>
      </c>
      <c r="I152" s="11"/>
      <c r="K152" s="5">
        <v>40000</v>
      </c>
      <c r="M152" s="5">
        <f t="shared" si="59"/>
        <v>60000</v>
      </c>
      <c r="O152" s="5">
        <v>35000</v>
      </c>
      <c r="Q152" s="52">
        <f t="shared" si="60"/>
        <v>5000</v>
      </c>
    </row>
    <row r="153" spans="1:18" x14ac:dyDescent="0.25">
      <c r="A153" s="79" t="s">
        <v>156</v>
      </c>
      <c r="B153" s="83">
        <f>B17*42+10480</f>
        <v>55000</v>
      </c>
      <c r="C153" s="5"/>
      <c r="D153" s="5"/>
      <c r="E153" s="5"/>
      <c r="F153" s="5"/>
      <c r="G153" s="5"/>
      <c r="H153" s="5">
        <f t="shared" si="58"/>
        <v>55000</v>
      </c>
      <c r="I153" s="11" t="s">
        <v>157</v>
      </c>
      <c r="K153" s="5">
        <v>43008</v>
      </c>
      <c r="M153" s="5">
        <f t="shared" si="59"/>
        <v>11992</v>
      </c>
      <c r="O153" s="5">
        <v>37380</v>
      </c>
      <c r="Q153" s="52">
        <f t="shared" si="60"/>
        <v>5628</v>
      </c>
    </row>
    <row r="154" spans="1:18" x14ac:dyDescent="0.25">
      <c r="A154" s="71" t="s">
        <v>158</v>
      </c>
      <c r="B154" s="72">
        <f>SUM(B144:B153)</f>
        <v>463320</v>
      </c>
      <c r="C154" s="72">
        <f t="shared" ref="C154:H154" si="61">SUM(C144:C153)</f>
        <v>11550</v>
      </c>
      <c r="D154" s="72">
        <f t="shared" si="61"/>
        <v>0</v>
      </c>
      <c r="E154" s="72">
        <f t="shared" si="61"/>
        <v>324644.76</v>
      </c>
      <c r="F154" s="72">
        <f t="shared" si="61"/>
        <v>0</v>
      </c>
      <c r="G154" s="72">
        <f t="shared" si="61"/>
        <v>0</v>
      </c>
      <c r="H154" s="72">
        <f t="shared" si="61"/>
        <v>799514.76</v>
      </c>
      <c r="I154" s="7"/>
      <c r="J154" s="7"/>
      <c r="K154" s="72">
        <v>624710</v>
      </c>
      <c r="M154" s="72">
        <f t="shared" si="59"/>
        <v>174804.76</v>
      </c>
      <c r="N154" s="7"/>
      <c r="O154" s="72">
        <v>306715</v>
      </c>
      <c r="Q154" s="72">
        <f t="shared" ref="Q154" si="62">SUM(Q144:Q153)</f>
        <v>317995</v>
      </c>
      <c r="R154" s="7"/>
    </row>
    <row r="155" spans="1:18" x14ac:dyDescent="0.25">
      <c r="A155" s="76" t="s">
        <v>159</v>
      </c>
      <c r="B155" s="15" t="str">
        <f t="shared" ref="B155:H155" si="63">B1</f>
        <v>Operating</v>
      </c>
      <c r="C155" s="15" t="str">
        <f t="shared" si="63"/>
        <v>SPED</v>
      </c>
      <c r="D155" s="15" t="str">
        <f t="shared" si="63"/>
        <v>NSLP</v>
      </c>
      <c r="E155" s="15" t="str">
        <f t="shared" si="63"/>
        <v>Other</v>
      </c>
      <c r="F155" s="15" t="str">
        <f t="shared" si="63"/>
        <v>Title I</v>
      </c>
      <c r="G155" s="15" t="str">
        <f t="shared" si="63"/>
        <v>Title II/III/IV</v>
      </c>
      <c r="H155" s="15" t="str">
        <f t="shared" si="63"/>
        <v>Total (24-25)</v>
      </c>
      <c r="I155" s="7"/>
      <c r="J155" s="7"/>
      <c r="K155" s="15" t="s">
        <v>7</v>
      </c>
      <c r="M155" s="15" t="str">
        <f>M1</f>
        <v>Variance</v>
      </c>
      <c r="N155" s="7"/>
      <c r="O155" s="15" t="s">
        <v>30</v>
      </c>
      <c r="Q155" s="15" t="str">
        <f>Q1</f>
        <v>Variance</v>
      </c>
      <c r="R155" s="7"/>
    </row>
    <row r="156" spans="1:18" x14ac:dyDescent="0.25">
      <c r="A156" s="30" t="s">
        <v>160</v>
      </c>
      <c r="B156" s="10">
        <v>0</v>
      </c>
      <c r="C156" s="10"/>
      <c r="D156" s="10"/>
      <c r="E156" s="10"/>
      <c r="F156" s="10"/>
      <c r="G156" s="10">
        <v>20000</v>
      </c>
      <c r="H156" s="5">
        <f t="shared" ref="H156:H169" si="64">SUM(B156:G156)</f>
        <v>20000</v>
      </c>
      <c r="I156" s="11"/>
      <c r="K156" s="5">
        <v>20000</v>
      </c>
      <c r="M156" s="5">
        <f t="shared" ref="M156:M197" si="65">H156-K156</f>
        <v>0</v>
      </c>
      <c r="O156" s="5">
        <v>20000</v>
      </c>
      <c r="Q156" s="52">
        <f t="shared" ref="Q156:Q169" si="66">K156-O156</f>
        <v>0</v>
      </c>
    </row>
    <row r="157" spans="1:18" x14ac:dyDescent="0.25">
      <c r="A157" s="30" t="s">
        <v>161</v>
      </c>
      <c r="B157" s="10">
        <v>0</v>
      </c>
      <c r="C157" s="10">
        <f>230*B17</f>
        <v>243800</v>
      </c>
      <c r="D157" s="5"/>
      <c r="E157" s="10"/>
      <c r="F157" s="10"/>
      <c r="G157" s="10"/>
      <c r="H157" s="5">
        <f t="shared" si="64"/>
        <v>243800</v>
      </c>
      <c r="I157" s="11" t="s">
        <v>162</v>
      </c>
      <c r="K157" s="5">
        <v>235520</v>
      </c>
      <c r="M157" s="5">
        <f t="shared" si="65"/>
        <v>8280</v>
      </c>
      <c r="O157" s="5">
        <v>240300</v>
      </c>
      <c r="Q157" s="52">
        <f t="shared" si="66"/>
        <v>-4780</v>
      </c>
    </row>
    <row r="158" spans="1:18" x14ac:dyDescent="0.25">
      <c r="A158" s="30" t="s">
        <v>163</v>
      </c>
      <c r="B158" s="10">
        <v>0</v>
      </c>
      <c r="C158" s="5"/>
      <c r="D158" s="5"/>
      <c r="E158" s="5"/>
      <c r="F158" s="5"/>
      <c r="G158" s="5"/>
      <c r="H158" s="5">
        <f t="shared" si="64"/>
        <v>0</v>
      </c>
      <c r="I158" s="11"/>
      <c r="K158" s="5">
        <v>0</v>
      </c>
      <c r="M158" s="5">
        <f t="shared" si="65"/>
        <v>0</v>
      </c>
      <c r="O158" s="5">
        <v>0</v>
      </c>
      <c r="Q158" s="52">
        <f t="shared" si="66"/>
        <v>0</v>
      </c>
    </row>
    <row r="159" spans="1:18" x14ac:dyDescent="0.25">
      <c r="A159" s="30" t="s">
        <v>164</v>
      </c>
      <c r="B159" s="10">
        <v>0</v>
      </c>
      <c r="C159" s="5"/>
      <c r="D159" s="5"/>
      <c r="E159" s="5"/>
      <c r="F159" s="5"/>
      <c r="G159" s="5"/>
      <c r="H159" s="5">
        <f t="shared" si="64"/>
        <v>0</v>
      </c>
      <c r="I159" s="11"/>
      <c r="K159" s="5">
        <v>41472</v>
      </c>
      <c r="M159" s="5">
        <f t="shared" si="65"/>
        <v>-41472</v>
      </c>
      <c r="O159" s="5">
        <v>0</v>
      </c>
      <c r="Q159" s="52">
        <f t="shared" si="66"/>
        <v>41472</v>
      </c>
    </row>
    <row r="160" spans="1:18" x14ac:dyDescent="0.25">
      <c r="A160" s="30" t="s">
        <v>165</v>
      </c>
      <c r="B160" s="10">
        <f>495*B17</f>
        <v>524700</v>
      </c>
      <c r="C160" s="5"/>
      <c r="D160" s="5"/>
      <c r="E160" s="5"/>
      <c r="F160" s="5"/>
      <c r="G160" s="5"/>
      <c r="H160" s="5">
        <f t="shared" si="64"/>
        <v>524700</v>
      </c>
      <c r="I160" s="11" t="s">
        <v>166</v>
      </c>
      <c r="K160" s="5">
        <v>506880</v>
      </c>
      <c r="M160" s="5">
        <f t="shared" si="65"/>
        <v>17820</v>
      </c>
      <c r="O160" s="5">
        <v>440550</v>
      </c>
      <c r="Q160" s="52">
        <f t="shared" si="66"/>
        <v>66330</v>
      </c>
    </row>
    <row r="161" spans="1:19" x14ac:dyDescent="0.25">
      <c r="A161" s="30" t="s">
        <v>167</v>
      </c>
      <c r="B161" s="10">
        <f>2000*12+1000</f>
        <v>25000</v>
      </c>
      <c r="C161" s="10"/>
      <c r="D161" s="10"/>
      <c r="E161" s="10"/>
      <c r="F161" s="10"/>
      <c r="G161" s="10"/>
      <c r="H161" s="5">
        <f t="shared" si="64"/>
        <v>25000</v>
      </c>
      <c r="I161" s="11"/>
      <c r="K161" s="5">
        <v>20332</v>
      </c>
      <c r="M161" s="5">
        <f t="shared" si="65"/>
        <v>4668</v>
      </c>
      <c r="O161" s="5">
        <v>20332</v>
      </c>
      <c r="Q161" s="52">
        <f t="shared" si="66"/>
        <v>0</v>
      </c>
    </row>
    <row r="162" spans="1:19" x14ac:dyDescent="0.25">
      <c r="A162" s="30" t="s">
        <v>168</v>
      </c>
      <c r="B162" s="10">
        <f>84000+6000+10000</f>
        <v>100000</v>
      </c>
      <c r="C162" s="5"/>
      <c r="D162" s="5"/>
      <c r="E162" s="5"/>
      <c r="F162" s="5"/>
      <c r="G162" s="5"/>
      <c r="H162" s="5">
        <f t="shared" si="64"/>
        <v>100000</v>
      </c>
      <c r="I162" s="11"/>
      <c r="K162" s="5">
        <v>90000</v>
      </c>
      <c r="M162" s="5">
        <f t="shared" si="65"/>
        <v>10000</v>
      </c>
      <c r="O162" s="5">
        <v>60000</v>
      </c>
      <c r="Q162" s="52">
        <f t="shared" si="66"/>
        <v>30000</v>
      </c>
    </row>
    <row r="163" spans="1:19" x14ac:dyDescent="0.25">
      <c r="A163" s="30" t="s">
        <v>169</v>
      </c>
      <c r="B163" s="5">
        <f>50000</f>
        <v>50000</v>
      </c>
      <c r="C163" s="5"/>
      <c r="D163" s="5"/>
      <c r="E163" s="5"/>
      <c r="F163" s="5"/>
      <c r="G163" s="5"/>
      <c r="H163" s="5">
        <f t="shared" si="64"/>
        <v>50000</v>
      </c>
      <c r="I163" s="11"/>
      <c r="K163" s="5">
        <v>10000</v>
      </c>
      <c r="M163" s="5">
        <f t="shared" si="65"/>
        <v>40000</v>
      </c>
      <c r="O163" s="5">
        <v>10000</v>
      </c>
      <c r="Q163" s="52">
        <f t="shared" si="66"/>
        <v>0</v>
      </c>
    </row>
    <row r="164" spans="1:19" x14ac:dyDescent="0.25">
      <c r="A164" s="30" t="s">
        <v>170</v>
      </c>
      <c r="B164" s="10">
        <f>48*B17+(60*12)</f>
        <v>51600</v>
      </c>
      <c r="C164" s="5"/>
      <c r="D164" s="5"/>
      <c r="E164" s="5"/>
      <c r="F164" s="5"/>
      <c r="G164" s="5"/>
      <c r="H164" s="5">
        <f t="shared" si="64"/>
        <v>51600</v>
      </c>
      <c r="I164" s="11" t="s">
        <v>171</v>
      </c>
      <c r="K164" s="5">
        <v>49872</v>
      </c>
      <c r="M164" s="5">
        <f t="shared" si="65"/>
        <v>1728</v>
      </c>
      <c r="O164" s="5">
        <v>43440</v>
      </c>
      <c r="Q164" s="52">
        <f t="shared" si="66"/>
        <v>6432</v>
      </c>
      <c r="S164" s="16"/>
    </row>
    <row r="165" spans="1:19" x14ac:dyDescent="0.25">
      <c r="A165" s="30" t="s">
        <v>172</v>
      </c>
      <c r="B165" s="10">
        <v>27500</v>
      </c>
      <c r="C165" s="5"/>
      <c r="D165" s="5"/>
      <c r="E165" s="5"/>
      <c r="F165" s="5"/>
      <c r="G165" s="5"/>
      <c r="H165" s="5">
        <f t="shared" si="64"/>
        <v>27500</v>
      </c>
      <c r="I165" s="11"/>
      <c r="K165" s="5">
        <v>27500</v>
      </c>
      <c r="M165" s="5">
        <f t="shared" si="65"/>
        <v>0</v>
      </c>
      <c r="O165" s="5">
        <v>27500</v>
      </c>
      <c r="Q165" s="52">
        <f t="shared" si="66"/>
        <v>0</v>
      </c>
    </row>
    <row r="166" spans="1:19" x14ac:dyDescent="0.25">
      <c r="A166" s="30" t="s">
        <v>173</v>
      </c>
      <c r="B166" s="10">
        <f>(B74+B75+B76+B77)*0.0125</f>
        <v>143510.47500000001</v>
      </c>
      <c r="C166" s="5"/>
      <c r="D166" s="5"/>
      <c r="E166" s="5"/>
      <c r="F166" s="5"/>
      <c r="G166" s="5"/>
      <c r="H166" s="5">
        <f t="shared" si="64"/>
        <v>143510.47500000001</v>
      </c>
      <c r="I166" s="80">
        <v>1.2500000000000001E-2</v>
      </c>
      <c r="J166" s="132"/>
      <c r="K166" s="5">
        <v>139273.33749999999</v>
      </c>
      <c r="M166" s="5">
        <f t="shared" si="65"/>
        <v>4237.1375000000116</v>
      </c>
      <c r="N166" s="132"/>
      <c r="O166" s="5">
        <v>113821.20000000001</v>
      </c>
      <c r="Q166" s="52">
        <f t="shared" si="66"/>
        <v>25452.137499999983</v>
      </c>
      <c r="R166" s="132"/>
      <c r="S166" s="73"/>
    </row>
    <row r="167" spans="1:19" x14ac:dyDescent="0.25">
      <c r="A167" s="30" t="s">
        <v>174</v>
      </c>
      <c r="B167" s="10">
        <f>B74*0.005</f>
        <v>49894.200000000004</v>
      </c>
      <c r="C167" s="5"/>
      <c r="D167" s="5"/>
      <c r="E167" s="5"/>
      <c r="F167" s="5"/>
      <c r="G167" s="5"/>
      <c r="H167" s="5">
        <f t="shared" si="64"/>
        <v>49894.200000000004</v>
      </c>
      <c r="I167" s="80" t="s">
        <v>175</v>
      </c>
      <c r="J167" s="132"/>
      <c r="K167" s="5">
        <v>48199.68</v>
      </c>
      <c r="M167" s="5">
        <f t="shared" si="65"/>
        <v>1694.5200000000041</v>
      </c>
      <c r="N167" s="132"/>
      <c r="O167" s="5">
        <v>39898.700000000004</v>
      </c>
      <c r="Q167" s="52">
        <f t="shared" si="66"/>
        <v>8300.9799999999959</v>
      </c>
      <c r="R167" s="132"/>
      <c r="S167" s="73"/>
    </row>
    <row r="168" spans="1:19" x14ac:dyDescent="0.25">
      <c r="A168" s="30" t="s">
        <v>176</v>
      </c>
      <c r="B168" s="10">
        <f>B74*0.005</f>
        <v>49894.200000000004</v>
      </c>
      <c r="C168" s="5"/>
      <c r="D168" s="5"/>
      <c r="E168" s="5"/>
      <c r="F168" s="5"/>
      <c r="G168" s="5"/>
      <c r="H168" s="5">
        <f t="shared" si="64"/>
        <v>49894.200000000004</v>
      </c>
      <c r="I168" s="80" t="s">
        <v>175</v>
      </c>
      <c r="J168" s="132"/>
      <c r="K168" s="5">
        <v>48199.68</v>
      </c>
      <c r="M168" s="5">
        <f t="shared" si="65"/>
        <v>1694.5200000000041</v>
      </c>
      <c r="N168" s="132"/>
      <c r="O168" s="5">
        <v>39898.700000000004</v>
      </c>
      <c r="Q168" s="52">
        <f t="shared" si="66"/>
        <v>8300.9799999999959</v>
      </c>
      <c r="R168" s="132"/>
      <c r="S168" s="73"/>
    </row>
    <row r="169" spans="1:19" x14ac:dyDescent="0.25">
      <c r="A169" s="79" t="s">
        <v>177</v>
      </c>
      <c r="B169" s="10">
        <v>0</v>
      </c>
      <c r="C169" s="5"/>
      <c r="D169" s="5"/>
      <c r="E169" s="5"/>
      <c r="F169" s="5"/>
      <c r="G169" s="5">
        <f>G87-G156</f>
        <v>31752.33</v>
      </c>
      <c r="H169" s="5">
        <f t="shared" si="64"/>
        <v>31752.33</v>
      </c>
      <c r="I169" s="80"/>
      <c r="J169" s="132"/>
      <c r="K169" s="5">
        <v>44196.82</v>
      </c>
      <c r="M169" s="5">
        <f t="shared" si="65"/>
        <v>-12444.489999999998</v>
      </c>
      <c r="N169" s="132"/>
      <c r="O169" s="5">
        <v>32000</v>
      </c>
      <c r="Q169" s="52">
        <f t="shared" si="66"/>
        <v>12196.82</v>
      </c>
      <c r="R169" s="132"/>
      <c r="S169" s="73"/>
    </row>
    <row r="170" spans="1:19" x14ac:dyDescent="0.25">
      <c r="A170" s="71" t="s">
        <v>178</v>
      </c>
      <c r="B170" s="72">
        <f>SUM(B156:B169)</f>
        <v>1022098.8749999999</v>
      </c>
      <c r="C170" s="72">
        <f t="shared" ref="C170:G170" si="67">SUM(C156:C169)</f>
        <v>243800</v>
      </c>
      <c r="D170" s="72">
        <f t="shared" si="67"/>
        <v>0</v>
      </c>
      <c r="E170" s="72">
        <f t="shared" si="67"/>
        <v>0</v>
      </c>
      <c r="F170" s="72">
        <f t="shared" si="67"/>
        <v>0</v>
      </c>
      <c r="G170" s="72">
        <f t="shared" si="67"/>
        <v>51752.33</v>
      </c>
      <c r="H170" s="72">
        <f>SUM(H156:H169)</f>
        <v>1317651.2050000001</v>
      </c>
      <c r="I170" s="7"/>
      <c r="J170" s="7"/>
      <c r="K170" s="72">
        <v>1281445.5174999998</v>
      </c>
      <c r="M170" s="72">
        <f t="shared" si="65"/>
        <v>36205.687500000233</v>
      </c>
      <c r="N170" s="7"/>
      <c r="O170" s="72">
        <v>1087740.5999999999</v>
      </c>
      <c r="Q170" s="72">
        <f>SUM(Q156:Q169)</f>
        <v>193704.91749999998</v>
      </c>
      <c r="R170" s="7"/>
    </row>
    <row r="171" spans="1:19" x14ac:dyDescent="0.25">
      <c r="A171" s="76" t="s">
        <v>179</v>
      </c>
      <c r="B171" s="15" t="str">
        <f t="shared" ref="B171:H171" si="68">B1</f>
        <v>Operating</v>
      </c>
      <c r="C171" s="15" t="str">
        <f t="shared" si="68"/>
        <v>SPED</v>
      </c>
      <c r="D171" s="15" t="str">
        <f t="shared" si="68"/>
        <v>NSLP</v>
      </c>
      <c r="E171" s="15" t="str">
        <f t="shared" si="68"/>
        <v>Other</v>
      </c>
      <c r="F171" s="15" t="str">
        <f t="shared" si="68"/>
        <v>Title I</v>
      </c>
      <c r="G171" s="15" t="str">
        <f t="shared" si="68"/>
        <v>Title II/III/IV</v>
      </c>
      <c r="H171" s="15" t="str">
        <f t="shared" si="68"/>
        <v>Total (24-25)</v>
      </c>
      <c r="I171" s="7"/>
      <c r="J171" s="7"/>
      <c r="K171" s="15" t="s">
        <v>7</v>
      </c>
      <c r="M171" s="15" t="str">
        <f t="shared" ref="M171" si="69">M1</f>
        <v>Variance</v>
      </c>
      <c r="N171" s="7"/>
      <c r="O171" s="15" t="s">
        <v>30</v>
      </c>
      <c r="Q171" s="15" t="str">
        <f>Q1</f>
        <v>Variance</v>
      </c>
      <c r="R171" s="7"/>
    </row>
    <row r="172" spans="1:19" x14ac:dyDescent="0.25">
      <c r="A172" s="81" t="s">
        <v>180</v>
      </c>
      <c r="B172" s="82">
        <f>1000+300*12</f>
        <v>4600</v>
      </c>
      <c r="C172" s="5"/>
      <c r="D172" s="5"/>
      <c r="E172" s="5"/>
      <c r="F172" s="5"/>
      <c r="G172" s="5"/>
      <c r="H172" s="5">
        <f t="shared" ref="H172:H196" si="70">SUM(B172:G172)</f>
        <v>4600</v>
      </c>
      <c r="I172" s="11" t="s">
        <v>181</v>
      </c>
      <c r="K172" s="5">
        <v>4600</v>
      </c>
      <c r="M172" s="5">
        <f t="shared" si="65"/>
        <v>0</v>
      </c>
      <c r="O172" s="5">
        <v>5000</v>
      </c>
      <c r="Q172" s="52">
        <f t="shared" ref="Q172:Q196" si="71">K172-O172</f>
        <v>-400</v>
      </c>
    </row>
    <row r="173" spans="1:19" x14ac:dyDescent="0.25">
      <c r="A173" s="30" t="s">
        <v>182</v>
      </c>
      <c r="B173" s="82">
        <f>1000+(2000*12)-(1580*12)</f>
        <v>6040</v>
      </c>
      <c r="C173" s="23"/>
      <c r="D173" s="5"/>
      <c r="E173" s="5"/>
      <c r="F173" s="5"/>
      <c r="G173" s="5"/>
      <c r="H173" s="5">
        <f t="shared" si="70"/>
        <v>6040</v>
      </c>
      <c r="I173" s="11" t="s">
        <v>181</v>
      </c>
      <c r="K173" s="5">
        <v>6040</v>
      </c>
      <c r="M173" s="5">
        <f t="shared" si="65"/>
        <v>0</v>
      </c>
      <c r="O173" s="5">
        <v>9000</v>
      </c>
      <c r="Q173" s="52">
        <f t="shared" si="71"/>
        <v>-2960</v>
      </c>
    </row>
    <row r="174" spans="1:19" x14ac:dyDescent="0.25">
      <c r="A174" s="30" t="s">
        <v>183</v>
      </c>
      <c r="B174" s="83"/>
      <c r="C174" s="5"/>
      <c r="D174" s="5"/>
      <c r="E174" s="5"/>
      <c r="F174" s="5"/>
      <c r="G174" s="5"/>
      <c r="H174" s="5">
        <f t="shared" si="70"/>
        <v>0</v>
      </c>
      <c r="I174" s="11"/>
      <c r="K174" s="5">
        <v>0</v>
      </c>
      <c r="M174" s="5">
        <f t="shared" si="65"/>
        <v>0</v>
      </c>
      <c r="O174" s="5">
        <v>0</v>
      </c>
      <c r="Q174" s="52">
        <f t="shared" si="71"/>
        <v>0</v>
      </c>
    </row>
    <row r="175" spans="1:19" x14ac:dyDescent="0.25">
      <c r="A175" s="30" t="s">
        <v>184</v>
      </c>
      <c r="B175" s="83">
        <v>1400</v>
      </c>
      <c r="C175" s="5"/>
      <c r="D175" s="5"/>
      <c r="E175" s="5"/>
      <c r="F175" s="5"/>
      <c r="G175" s="5"/>
      <c r="H175" s="5">
        <f t="shared" si="70"/>
        <v>1400</v>
      </c>
      <c r="I175" s="11"/>
      <c r="K175" s="5">
        <v>1400</v>
      </c>
      <c r="M175" s="5">
        <f t="shared" si="65"/>
        <v>0</v>
      </c>
      <c r="O175" s="5">
        <v>1400</v>
      </c>
      <c r="Q175" s="52">
        <f t="shared" si="71"/>
        <v>0</v>
      </c>
    </row>
    <row r="176" spans="1:19" x14ac:dyDescent="0.25">
      <c r="A176" s="30" t="s">
        <v>185</v>
      </c>
      <c r="B176" s="83">
        <v>5500</v>
      </c>
      <c r="C176" s="5"/>
      <c r="D176" s="5"/>
      <c r="E176" s="5"/>
      <c r="F176" s="5"/>
      <c r="G176" s="5"/>
      <c r="H176" s="5">
        <f t="shared" si="70"/>
        <v>5500</v>
      </c>
      <c r="I176" s="11"/>
      <c r="K176" s="5">
        <v>5500</v>
      </c>
      <c r="M176" s="5">
        <f t="shared" si="65"/>
        <v>0</v>
      </c>
      <c r="O176" s="5">
        <v>5500</v>
      </c>
      <c r="Q176" s="52">
        <f t="shared" si="71"/>
        <v>0</v>
      </c>
    </row>
    <row r="177" spans="1:19" x14ac:dyDescent="0.25">
      <c r="A177" s="30" t="s">
        <v>186</v>
      </c>
      <c r="B177" s="82">
        <v>45000</v>
      </c>
      <c r="C177" s="5"/>
      <c r="D177" s="5"/>
      <c r="E177" s="5"/>
      <c r="F177" s="5"/>
      <c r="G177" s="5"/>
      <c r="H177" s="5">
        <f t="shared" si="70"/>
        <v>45000</v>
      </c>
      <c r="I177" s="11"/>
      <c r="K177" s="5">
        <v>45000</v>
      </c>
      <c r="M177" s="5">
        <f t="shared" si="65"/>
        <v>0</v>
      </c>
      <c r="O177" s="5">
        <v>45000</v>
      </c>
      <c r="Q177" s="52">
        <f t="shared" si="71"/>
        <v>0</v>
      </c>
    </row>
    <row r="178" spans="1:19" x14ac:dyDescent="0.25">
      <c r="A178" s="30" t="s">
        <v>187</v>
      </c>
      <c r="B178" s="82">
        <f>(2.5*B17)+8500</f>
        <v>11150</v>
      </c>
      <c r="C178" s="5"/>
      <c r="D178" s="5"/>
      <c r="E178" s="5"/>
      <c r="F178" s="5"/>
      <c r="G178" s="5"/>
      <c r="H178" s="5">
        <f t="shared" si="70"/>
        <v>11150</v>
      </c>
      <c r="I178" s="11"/>
      <c r="K178" s="5">
        <v>11060</v>
      </c>
      <c r="M178" s="5">
        <f t="shared" si="65"/>
        <v>90</v>
      </c>
      <c r="O178" s="5">
        <v>10725</v>
      </c>
      <c r="Q178" s="52">
        <f t="shared" si="71"/>
        <v>335</v>
      </c>
    </row>
    <row r="179" spans="1:19" x14ac:dyDescent="0.25">
      <c r="A179" s="30" t="s">
        <v>188</v>
      </c>
      <c r="B179" s="10">
        <v>20739.2</v>
      </c>
      <c r="C179" s="5"/>
      <c r="D179" s="5"/>
      <c r="E179" s="5"/>
      <c r="F179" s="5"/>
      <c r="G179" s="5"/>
      <c r="H179" s="5">
        <f t="shared" si="70"/>
        <v>20739.2</v>
      </c>
      <c r="I179" s="11"/>
      <c r="K179" s="5">
        <v>20197.759999999998</v>
      </c>
      <c r="M179" s="5">
        <f t="shared" si="65"/>
        <v>541.44000000000233</v>
      </c>
      <c r="O179" s="5">
        <v>18361.599999999999</v>
      </c>
      <c r="Q179" s="52">
        <f t="shared" si="71"/>
        <v>1836.1599999999999</v>
      </c>
    </row>
    <row r="180" spans="1:19" x14ac:dyDescent="0.25">
      <c r="A180" s="30" t="s">
        <v>189</v>
      </c>
      <c r="B180" s="10">
        <v>18146.8</v>
      </c>
      <c r="C180" s="5"/>
      <c r="D180" s="5"/>
      <c r="E180" s="5"/>
      <c r="F180" s="5"/>
      <c r="G180" s="5"/>
      <c r="H180" s="5">
        <f t="shared" si="70"/>
        <v>18146.8</v>
      </c>
      <c r="I180" s="11"/>
      <c r="K180" s="5">
        <v>17673.04</v>
      </c>
      <c r="M180" s="5">
        <f t="shared" si="65"/>
        <v>473.7599999999984</v>
      </c>
      <c r="O180" s="5">
        <v>16066.4</v>
      </c>
      <c r="Q180" s="52">
        <f t="shared" si="71"/>
        <v>1606.6400000000012</v>
      </c>
    </row>
    <row r="181" spans="1:19" x14ac:dyDescent="0.25">
      <c r="A181" s="30" t="s">
        <v>190</v>
      </c>
      <c r="B181" s="10">
        <v>25924</v>
      </c>
      <c r="C181" s="5"/>
      <c r="D181" s="5"/>
      <c r="E181" s="5"/>
      <c r="F181" s="5"/>
      <c r="G181" s="5"/>
      <c r="H181" s="5">
        <f t="shared" si="70"/>
        <v>25924</v>
      </c>
      <c r="I181" s="11"/>
      <c r="K181" s="5">
        <v>25247.200000000001</v>
      </c>
      <c r="M181" s="5">
        <f t="shared" si="65"/>
        <v>676.79999999999927</v>
      </c>
      <c r="O181" s="5">
        <v>22952</v>
      </c>
      <c r="Q181" s="52">
        <f t="shared" si="71"/>
        <v>2295.2000000000007</v>
      </c>
    </row>
    <row r="182" spans="1:19" x14ac:dyDescent="0.25">
      <c r="A182" s="30" t="s">
        <v>191</v>
      </c>
      <c r="B182" s="5"/>
      <c r="C182" s="10"/>
      <c r="D182" s="10">
        <f>((B17*D23*0.5)*2.4*180)</f>
        <v>228960</v>
      </c>
      <c r="E182" s="10"/>
      <c r="F182" s="10"/>
      <c r="G182" s="10"/>
      <c r="H182" s="5">
        <f t="shared" si="70"/>
        <v>228960</v>
      </c>
      <c r="I182" s="58">
        <v>2.4</v>
      </c>
      <c r="J182" s="133"/>
      <c r="K182" s="5">
        <v>221184</v>
      </c>
      <c r="M182" s="5">
        <f t="shared" si="65"/>
        <v>7776</v>
      </c>
      <c r="N182" s="133"/>
      <c r="O182" s="5">
        <v>192240</v>
      </c>
      <c r="Q182" s="52">
        <f t="shared" si="71"/>
        <v>28944</v>
      </c>
      <c r="R182" s="133"/>
      <c r="S182" s="84"/>
    </row>
    <row r="183" spans="1:19" x14ac:dyDescent="0.25">
      <c r="A183" s="30" t="s">
        <v>192</v>
      </c>
      <c r="B183" s="5"/>
      <c r="C183" s="10"/>
      <c r="D183" s="10">
        <f>((B17*D23*0.5)*3.91*180)</f>
        <v>373014.00000000006</v>
      </c>
      <c r="E183" s="10"/>
      <c r="F183" s="10"/>
      <c r="G183" s="10"/>
      <c r="H183" s="5">
        <f t="shared" si="70"/>
        <v>373014.00000000006</v>
      </c>
      <c r="I183" s="58">
        <v>3.91</v>
      </c>
      <c r="J183" s="133"/>
      <c r="K183" s="5">
        <v>360345.60000000003</v>
      </c>
      <c r="M183" s="5">
        <f t="shared" si="65"/>
        <v>12668.400000000023</v>
      </c>
      <c r="N183" s="133"/>
      <c r="O183" s="5">
        <v>300375</v>
      </c>
      <c r="Q183" s="52">
        <f t="shared" si="71"/>
        <v>59970.600000000035</v>
      </c>
      <c r="R183" s="133"/>
      <c r="S183" s="84"/>
    </row>
    <row r="184" spans="1:19" x14ac:dyDescent="0.25">
      <c r="A184" s="30" t="s">
        <v>193</v>
      </c>
      <c r="B184" s="5">
        <v>15000</v>
      </c>
      <c r="C184" s="5"/>
      <c r="D184" s="5"/>
      <c r="E184" s="5"/>
      <c r="F184" s="5"/>
      <c r="G184" s="5"/>
      <c r="H184" s="5">
        <f t="shared" si="70"/>
        <v>15000</v>
      </c>
      <c r="I184" s="11"/>
      <c r="K184" s="5">
        <v>15000</v>
      </c>
      <c r="M184" s="5">
        <f t="shared" si="65"/>
        <v>0</v>
      </c>
      <c r="O184" s="5">
        <v>15000</v>
      </c>
      <c r="Q184" s="52">
        <f t="shared" si="71"/>
        <v>0</v>
      </c>
    </row>
    <row r="185" spans="1:19" x14ac:dyDescent="0.25">
      <c r="A185" s="30" t="s">
        <v>194</v>
      </c>
      <c r="B185" s="5">
        <v>7500</v>
      </c>
      <c r="C185" s="5"/>
      <c r="D185" s="5"/>
      <c r="E185" s="5"/>
      <c r="F185" s="5"/>
      <c r="G185" s="5">
        <v>0</v>
      </c>
      <c r="H185" s="5">
        <f t="shared" si="70"/>
        <v>7500</v>
      </c>
      <c r="I185" s="11"/>
      <c r="K185" s="5">
        <v>38124.400000000001</v>
      </c>
      <c r="M185" s="5">
        <f t="shared" si="65"/>
        <v>-30624.400000000001</v>
      </c>
      <c r="O185" s="5">
        <v>49500</v>
      </c>
      <c r="Q185" s="52">
        <f t="shared" si="71"/>
        <v>-11375.599999999999</v>
      </c>
    </row>
    <row r="186" spans="1:19" x14ac:dyDescent="0.25">
      <c r="A186" s="30" t="s">
        <v>195</v>
      </c>
      <c r="B186" s="5">
        <f>75*55</f>
        <v>4125</v>
      </c>
      <c r="C186" s="5">
        <v>0</v>
      </c>
      <c r="D186" s="5">
        <v>0</v>
      </c>
      <c r="E186" s="5"/>
      <c r="F186" s="5"/>
      <c r="G186" s="5"/>
      <c r="H186" s="5">
        <f t="shared" si="70"/>
        <v>4125</v>
      </c>
      <c r="I186" s="11"/>
      <c r="K186" s="5">
        <v>4125</v>
      </c>
      <c r="M186" s="5">
        <f t="shared" si="65"/>
        <v>0</v>
      </c>
      <c r="O186" s="5">
        <v>4125</v>
      </c>
      <c r="Q186" s="52">
        <f t="shared" si="71"/>
        <v>0</v>
      </c>
    </row>
    <row r="187" spans="1:19" x14ac:dyDescent="0.25">
      <c r="A187" s="30" t="s">
        <v>196</v>
      </c>
      <c r="B187" s="10">
        <f>(5*B17)+1200+2500+1200+4800</f>
        <v>15000</v>
      </c>
      <c r="C187" s="5"/>
      <c r="D187" s="5"/>
      <c r="E187" s="5"/>
      <c r="F187" s="5"/>
      <c r="G187" s="5"/>
      <c r="H187" s="5">
        <f t="shared" si="70"/>
        <v>15000</v>
      </c>
      <c r="I187" s="11" t="s">
        <v>197</v>
      </c>
      <c r="K187" s="5">
        <v>10020</v>
      </c>
      <c r="M187" s="5">
        <f t="shared" si="65"/>
        <v>4980</v>
      </c>
      <c r="O187" s="5">
        <v>9350</v>
      </c>
      <c r="Q187" s="52">
        <f t="shared" si="71"/>
        <v>670</v>
      </c>
    </row>
    <row r="188" spans="1:19" x14ac:dyDescent="0.25">
      <c r="A188" s="30" t="s">
        <v>198</v>
      </c>
      <c r="B188" s="10"/>
      <c r="C188" s="5"/>
      <c r="D188" s="5"/>
      <c r="E188" s="5"/>
      <c r="F188" s="5"/>
      <c r="G188" s="5"/>
      <c r="H188" s="5">
        <f t="shared" si="70"/>
        <v>0</v>
      </c>
      <c r="I188" s="11"/>
      <c r="K188" s="5">
        <v>0</v>
      </c>
      <c r="M188" s="5">
        <f t="shared" si="65"/>
        <v>0</v>
      </c>
      <c r="O188" s="5">
        <v>0</v>
      </c>
      <c r="Q188" s="52">
        <f t="shared" si="71"/>
        <v>0</v>
      </c>
    </row>
    <row r="189" spans="1:19" x14ac:dyDescent="0.25">
      <c r="A189" s="30" t="s">
        <v>199</v>
      </c>
      <c r="B189" s="10"/>
      <c r="C189" s="5"/>
      <c r="D189" s="5"/>
      <c r="E189" s="5"/>
      <c r="F189" s="5"/>
      <c r="G189" s="5"/>
      <c r="H189" s="5">
        <f t="shared" si="70"/>
        <v>0</v>
      </c>
      <c r="I189" s="11"/>
      <c r="K189" s="5">
        <v>0</v>
      </c>
      <c r="M189" s="5">
        <f t="shared" si="65"/>
        <v>0</v>
      </c>
      <c r="O189" s="5">
        <v>0</v>
      </c>
      <c r="Q189" s="52">
        <f t="shared" si="71"/>
        <v>0</v>
      </c>
    </row>
    <row r="190" spans="1:19" x14ac:dyDescent="0.25">
      <c r="A190" s="30" t="s">
        <v>200</v>
      </c>
      <c r="B190" s="10">
        <f>24000</f>
        <v>24000</v>
      </c>
      <c r="C190" s="5"/>
      <c r="D190" s="5"/>
      <c r="E190" s="5"/>
      <c r="F190" s="5"/>
      <c r="G190" s="5"/>
      <c r="H190" s="5">
        <f t="shared" si="70"/>
        <v>24000</v>
      </c>
      <c r="I190" s="11" t="s">
        <v>201</v>
      </c>
      <c r="K190" s="5">
        <v>24000</v>
      </c>
      <c r="M190" s="5">
        <f t="shared" si="65"/>
        <v>0</v>
      </c>
      <c r="O190" s="5">
        <v>24000</v>
      </c>
      <c r="Q190" s="52">
        <f t="shared" si="71"/>
        <v>0</v>
      </c>
    </row>
    <row r="191" spans="1:19" x14ac:dyDescent="0.25">
      <c r="A191" s="30" t="s">
        <v>202</v>
      </c>
      <c r="B191" s="10">
        <v>192750</v>
      </c>
      <c r="C191" s="10"/>
      <c r="D191" s="10"/>
      <c r="E191" s="10"/>
      <c r="F191" s="10"/>
      <c r="G191" s="10"/>
      <c r="H191" s="5">
        <f t="shared" si="70"/>
        <v>192750</v>
      </c>
      <c r="I191" s="11"/>
      <c r="K191" s="5">
        <v>171500</v>
      </c>
      <c r="M191" s="5">
        <f t="shared" si="65"/>
        <v>21250</v>
      </c>
      <c r="O191" s="5">
        <v>112000</v>
      </c>
      <c r="Q191" s="52">
        <f t="shared" si="71"/>
        <v>59500</v>
      </c>
    </row>
    <row r="192" spans="1:19" x14ac:dyDescent="0.25">
      <c r="A192" s="30" t="s">
        <v>203</v>
      </c>
      <c r="B192" s="10"/>
      <c r="C192" s="10"/>
      <c r="D192" s="10"/>
      <c r="E192" s="10"/>
      <c r="F192" s="10"/>
      <c r="G192" s="10"/>
      <c r="H192" s="5">
        <f t="shared" si="70"/>
        <v>0</v>
      </c>
      <c r="I192" s="11"/>
      <c r="K192" s="5">
        <v>0</v>
      </c>
      <c r="M192" s="5">
        <f t="shared" si="65"/>
        <v>0</v>
      </c>
      <c r="O192" s="5">
        <v>0</v>
      </c>
      <c r="Q192" s="52">
        <f t="shared" si="71"/>
        <v>0</v>
      </c>
    </row>
    <row r="193" spans="1:19" x14ac:dyDescent="0.25">
      <c r="A193" s="30" t="s">
        <v>204</v>
      </c>
      <c r="B193" s="10"/>
      <c r="C193" s="10"/>
      <c r="D193" s="10"/>
      <c r="E193" s="10"/>
      <c r="F193" s="10"/>
      <c r="G193" s="10"/>
      <c r="H193" s="5">
        <f t="shared" si="70"/>
        <v>0</v>
      </c>
      <c r="I193" s="11"/>
      <c r="K193" s="5">
        <v>0</v>
      </c>
      <c r="M193" s="5">
        <f t="shared" si="65"/>
        <v>0</v>
      </c>
      <c r="O193" s="5">
        <v>0</v>
      </c>
      <c r="Q193" s="52">
        <f t="shared" si="71"/>
        <v>0</v>
      </c>
    </row>
    <row r="194" spans="1:19" x14ac:dyDescent="0.25">
      <c r="A194" s="30" t="s">
        <v>205</v>
      </c>
      <c r="B194" s="10"/>
      <c r="C194" s="10"/>
      <c r="D194" s="10"/>
      <c r="E194" s="10">
        <v>200000</v>
      </c>
      <c r="F194" s="10"/>
      <c r="G194" s="10"/>
      <c r="H194" s="5">
        <f t="shared" si="70"/>
        <v>200000</v>
      </c>
      <c r="I194" s="11"/>
      <c r="K194" s="5">
        <v>83500</v>
      </c>
      <c r="M194" s="5"/>
      <c r="O194" s="5">
        <v>83500</v>
      </c>
      <c r="Q194" s="52">
        <f t="shared" si="71"/>
        <v>0</v>
      </c>
    </row>
    <row r="195" spans="1:19" x14ac:dyDescent="0.25">
      <c r="A195" s="30" t="s">
        <v>206</v>
      </c>
      <c r="B195" s="10">
        <v>5000</v>
      </c>
      <c r="C195" s="10"/>
      <c r="D195" s="10"/>
      <c r="E195" s="10"/>
      <c r="F195" s="10"/>
      <c r="G195" s="10"/>
      <c r="H195" s="5">
        <f t="shared" si="70"/>
        <v>5000</v>
      </c>
      <c r="I195" s="11"/>
      <c r="K195" s="5">
        <v>5000</v>
      </c>
      <c r="M195" s="5">
        <f t="shared" si="65"/>
        <v>0</v>
      </c>
      <c r="O195" s="5">
        <v>16000</v>
      </c>
      <c r="Q195" s="52">
        <f t="shared" si="71"/>
        <v>-11000</v>
      </c>
    </row>
    <row r="196" spans="1:19" x14ac:dyDescent="0.25">
      <c r="A196" s="79" t="s">
        <v>207</v>
      </c>
      <c r="B196" s="5">
        <f>B74*0.02</f>
        <v>199576.80000000002</v>
      </c>
      <c r="C196" s="5"/>
      <c r="D196" s="5"/>
      <c r="E196" s="5"/>
      <c r="F196" s="5"/>
      <c r="G196" s="5"/>
      <c r="H196" s="5">
        <f t="shared" si="70"/>
        <v>199576.80000000002</v>
      </c>
      <c r="I196" s="54" t="s">
        <v>208</v>
      </c>
      <c r="J196" s="129"/>
      <c r="K196" s="5">
        <v>192798.72</v>
      </c>
      <c r="M196" s="5">
        <f t="shared" si="65"/>
        <v>6778.0800000000163</v>
      </c>
      <c r="N196" s="129"/>
      <c r="O196" s="5">
        <v>0</v>
      </c>
      <c r="Q196" s="52">
        <f t="shared" si="71"/>
        <v>192798.72</v>
      </c>
      <c r="R196" s="129"/>
      <c r="S196" s="16"/>
    </row>
    <row r="197" spans="1:19" x14ac:dyDescent="0.25">
      <c r="A197" s="71" t="s">
        <v>209</v>
      </c>
      <c r="B197" s="72">
        <f>SUM(B172:B196)</f>
        <v>601451.80000000005</v>
      </c>
      <c r="C197" s="72">
        <f t="shared" ref="C197:H197" si="72">SUM(C172:C196)</f>
        <v>0</v>
      </c>
      <c r="D197" s="72">
        <f t="shared" si="72"/>
        <v>601974</v>
      </c>
      <c r="E197" s="72">
        <f t="shared" si="72"/>
        <v>200000</v>
      </c>
      <c r="F197" s="72">
        <f t="shared" si="72"/>
        <v>0</v>
      </c>
      <c r="G197" s="72">
        <f t="shared" si="72"/>
        <v>0</v>
      </c>
      <c r="H197" s="72">
        <f t="shared" si="72"/>
        <v>1403425.8</v>
      </c>
      <c r="I197" s="7"/>
      <c r="J197" s="7"/>
      <c r="K197" s="72">
        <v>1262315.72</v>
      </c>
      <c r="M197" s="72">
        <f t="shared" si="65"/>
        <v>141110.08000000007</v>
      </c>
      <c r="N197" s="7"/>
      <c r="O197" s="72">
        <v>940095</v>
      </c>
      <c r="Q197" s="72">
        <f t="shared" ref="Q197" si="73">SUM(Q172:Q196)</f>
        <v>322220.72000000003</v>
      </c>
      <c r="R197" s="7"/>
    </row>
    <row r="198" spans="1:19" x14ac:dyDescent="0.25">
      <c r="A198" s="76" t="s">
        <v>210</v>
      </c>
      <c r="B198" s="15" t="str">
        <f t="shared" ref="B198:H198" si="74">B1</f>
        <v>Operating</v>
      </c>
      <c r="C198" s="15" t="str">
        <f t="shared" si="74"/>
        <v>SPED</v>
      </c>
      <c r="D198" s="15" t="str">
        <f t="shared" si="74"/>
        <v>NSLP</v>
      </c>
      <c r="E198" s="15" t="str">
        <f t="shared" si="74"/>
        <v>Other</v>
      </c>
      <c r="F198" s="15" t="str">
        <f t="shared" si="74"/>
        <v>Title I</v>
      </c>
      <c r="G198" s="15" t="str">
        <f t="shared" si="74"/>
        <v>Title II/III/IV</v>
      </c>
      <c r="H198" s="15" t="str">
        <f t="shared" si="74"/>
        <v>Total (24-25)</v>
      </c>
      <c r="I198" s="7"/>
      <c r="J198" s="7"/>
      <c r="K198" s="15" t="s">
        <v>7</v>
      </c>
      <c r="M198" s="15" t="str">
        <f t="shared" ref="M198" si="75">M1</f>
        <v>Variance</v>
      </c>
      <c r="N198" s="7"/>
      <c r="O198" s="15" t="s">
        <v>30</v>
      </c>
      <c r="Q198" s="15" t="str">
        <f>Q1</f>
        <v>Variance</v>
      </c>
      <c r="R198" s="7"/>
    </row>
    <row r="199" spans="1:19" x14ac:dyDescent="0.25">
      <c r="A199" s="81" t="s">
        <v>211</v>
      </c>
      <c r="B199" s="85">
        <v>100000</v>
      </c>
      <c r="C199" s="5"/>
      <c r="D199" s="5"/>
      <c r="E199" s="5"/>
      <c r="F199" s="5"/>
      <c r="G199" s="5"/>
      <c r="H199" s="5">
        <f t="shared" ref="H199:H208" si="76">SUM(B199:G199)</f>
        <v>100000</v>
      </c>
      <c r="I199" s="6"/>
      <c r="J199" s="60"/>
      <c r="K199" s="5">
        <v>100000</v>
      </c>
      <c r="M199" s="5">
        <f t="shared" ref="M199:M220" si="77">H199-K199</f>
        <v>0</v>
      </c>
      <c r="N199" s="60"/>
      <c r="O199" s="5">
        <v>108000</v>
      </c>
      <c r="Q199" s="52">
        <f t="shared" ref="Q199:Q208" si="78">K199-O199</f>
        <v>-8000</v>
      </c>
      <c r="R199" s="60"/>
      <c r="S199" s="53"/>
    </row>
    <row r="200" spans="1:19" x14ac:dyDescent="0.25">
      <c r="A200" s="30" t="s">
        <v>212</v>
      </c>
      <c r="B200" s="82">
        <f>0</f>
        <v>0</v>
      </c>
      <c r="C200" s="5"/>
      <c r="D200" s="5"/>
      <c r="E200" s="5"/>
      <c r="F200" s="5"/>
      <c r="G200" s="5"/>
      <c r="H200" s="5">
        <f t="shared" si="76"/>
        <v>0</v>
      </c>
      <c r="I200" s="11"/>
      <c r="K200" s="5">
        <v>0</v>
      </c>
      <c r="M200" s="5">
        <f t="shared" si="77"/>
        <v>0</v>
      </c>
      <c r="O200" s="5">
        <v>0</v>
      </c>
      <c r="Q200" s="52">
        <f t="shared" si="78"/>
        <v>0</v>
      </c>
    </row>
    <row r="201" spans="1:19" x14ac:dyDescent="0.25">
      <c r="A201" s="30" t="s">
        <v>213</v>
      </c>
      <c r="B201" s="83">
        <v>60000</v>
      </c>
      <c r="C201" s="5"/>
      <c r="D201" s="5"/>
      <c r="E201" s="5"/>
      <c r="F201" s="5"/>
      <c r="G201" s="5"/>
      <c r="H201" s="5">
        <f t="shared" si="76"/>
        <v>60000</v>
      </c>
      <c r="I201" s="11"/>
      <c r="K201" s="5">
        <v>60000</v>
      </c>
      <c r="M201" s="5">
        <f t="shared" si="77"/>
        <v>0</v>
      </c>
      <c r="O201" s="5">
        <v>66000</v>
      </c>
      <c r="Q201" s="52">
        <f t="shared" si="78"/>
        <v>-6000</v>
      </c>
    </row>
    <row r="202" spans="1:19" x14ac:dyDescent="0.25">
      <c r="A202" s="30" t="s">
        <v>214</v>
      </c>
      <c r="B202" s="83">
        <v>10000</v>
      </c>
      <c r="C202" s="5"/>
      <c r="D202" s="5"/>
      <c r="E202" s="5"/>
      <c r="F202" s="5"/>
      <c r="G202" s="5"/>
      <c r="H202" s="5">
        <f t="shared" si="76"/>
        <v>10000</v>
      </c>
      <c r="I202" s="11"/>
      <c r="K202" s="5">
        <v>10000</v>
      </c>
      <c r="M202" s="5">
        <f t="shared" si="77"/>
        <v>0</v>
      </c>
      <c r="O202" s="5">
        <v>16000</v>
      </c>
      <c r="Q202" s="52">
        <f t="shared" si="78"/>
        <v>-6000</v>
      </c>
    </row>
    <row r="203" spans="1:19" x14ac:dyDescent="0.25">
      <c r="A203" s="30" t="s">
        <v>215</v>
      </c>
      <c r="B203" s="83">
        <v>9000</v>
      </c>
      <c r="C203" s="5"/>
      <c r="D203" s="5"/>
      <c r="E203" s="5"/>
      <c r="F203" s="5"/>
      <c r="G203" s="5"/>
      <c r="H203" s="5">
        <f t="shared" si="76"/>
        <v>9000</v>
      </c>
      <c r="I203" s="11"/>
      <c r="K203" s="5">
        <v>9000</v>
      </c>
      <c r="M203" s="5">
        <f t="shared" si="77"/>
        <v>0</v>
      </c>
      <c r="O203" s="5">
        <v>9000</v>
      </c>
      <c r="Q203" s="52">
        <f t="shared" si="78"/>
        <v>0</v>
      </c>
    </row>
    <row r="204" spans="1:19" x14ac:dyDescent="0.25">
      <c r="A204" s="30" t="s">
        <v>216</v>
      </c>
      <c r="B204" s="82">
        <f>5440.06*13+5500</f>
        <v>76220.78</v>
      </c>
      <c r="C204" s="5"/>
      <c r="D204" s="5"/>
      <c r="E204" s="5"/>
      <c r="F204" s="5"/>
      <c r="G204" s="5"/>
      <c r="H204" s="5">
        <f t="shared" si="76"/>
        <v>76220.78</v>
      </c>
      <c r="I204" s="11" t="s">
        <v>217</v>
      </c>
      <c r="K204" s="5">
        <v>95550</v>
      </c>
      <c r="M204" s="5">
        <f t="shared" si="77"/>
        <v>-19329.22</v>
      </c>
      <c r="O204" s="5">
        <v>87880</v>
      </c>
      <c r="Q204" s="52">
        <f t="shared" si="78"/>
        <v>7670</v>
      </c>
    </row>
    <row r="205" spans="1:19" x14ac:dyDescent="0.25">
      <c r="A205" s="30" t="s">
        <v>218</v>
      </c>
      <c r="B205" s="10">
        <v>70000</v>
      </c>
      <c r="C205" s="5"/>
      <c r="D205" s="5"/>
      <c r="E205" s="5"/>
      <c r="F205" s="5"/>
      <c r="G205" s="5"/>
      <c r="H205" s="5">
        <f t="shared" si="76"/>
        <v>70000</v>
      </c>
      <c r="I205" s="11"/>
      <c r="K205" s="5">
        <v>70000</v>
      </c>
      <c r="M205" s="5">
        <f t="shared" si="77"/>
        <v>0</v>
      </c>
      <c r="O205" s="5">
        <v>100000</v>
      </c>
      <c r="Q205" s="52">
        <f t="shared" si="78"/>
        <v>-30000</v>
      </c>
    </row>
    <row r="206" spans="1:19" x14ac:dyDescent="0.25">
      <c r="A206" s="30" t="s">
        <v>219</v>
      </c>
      <c r="B206" s="10">
        <v>0</v>
      </c>
      <c r="C206" s="5"/>
      <c r="D206" s="5"/>
      <c r="E206" s="5"/>
      <c r="F206" s="5"/>
      <c r="G206" s="5"/>
      <c r="H206" s="5">
        <f t="shared" si="76"/>
        <v>0</v>
      </c>
      <c r="I206" s="11"/>
      <c r="K206" s="5">
        <v>0</v>
      </c>
      <c r="M206" s="5">
        <f t="shared" si="77"/>
        <v>0</v>
      </c>
      <c r="O206" s="5">
        <v>0</v>
      </c>
      <c r="Q206" s="52">
        <f t="shared" si="78"/>
        <v>0</v>
      </c>
    </row>
    <row r="207" spans="1:19" x14ac:dyDescent="0.25">
      <c r="A207" s="30" t="s">
        <v>220</v>
      </c>
      <c r="B207" s="10">
        <f>(750*12)+3500*1</f>
        <v>12500</v>
      </c>
      <c r="C207" s="5"/>
      <c r="D207" s="5"/>
      <c r="E207" s="5"/>
      <c r="F207" s="5"/>
      <c r="G207" s="5"/>
      <c r="H207" s="5">
        <f t="shared" si="76"/>
        <v>12500</v>
      </c>
      <c r="I207" s="11"/>
      <c r="K207" s="5">
        <v>12500</v>
      </c>
      <c r="M207" s="5">
        <f t="shared" si="77"/>
        <v>0</v>
      </c>
      <c r="O207" s="5">
        <v>16000</v>
      </c>
      <c r="Q207" s="52">
        <f t="shared" si="78"/>
        <v>-3500</v>
      </c>
    </row>
    <row r="208" spans="1:19" x14ac:dyDescent="0.25">
      <c r="A208" s="79" t="s">
        <v>221</v>
      </c>
      <c r="B208" s="10">
        <v>15000</v>
      </c>
      <c r="C208" s="5"/>
      <c r="D208" s="5"/>
      <c r="E208" s="5"/>
      <c r="F208" s="5"/>
      <c r="G208" s="5"/>
      <c r="H208" s="5">
        <f t="shared" si="76"/>
        <v>15000</v>
      </c>
      <c r="I208" s="11"/>
      <c r="K208" s="5">
        <v>15000</v>
      </c>
      <c r="M208" s="5">
        <f t="shared" si="77"/>
        <v>0</v>
      </c>
      <c r="O208" s="5">
        <v>30500</v>
      </c>
      <c r="Q208" s="52">
        <f t="shared" si="78"/>
        <v>-15500</v>
      </c>
    </row>
    <row r="209" spans="1:18" x14ac:dyDescent="0.25">
      <c r="A209" s="71" t="s">
        <v>222</v>
      </c>
      <c r="B209" s="72">
        <f t="shared" ref="B209:H209" si="79">SUM(B199:B208)</f>
        <v>352720.78</v>
      </c>
      <c r="C209" s="72">
        <f t="shared" si="79"/>
        <v>0</v>
      </c>
      <c r="D209" s="72">
        <f t="shared" si="79"/>
        <v>0</v>
      </c>
      <c r="E209" s="72">
        <f t="shared" ref="E209" si="80">SUM(E199:E208)</f>
        <v>0</v>
      </c>
      <c r="F209" s="72">
        <f t="shared" si="79"/>
        <v>0</v>
      </c>
      <c r="G209" s="72">
        <f t="shared" si="79"/>
        <v>0</v>
      </c>
      <c r="H209" s="72">
        <f t="shared" si="79"/>
        <v>352720.78</v>
      </c>
      <c r="I209" s="7"/>
      <c r="J209" s="7"/>
      <c r="K209" s="72">
        <v>372050</v>
      </c>
      <c r="M209" s="72">
        <f t="shared" si="77"/>
        <v>-19329.219999999972</v>
      </c>
      <c r="N209" s="7"/>
      <c r="O209" s="72">
        <v>433380</v>
      </c>
      <c r="Q209" s="72">
        <f>SUM(Q199:Q208)</f>
        <v>-61330</v>
      </c>
      <c r="R209" s="7"/>
    </row>
    <row r="210" spans="1:18" x14ac:dyDescent="0.25">
      <c r="A210" s="86"/>
      <c r="B210" s="5"/>
      <c r="C210" s="5"/>
      <c r="D210" s="5"/>
      <c r="E210" s="5"/>
      <c r="F210" s="5"/>
      <c r="G210" s="5"/>
      <c r="H210" s="5"/>
      <c r="I210" s="7"/>
      <c r="J210" s="7"/>
      <c r="K210" s="5"/>
      <c r="M210" s="5">
        <f t="shared" si="77"/>
        <v>0</v>
      </c>
      <c r="N210" s="7"/>
      <c r="O210" s="5"/>
      <c r="Q210" s="5"/>
      <c r="R210" s="7"/>
    </row>
    <row r="211" spans="1:18" x14ac:dyDescent="0.25">
      <c r="A211" s="71" t="s">
        <v>223</v>
      </c>
      <c r="B211" s="72">
        <f>B142+B154+B170+B197+B209</f>
        <v>9506435.6722400002</v>
      </c>
      <c r="C211" s="72">
        <f t="shared" ref="C211:H211" si="81">C142+C154+C170+C197+C209</f>
        <v>1119628.04</v>
      </c>
      <c r="D211" s="72">
        <f t="shared" si="81"/>
        <v>755624.8</v>
      </c>
      <c r="E211" s="72">
        <f t="shared" si="81"/>
        <v>524644.76</v>
      </c>
      <c r="F211" s="72">
        <f t="shared" si="81"/>
        <v>592060.71500000008</v>
      </c>
      <c r="G211" s="72">
        <f t="shared" si="81"/>
        <v>179142.27000000002</v>
      </c>
      <c r="H211" s="72">
        <f t="shared" si="81"/>
        <v>12677536.257239999</v>
      </c>
      <c r="I211" s="7"/>
      <c r="J211" s="7"/>
      <c r="K211" s="72">
        <v>11743456.419740001</v>
      </c>
      <c r="M211" s="72">
        <f t="shared" si="77"/>
        <v>934079.83749999851</v>
      </c>
      <c r="N211" s="7"/>
      <c r="O211" s="72">
        <v>9561615.5079999994</v>
      </c>
      <c r="Q211" s="72">
        <f t="shared" ref="Q211" si="82">Q142+Q154+Q170+Q197+Q209</f>
        <v>2181840.9117400004</v>
      </c>
      <c r="R211" s="7"/>
    </row>
    <row r="212" spans="1:18" x14ac:dyDescent="0.25">
      <c r="A212" s="87"/>
      <c r="B212" s="52"/>
      <c r="C212" s="52"/>
      <c r="D212" s="52"/>
      <c r="E212" s="52"/>
      <c r="F212" s="52"/>
      <c r="G212" s="52"/>
      <c r="H212" s="52"/>
      <c r="I212" s="7"/>
      <c r="J212" s="7"/>
      <c r="K212" s="52"/>
      <c r="M212" s="52">
        <f t="shared" si="77"/>
        <v>0</v>
      </c>
      <c r="N212" s="7"/>
      <c r="O212" s="52"/>
      <c r="Q212" s="52">
        <f t="shared" ref="Q212:Q217" si="83">K212-O212</f>
        <v>0</v>
      </c>
      <c r="R212" s="7"/>
    </row>
    <row r="213" spans="1:18" x14ac:dyDescent="0.25">
      <c r="A213" s="43" t="s">
        <v>224</v>
      </c>
      <c r="B213" s="9">
        <f>1263480+336179</f>
        <v>1599659</v>
      </c>
      <c r="C213" s="9"/>
      <c r="D213" s="9"/>
      <c r="E213" s="9"/>
      <c r="F213" s="9"/>
      <c r="G213" s="9"/>
      <c r="H213" s="9">
        <f t="shared" ref="H213:H218" si="84">SUM(B213:G213)</f>
        <v>1599659</v>
      </c>
      <c r="I213" s="11"/>
      <c r="K213" s="9">
        <v>1599659</v>
      </c>
      <c r="M213" s="9">
        <f t="shared" si="77"/>
        <v>0</v>
      </c>
      <c r="O213" s="9">
        <v>1236000</v>
      </c>
      <c r="Q213" s="52">
        <f t="shared" si="83"/>
        <v>363659</v>
      </c>
    </row>
    <row r="214" spans="1:18" x14ac:dyDescent="0.25">
      <c r="A214" s="43" t="s">
        <v>225</v>
      </c>
      <c r="B214" s="9">
        <v>0</v>
      </c>
      <c r="C214" s="9"/>
      <c r="D214" s="9"/>
      <c r="E214" s="9"/>
      <c r="F214" s="9"/>
      <c r="G214" s="9"/>
      <c r="H214" s="9">
        <f t="shared" si="84"/>
        <v>0</v>
      </c>
      <c r="I214" s="11"/>
      <c r="K214" s="9">
        <v>0</v>
      </c>
      <c r="M214" s="9">
        <f t="shared" si="77"/>
        <v>0</v>
      </c>
      <c r="O214" s="9">
        <v>0</v>
      </c>
      <c r="Q214" s="52">
        <f t="shared" si="83"/>
        <v>0</v>
      </c>
    </row>
    <row r="215" spans="1:18" x14ac:dyDescent="0.25">
      <c r="A215" s="43" t="s">
        <v>226</v>
      </c>
      <c r="B215" s="9">
        <v>0</v>
      </c>
      <c r="C215" s="9"/>
      <c r="D215" s="9"/>
      <c r="E215" s="9"/>
      <c r="F215" s="9"/>
      <c r="G215" s="9"/>
      <c r="H215" s="9">
        <f t="shared" si="84"/>
        <v>0</v>
      </c>
      <c r="I215" s="11"/>
      <c r="K215" s="9">
        <v>0</v>
      </c>
      <c r="M215" s="9">
        <f t="shared" si="77"/>
        <v>0</v>
      </c>
      <c r="O215" s="9">
        <v>0</v>
      </c>
      <c r="Q215" s="52">
        <f t="shared" si="83"/>
        <v>0</v>
      </c>
    </row>
    <row r="216" spans="1:18" x14ac:dyDescent="0.25">
      <c r="A216" s="43" t="s">
        <v>227</v>
      </c>
      <c r="B216" s="9">
        <f>300*12+(170000+31500+(4095*12))</f>
        <v>254240</v>
      </c>
      <c r="C216" s="9"/>
      <c r="D216" s="9"/>
      <c r="E216" s="9"/>
      <c r="F216" s="9"/>
      <c r="G216" s="9"/>
      <c r="H216" s="9">
        <f t="shared" si="84"/>
        <v>254240</v>
      </c>
      <c r="I216" s="11" t="s">
        <v>228</v>
      </c>
      <c r="K216" s="9">
        <v>254240</v>
      </c>
      <c r="M216" s="9">
        <f t="shared" si="77"/>
        <v>0</v>
      </c>
      <c r="O216" s="9">
        <v>0</v>
      </c>
      <c r="Q216" s="52">
        <f t="shared" si="83"/>
        <v>254240</v>
      </c>
    </row>
    <row r="217" spans="1:18" x14ac:dyDescent="0.25">
      <c r="A217" s="43"/>
      <c r="B217" s="9">
        <v>0</v>
      </c>
      <c r="C217" s="9">
        <v>0</v>
      </c>
      <c r="D217" s="9">
        <v>0</v>
      </c>
      <c r="E217" s="9"/>
      <c r="F217" s="9"/>
      <c r="G217" s="9"/>
      <c r="H217" s="9">
        <f t="shared" si="84"/>
        <v>0</v>
      </c>
      <c r="I217" s="11"/>
      <c r="K217" s="9">
        <v>0</v>
      </c>
      <c r="M217" s="9">
        <f t="shared" si="77"/>
        <v>0</v>
      </c>
      <c r="O217" s="9">
        <v>0</v>
      </c>
      <c r="Q217" s="52">
        <f t="shared" si="83"/>
        <v>0</v>
      </c>
    </row>
    <row r="218" spans="1:18" ht="15.75" thickBot="1" x14ac:dyDescent="0.3">
      <c r="A218" s="30"/>
      <c r="B218" s="35"/>
      <c r="C218" s="35"/>
      <c r="D218" s="35"/>
      <c r="E218" s="35"/>
      <c r="F218" s="35"/>
      <c r="G218" s="35"/>
      <c r="H218" s="5">
        <f t="shared" si="84"/>
        <v>0</v>
      </c>
      <c r="I218" s="7"/>
      <c r="J218" s="7"/>
      <c r="K218" s="5">
        <v>0</v>
      </c>
      <c r="M218" s="5">
        <f t="shared" si="77"/>
        <v>0</v>
      </c>
      <c r="N218" s="7"/>
      <c r="O218" s="5">
        <v>0</v>
      </c>
      <c r="Q218" s="52">
        <f t="shared" ref="Q218" si="85">H218-O218</f>
        <v>0</v>
      </c>
      <c r="R218" s="7"/>
    </row>
    <row r="219" spans="1:18" ht="15.75" thickBot="1" x14ac:dyDescent="0.3">
      <c r="A219" s="88" t="s">
        <v>229</v>
      </c>
      <c r="B219" s="89">
        <f>(B97+B103)-B211-B213-B214-B216-B215</f>
        <v>833428.40775999986</v>
      </c>
      <c r="C219" s="89">
        <f t="shared" ref="C219:G219" si="86">(C97+C103)-C211-C213-C214-C216-C215</f>
        <v>-472240.00000000012</v>
      </c>
      <c r="D219" s="89">
        <f t="shared" si="86"/>
        <v>-125030.80000000005</v>
      </c>
      <c r="E219" s="89">
        <f t="shared" si="86"/>
        <v>0</v>
      </c>
      <c r="F219" s="89">
        <f t="shared" si="86"/>
        <v>-105439.20500000007</v>
      </c>
      <c r="G219" s="89">
        <f t="shared" si="86"/>
        <v>-50660.170000000013</v>
      </c>
      <c r="H219" s="89">
        <f>(H97+H103)-H211-H213-H214-H216-H215</f>
        <v>80058.232759999111</v>
      </c>
      <c r="I219" s="16"/>
      <c r="J219" s="7"/>
      <c r="K219" s="89">
        <v>69514.990259999409</v>
      </c>
      <c r="M219" s="89">
        <f t="shared" si="77"/>
        <v>10543.242499999702</v>
      </c>
      <c r="N219" s="7"/>
      <c r="O219" s="89">
        <v>110441.25200000033</v>
      </c>
      <c r="Q219" s="89">
        <f>Q97-Q211-Q213-Q214-Q216-Q215</f>
        <v>-587926.26174000045</v>
      </c>
      <c r="R219" s="7" t="b">
        <f>ROUND(K219-O219,2)=ROUND(Q219,2)</f>
        <v>0</v>
      </c>
    </row>
    <row r="220" spans="1:18" x14ac:dyDescent="0.25">
      <c r="A220" s="90"/>
      <c r="B220" s="91">
        <f t="shared" ref="B220:H220" si="87">B219/(B97)</f>
        <v>7.0612543166313033E-2</v>
      </c>
      <c r="C220" s="91">
        <f t="shared" si="87"/>
        <v>-0.72945431614708267</v>
      </c>
      <c r="D220" s="91">
        <f t="shared" si="87"/>
        <v>-0.1982746426385282</v>
      </c>
      <c r="E220" s="91">
        <f t="shared" si="87"/>
        <v>0</v>
      </c>
      <c r="F220" s="91">
        <f t="shared" si="87"/>
        <v>-0.21667600554689839</v>
      </c>
      <c r="G220" s="91">
        <f t="shared" si="87"/>
        <v>-0.39429749358081795</v>
      </c>
      <c r="H220" s="91">
        <f t="shared" si="87"/>
        <v>5.7612746569746095E-3</v>
      </c>
      <c r="I220" s="7"/>
      <c r="J220" s="7"/>
      <c r="K220" s="91">
        <v>5.298450982184618E-3</v>
      </c>
      <c r="M220" s="91">
        <f t="shared" si="77"/>
        <v>4.6282367478999147E-4</v>
      </c>
      <c r="N220" s="7"/>
      <c r="O220" s="91">
        <v>1.0124741228427594E-2</v>
      </c>
      <c r="Q220" s="91">
        <f>Q219/(Q97)</f>
        <v>-0.265811842575436</v>
      </c>
      <c r="R220" s="7"/>
    </row>
    <row r="221" spans="1:18" x14ac:dyDescent="0.25">
      <c r="B221" s="92"/>
      <c r="C221" s="92"/>
      <c r="D221" s="92"/>
      <c r="E221" s="92"/>
      <c r="F221" s="92"/>
      <c r="G221" s="92"/>
      <c r="H221" s="92"/>
      <c r="K221" s="92"/>
      <c r="L221" s="92"/>
      <c r="O221" s="92"/>
      <c r="P221" s="92"/>
    </row>
    <row r="222" spans="1:18" x14ac:dyDescent="0.25">
      <c r="A222" s="1" t="str">
        <f t="shared" ref="A222:H222" si="88">A1</f>
        <v>CIVICA Nevada - FY25</v>
      </c>
      <c r="B222" s="1" t="str">
        <f t="shared" si="88"/>
        <v>Operating</v>
      </c>
      <c r="C222" s="1" t="str">
        <f t="shared" si="88"/>
        <v>SPED</v>
      </c>
      <c r="D222" s="1" t="str">
        <f t="shared" si="88"/>
        <v>NSLP</v>
      </c>
      <c r="E222" s="1" t="str">
        <f t="shared" ref="E222" si="89">E1</f>
        <v>Other</v>
      </c>
      <c r="F222" s="1" t="str">
        <f t="shared" si="88"/>
        <v>Title I</v>
      </c>
      <c r="G222" s="1" t="str">
        <f t="shared" si="88"/>
        <v>Title II/III/IV</v>
      </c>
      <c r="H222" s="1" t="str">
        <f t="shared" si="88"/>
        <v>Total (24-25)</v>
      </c>
      <c r="I222" s="2"/>
      <c r="J222" s="2"/>
      <c r="K222" s="1" t="str">
        <f>K1</f>
        <v>24-25 (Final)</v>
      </c>
      <c r="L222" s="1"/>
      <c r="M222" s="1" t="str">
        <f>M1</f>
        <v>Variance</v>
      </c>
      <c r="N222" s="2"/>
      <c r="O222" s="1" t="str">
        <f t="shared" ref="O222" si="90">O1</f>
        <v>23-24 (Final Revised)</v>
      </c>
      <c r="P222" s="1"/>
      <c r="Q222" s="1" t="str">
        <f>Q1</f>
        <v>Variance</v>
      </c>
      <c r="R222" s="2"/>
    </row>
    <row r="224" spans="1:18" s="61" customFormat="1" x14ac:dyDescent="0.25">
      <c r="A224" s="7"/>
      <c r="B224" s="93"/>
      <c r="C224" s="93"/>
      <c r="D224" s="93"/>
      <c r="E224" s="93"/>
      <c r="F224" s="93"/>
      <c r="G224" s="93"/>
      <c r="H224" s="93"/>
      <c r="K224" s="93"/>
      <c r="L224" s="93"/>
      <c r="O224" s="93"/>
      <c r="P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0C7A-F76A-46B0-9402-EEB369C84CA0}">
  <dimension ref="A1:Q224"/>
  <sheetViews>
    <sheetView topLeftCell="A198" zoomScale="75" zoomScaleNormal="75" workbookViewId="0">
      <selection activeCell="H198"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230</v>
      </c>
      <c r="B1" s="1" t="s">
        <v>1</v>
      </c>
      <c r="C1" s="1" t="s">
        <v>2</v>
      </c>
      <c r="D1" s="1" t="s">
        <v>3</v>
      </c>
      <c r="E1" s="1" t="s">
        <v>4</v>
      </c>
      <c r="F1" s="1" t="s">
        <v>5</v>
      </c>
      <c r="G1" s="1" t="s">
        <v>6</v>
      </c>
      <c r="H1" s="1" t="s">
        <v>231</v>
      </c>
      <c r="I1" s="2"/>
      <c r="J1" s="2"/>
      <c r="K1" s="1" t="s">
        <v>7</v>
      </c>
      <c r="M1" s="1" t="s">
        <v>9</v>
      </c>
      <c r="N1" s="2"/>
    </row>
    <row r="2" spans="1:14" x14ac:dyDescent="0.25">
      <c r="A2" s="4" t="s">
        <v>14</v>
      </c>
      <c r="B2" s="5">
        <f>9414*1.03</f>
        <v>9696.42</v>
      </c>
      <c r="C2" s="5"/>
      <c r="D2" s="5"/>
      <c r="E2" s="5"/>
      <c r="F2" s="5"/>
      <c r="G2" s="5"/>
      <c r="H2" s="5">
        <f t="shared" ref="H2:H16" si="0">SUM(B2:G2)</f>
        <v>9696.42</v>
      </c>
      <c r="I2" s="6"/>
      <c r="J2" s="60"/>
      <c r="K2" s="5">
        <v>9414</v>
      </c>
      <c r="M2" s="5">
        <f t="shared" ref="M2:M65" si="1">H2-K2</f>
        <v>282.42000000000007</v>
      </c>
      <c r="N2" s="60"/>
    </row>
    <row r="3" spans="1:14" x14ac:dyDescent="0.25">
      <c r="A3" s="8" t="s">
        <v>15</v>
      </c>
      <c r="B3" s="9">
        <f t="shared" ref="B3" si="2">B4+B5+B6+B7+B8+B9+B10+B11+B12+B13+B14+B15+B16</f>
        <v>1358</v>
      </c>
      <c r="C3" s="9"/>
      <c r="D3" s="9"/>
      <c r="E3" s="9"/>
      <c r="F3" s="9"/>
      <c r="G3" s="9"/>
      <c r="H3" s="9">
        <f t="shared" si="0"/>
        <v>1358</v>
      </c>
      <c r="I3" s="6"/>
      <c r="J3" s="60"/>
      <c r="K3" s="9">
        <v>1060</v>
      </c>
      <c r="M3" s="9">
        <f t="shared" si="1"/>
        <v>298</v>
      </c>
      <c r="N3" s="60"/>
    </row>
    <row r="4" spans="1:14" x14ac:dyDescent="0.25">
      <c r="A4" s="99" t="s">
        <v>16</v>
      </c>
      <c r="B4" s="5">
        <f>27*5</f>
        <v>135</v>
      </c>
      <c r="C4" s="10"/>
      <c r="D4" s="10"/>
      <c r="E4" s="10"/>
      <c r="F4" s="10"/>
      <c r="G4" s="10"/>
      <c r="H4" s="10">
        <f t="shared" si="0"/>
        <v>135</v>
      </c>
      <c r="I4" s="122">
        <f>H4/27</f>
        <v>5</v>
      </c>
      <c r="J4" s="125"/>
      <c r="K4" s="10">
        <v>116</v>
      </c>
      <c r="L4" s="125">
        <v>5</v>
      </c>
      <c r="M4" s="10">
        <f t="shared" si="1"/>
        <v>19</v>
      </c>
      <c r="N4" s="125"/>
    </row>
    <row r="5" spans="1:14" x14ac:dyDescent="0.25">
      <c r="A5" s="8" t="s">
        <v>17</v>
      </c>
      <c r="B5" s="5">
        <f>27*5</f>
        <v>135</v>
      </c>
      <c r="C5" s="10"/>
      <c r="D5" s="10"/>
      <c r="E5" s="10"/>
      <c r="F5" s="10"/>
      <c r="G5" s="10"/>
      <c r="H5" s="10">
        <f t="shared" si="0"/>
        <v>135</v>
      </c>
      <c r="I5" s="122">
        <f t="shared" ref="I5:I8" si="3">H5/27</f>
        <v>5</v>
      </c>
      <c r="J5" s="125"/>
      <c r="K5" s="10">
        <v>129</v>
      </c>
      <c r="L5" s="125">
        <v>5</v>
      </c>
      <c r="M5" s="10">
        <f t="shared" si="1"/>
        <v>6</v>
      </c>
      <c r="N5" s="125"/>
    </row>
    <row r="6" spans="1:14" x14ac:dyDescent="0.25">
      <c r="A6" s="8" t="s">
        <v>18</v>
      </c>
      <c r="B6" s="5">
        <f>27*5</f>
        <v>135</v>
      </c>
      <c r="C6" s="10"/>
      <c r="D6" s="10"/>
      <c r="E6" s="10"/>
      <c r="F6" s="10"/>
      <c r="G6" s="10"/>
      <c r="H6" s="10">
        <f t="shared" si="0"/>
        <v>135</v>
      </c>
      <c r="I6" s="122">
        <f t="shared" si="3"/>
        <v>5</v>
      </c>
      <c r="J6" s="125"/>
      <c r="K6" s="10">
        <v>126</v>
      </c>
      <c r="L6" s="125">
        <v>5</v>
      </c>
      <c r="M6" s="10">
        <f t="shared" si="1"/>
        <v>9</v>
      </c>
      <c r="N6" s="125"/>
    </row>
    <row r="7" spans="1:14" x14ac:dyDescent="0.25">
      <c r="A7" s="12" t="s">
        <v>19</v>
      </c>
      <c r="B7" s="5">
        <f>27*5</f>
        <v>135</v>
      </c>
      <c r="C7" s="10"/>
      <c r="D7" s="10"/>
      <c r="E7" s="10"/>
      <c r="F7" s="10"/>
      <c r="G7" s="10"/>
      <c r="H7" s="10">
        <f t="shared" si="0"/>
        <v>135</v>
      </c>
      <c r="I7" s="122">
        <f t="shared" si="3"/>
        <v>5</v>
      </c>
      <c r="J7" s="125"/>
      <c r="K7" s="10">
        <v>129</v>
      </c>
      <c r="L7" s="125">
        <v>5</v>
      </c>
      <c r="M7" s="10">
        <f t="shared" si="1"/>
        <v>6</v>
      </c>
      <c r="N7" s="125"/>
    </row>
    <row r="8" spans="1:14" x14ac:dyDescent="0.25">
      <c r="A8" s="12" t="s">
        <v>20</v>
      </c>
      <c r="B8" s="5">
        <f>27*5</f>
        <v>135</v>
      </c>
      <c r="C8" s="10"/>
      <c r="D8" s="10"/>
      <c r="E8" s="10"/>
      <c r="F8" s="10"/>
      <c r="G8" s="10"/>
      <c r="H8" s="10">
        <f t="shared" si="0"/>
        <v>135</v>
      </c>
      <c r="I8" s="122">
        <f t="shared" si="3"/>
        <v>5</v>
      </c>
      <c r="J8" s="125"/>
      <c r="K8" s="10">
        <v>98</v>
      </c>
      <c r="L8" s="125">
        <v>4</v>
      </c>
      <c r="M8" s="10">
        <f t="shared" si="1"/>
        <v>37</v>
      </c>
      <c r="N8" s="125"/>
    </row>
    <row r="9" spans="1:14" x14ac:dyDescent="0.25">
      <c r="A9" s="12" t="s">
        <v>21</v>
      </c>
      <c r="B9" s="5">
        <f>25*5</f>
        <v>125</v>
      </c>
      <c r="C9" s="10"/>
      <c r="D9" s="10"/>
      <c r="E9" s="10"/>
      <c r="F9" s="10"/>
      <c r="G9" s="10"/>
      <c r="H9" s="10">
        <f t="shared" si="0"/>
        <v>125</v>
      </c>
      <c r="I9" s="122">
        <f>H9/25</f>
        <v>5</v>
      </c>
      <c r="J9" s="125"/>
      <c r="K9" s="10">
        <v>99</v>
      </c>
      <c r="L9" s="125">
        <v>4</v>
      </c>
      <c r="M9" s="10">
        <f t="shared" si="1"/>
        <v>26</v>
      </c>
      <c r="N9" s="125"/>
    </row>
    <row r="10" spans="1:14" x14ac:dyDescent="0.25">
      <c r="A10" s="12" t="s">
        <v>22</v>
      </c>
      <c r="B10" s="5">
        <f>35*3</f>
        <v>105</v>
      </c>
      <c r="C10" s="5"/>
      <c r="D10" s="5"/>
      <c r="E10" s="5"/>
      <c r="F10" s="5"/>
      <c r="G10" s="5"/>
      <c r="H10" s="10">
        <f t="shared" si="0"/>
        <v>105</v>
      </c>
      <c r="I10" s="122">
        <f>H10/35</f>
        <v>3</v>
      </c>
      <c r="J10" s="125"/>
      <c r="K10" s="10">
        <v>127</v>
      </c>
      <c r="L10" s="125">
        <v>4</v>
      </c>
      <c r="M10" s="10">
        <f t="shared" si="1"/>
        <v>-22</v>
      </c>
      <c r="N10" s="125"/>
    </row>
    <row r="11" spans="1:14" x14ac:dyDescent="0.25">
      <c r="A11" s="12" t="s">
        <v>23</v>
      </c>
      <c r="B11" s="5">
        <f>27*5</f>
        <v>135</v>
      </c>
      <c r="C11" s="5"/>
      <c r="D11" s="5"/>
      <c r="E11" s="5"/>
      <c r="F11" s="5"/>
      <c r="G11" s="5"/>
      <c r="H11" s="10">
        <f t="shared" si="0"/>
        <v>135</v>
      </c>
      <c r="I11" s="122">
        <f>H11/27</f>
        <v>5</v>
      </c>
      <c r="J11" s="125"/>
      <c r="K11" s="10">
        <v>67</v>
      </c>
      <c r="L11" s="125">
        <v>2.0303030303030303</v>
      </c>
      <c r="M11" s="10">
        <f t="shared" si="1"/>
        <v>68</v>
      </c>
      <c r="N11" s="125"/>
    </row>
    <row r="12" spans="1:14" x14ac:dyDescent="0.25">
      <c r="A12" s="12" t="s">
        <v>24</v>
      </c>
      <c r="B12" s="5">
        <f>35*2</f>
        <v>70</v>
      </c>
      <c r="C12" s="5"/>
      <c r="D12" s="5"/>
      <c r="E12" s="5"/>
      <c r="F12" s="5"/>
      <c r="G12" s="5"/>
      <c r="H12" s="10">
        <f t="shared" si="0"/>
        <v>70</v>
      </c>
      <c r="I12" s="122">
        <f>H12/35</f>
        <v>2</v>
      </c>
      <c r="J12" s="125"/>
      <c r="K12" s="10">
        <v>70</v>
      </c>
      <c r="L12" s="125">
        <v>2</v>
      </c>
      <c r="M12" s="10">
        <f t="shared" si="1"/>
        <v>0</v>
      </c>
      <c r="N12" s="125"/>
    </row>
    <row r="13" spans="1:14" x14ac:dyDescent="0.25">
      <c r="A13" s="12" t="s">
        <v>25</v>
      </c>
      <c r="B13" s="5">
        <f>27*5</f>
        <v>135</v>
      </c>
      <c r="C13" s="5"/>
      <c r="D13" s="5"/>
      <c r="E13" s="5"/>
      <c r="F13" s="5"/>
      <c r="G13" s="5"/>
      <c r="H13" s="10">
        <f t="shared" si="0"/>
        <v>135</v>
      </c>
      <c r="I13" s="122">
        <f>H13/27</f>
        <v>5</v>
      </c>
      <c r="K13" s="10">
        <v>57</v>
      </c>
      <c r="L13" s="125">
        <v>2</v>
      </c>
      <c r="M13" s="10">
        <f t="shared" si="1"/>
        <v>78</v>
      </c>
    </row>
    <row r="14" spans="1:14" x14ac:dyDescent="0.25">
      <c r="A14" s="12" t="s">
        <v>26</v>
      </c>
      <c r="B14" s="5">
        <f>35*2</f>
        <v>70</v>
      </c>
      <c r="C14" s="5"/>
      <c r="D14" s="5"/>
      <c r="E14" s="5"/>
      <c r="F14" s="5"/>
      <c r="G14" s="5"/>
      <c r="H14" s="10">
        <f t="shared" si="0"/>
        <v>70</v>
      </c>
      <c r="I14" s="122">
        <f>H14/35</f>
        <v>2</v>
      </c>
      <c r="K14" s="10">
        <v>42</v>
      </c>
      <c r="L14" s="125">
        <v>2</v>
      </c>
      <c r="M14" s="10">
        <f t="shared" si="1"/>
        <v>28</v>
      </c>
    </row>
    <row r="15" spans="1:14" x14ac:dyDescent="0.25">
      <c r="A15" s="12" t="s">
        <v>27</v>
      </c>
      <c r="B15" s="5">
        <v>43</v>
      </c>
      <c r="C15" s="5"/>
      <c r="D15" s="5"/>
      <c r="E15" s="5"/>
      <c r="F15" s="5"/>
      <c r="G15" s="5"/>
      <c r="H15" s="10">
        <f t="shared" si="0"/>
        <v>43</v>
      </c>
      <c r="I15" s="122">
        <v>2</v>
      </c>
      <c r="K15" s="10">
        <v>0</v>
      </c>
      <c r="M15" s="10">
        <f t="shared" si="1"/>
        <v>43</v>
      </c>
    </row>
    <row r="16" spans="1:14" x14ac:dyDescent="0.25">
      <c r="A16" s="12" t="s">
        <v>28</v>
      </c>
      <c r="B16" s="5">
        <v>0</v>
      </c>
      <c r="C16" s="5"/>
      <c r="D16" s="5"/>
      <c r="E16" s="5"/>
      <c r="F16" s="5"/>
      <c r="G16" s="5"/>
      <c r="H16" s="10">
        <f t="shared" si="0"/>
        <v>0</v>
      </c>
      <c r="I16" s="11"/>
      <c r="K16" s="10">
        <v>0</v>
      </c>
      <c r="M16" s="10">
        <f t="shared" si="1"/>
        <v>0</v>
      </c>
    </row>
    <row r="17" spans="1:14" x14ac:dyDescent="0.25">
      <c r="A17" s="100" t="s">
        <v>15</v>
      </c>
      <c r="B17" s="9">
        <f t="shared" ref="B17:G17" si="4">SUM(B4:B16)</f>
        <v>1358</v>
      </c>
      <c r="C17" s="9">
        <f t="shared" si="4"/>
        <v>0</v>
      </c>
      <c r="D17" s="9">
        <f t="shared" si="4"/>
        <v>0</v>
      </c>
      <c r="E17" s="9">
        <f t="shared" si="4"/>
        <v>0</v>
      </c>
      <c r="F17" s="9">
        <f t="shared" si="4"/>
        <v>0</v>
      </c>
      <c r="G17" s="9">
        <f t="shared" si="4"/>
        <v>0</v>
      </c>
      <c r="H17" s="9">
        <f>SUM(H4:H16)</f>
        <v>1358</v>
      </c>
      <c r="I17" s="122">
        <f>SUM(I4:I16)</f>
        <v>49</v>
      </c>
      <c r="J17" s="126"/>
      <c r="K17" s="9">
        <v>1060</v>
      </c>
      <c r="L17" s="125">
        <f>SUM(L4:L16)</f>
        <v>40.030303030303031</v>
      </c>
      <c r="M17" s="9">
        <f t="shared" si="1"/>
        <v>298</v>
      </c>
      <c r="N17" s="126"/>
    </row>
    <row r="18" spans="1:14" x14ac:dyDescent="0.25">
      <c r="A18" s="12"/>
      <c r="B18" s="5"/>
      <c r="C18" s="13"/>
      <c r="D18" s="13"/>
      <c r="E18" s="13"/>
      <c r="F18" s="13"/>
      <c r="G18" s="13"/>
      <c r="H18" s="13"/>
      <c r="I18" s="18"/>
      <c r="J18" s="7"/>
      <c r="K18" s="13"/>
      <c r="M18" s="13">
        <f t="shared" si="1"/>
        <v>0</v>
      </c>
      <c r="N18" s="7"/>
    </row>
    <row r="19" spans="1:14" x14ac:dyDescent="0.25">
      <c r="A19" s="14" t="s">
        <v>29</v>
      </c>
      <c r="B19" s="15" t="str">
        <f>B1</f>
        <v>Operating</v>
      </c>
      <c r="C19" s="15" t="str">
        <f>C1</f>
        <v>SPED</v>
      </c>
      <c r="D19" s="15" t="str">
        <f>D1</f>
        <v>NSLP</v>
      </c>
      <c r="E19" s="15" t="str">
        <f t="shared" ref="E19:G19" si="5">E1</f>
        <v>Other</v>
      </c>
      <c r="F19" s="15" t="str">
        <f t="shared" si="5"/>
        <v>Title I</v>
      </c>
      <c r="G19" s="15" t="str">
        <f t="shared" si="5"/>
        <v>Title II/III/IV</v>
      </c>
      <c r="H19" s="15" t="str">
        <f>H1</f>
        <v>Total (25-26)</v>
      </c>
      <c r="I19" s="16"/>
      <c r="J19" s="16"/>
      <c r="K19" s="15" t="s">
        <v>7</v>
      </c>
      <c r="M19" s="15" t="str">
        <f>M1</f>
        <v>Variance</v>
      </c>
      <c r="N19" s="16"/>
    </row>
    <row r="20" spans="1:14" x14ac:dyDescent="0.25">
      <c r="A20" s="12" t="s">
        <v>31</v>
      </c>
      <c r="B20" s="5"/>
      <c r="C20" s="5">
        <f>('24-25'!C20/'24-25'!B17)*'25-26'!B17</f>
        <v>98.647169811320751</v>
      </c>
      <c r="D20" s="5"/>
      <c r="E20" s="5"/>
      <c r="F20" s="5"/>
      <c r="G20" s="5"/>
      <c r="H20" s="5">
        <f>SUM(B20:G20)</f>
        <v>98.647169811320751</v>
      </c>
      <c r="I20" s="17" t="s">
        <v>32</v>
      </c>
      <c r="J20" s="127"/>
      <c r="K20" s="5">
        <v>77</v>
      </c>
      <c r="M20" s="5">
        <f t="shared" si="1"/>
        <v>21.647169811320751</v>
      </c>
      <c r="N20" s="127"/>
    </row>
    <row r="21" spans="1:14" x14ac:dyDescent="0.25">
      <c r="A21" s="12" t="s">
        <v>33</v>
      </c>
      <c r="B21" s="5">
        <f>('24-25'!B21+25)</f>
        <v>301</v>
      </c>
      <c r="C21" s="5"/>
      <c r="D21" s="5"/>
      <c r="E21" s="5"/>
      <c r="F21" s="5"/>
      <c r="G21" s="5"/>
      <c r="H21" s="5">
        <f>SUM(B21:G21)</f>
        <v>301</v>
      </c>
      <c r="I21" s="17"/>
      <c r="J21" s="127"/>
      <c r="K21" s="5">
        <v>276</v>
      </c>
      <c r="M21" s="5">
        <f t="shared" si="1"/>
        <v>25</v>
      </c>
      <c r="N21" s="127"/>
    </row>
    <row r="22" spans="1:14" x14ac:dyDescent="0.25">
      <c r="A22" s="12" t="s">
        <v>34</v>
      </c>
      <c r="B22" s="10">
        <v>0</v>
      </c>
      <c r="C22" s="10"/>
      <c r="D22" s="10"/>
      <c r="E22" s="10"/>
      <c r="F22" s="10"/>
      <c r="G22" s="10"/>
      <c r="H22" s="5">
        <f>SUM(B22:G22)</f>
        <v>0</v>
      </c>
      <c r="I22" s="11"/>
      <c r="K22" s="5">
        <v>0</v>
      </c>
      <c r="M22" s="5">
        <f t="shared" si="1"/>
        <v>0</v>
      </c>
    </row>
    <row r="23" spans="1:14" x14ac:dyDescent="0.25">
      <c r="A23" s="12" t="s">
        <v>35</v>
      </c>
      <c r="B23" s="10">
        <f>('24-25'!B23/'24-25'!B17)*'25-26'!B17</f>
        <v>707.18490566037735</v>
      </c>
      <c r="C23" s="19"/>
      <c r="D23" s="19">
        <v>1</v>
      </c>
      <c r="E23" s="19"/>
      <c r="F23" s="19"/>
      <c r="G23" s="19"/>
      <c r="H23" s="19">
        <f>SUM(C23:G23)</f>
        <v>1</v>
      </c>
      <c r="I23" s="20"/>
      <c r="J23" s="128"/>
      <c r="K23" s="19">
        <v>1</v>
      </c>
      <c r="M23" s="19">
        <f t="shared" si="1"/>
        <v>0</v>
      </c>
      <c r="N23" s="128"/>
    </row>
    <row r="24" spans="1:14" x14ac:dyDescent="0.25">
      <c r="A24" s="12" t="s">
        <v>36</v>
      </c>
      <c r="B24" s="5">
        <f>('24-25'!B24+3)</f>
        <v>104</v>
      </c>
      <c r="C24" s="5"/>
      <c r="D24" s="5"/>
      <c r="E24" s="5"/>
      <c r="F24" s="5"/>
      <c r="G24" s="5"/>
      <c r="H24" s="5">
        <f>SUM(B24:G24)</f>
        <v>104</v>
      </c>
      <c r="I24" s="20"/>
      <c r="J24" s="128"/>
      <c r="K24" s="5">
        <v>101</v>
      </c>
      <c r="M24" s="5">
        <f t="shared" si="1"/>
        <v>3</v>
      </c>
      <c r="N24" s="128"/>
    </row>
    <row r="25" spans="1:14" x14ac:dyDescent="0.25">
      <c r="A25" s="12"/>
      <c r="B25" s="5"/>
      <c r="C25" s="5"/>
      <c r="D25" s="5"/>
      <c r="E25" s="5"/>
      <c r="F25" s="5"/>
      <c r="G25" s="5"/>
      <c r="H25" s="5"/>
      <c r="I25" s="7"/>
      <c r="J25" s="7"/>
      <c r="K25" s="5"/>
      <c r="M25" s="5">
        <f t="shared" si="1"/>
        <v>0</v>
      </c>
      <c r="N25" s="7"/>
    </row>
    <row r="26" spans="1:14" x14ac:dyDescent="0.25">
      <c r="A26" s="21" t="s">
        <v>37</v>
      </c>
      <c r="B26" s="15" t="str">
        <f>B1</f>
        <v>Operating</v>
      </c>
      <c r="C26" s="15" t="str">
        <f>C1</f>
        <v>SPED</v>
      </c>
      <c r="D26" s="15" t="str">
        <f>D1</f>
        <v>NSLP</v>
      </c>
      <c r="E26" s="15" t="str">
        <f t="shared" ref="E26:G26" si="6">E1</f>
        <v>Other</v>
      </c>
      <c r="F26" s="15" t="str">
        <f t="shared" si="6"/>
        <v>Title I</v>
      </c>
      <c r="G26" s="15" t="str">
        <f t="shared" si="6"/>
        <v>Title II/III/IV</v>
      </c>
      <c r="H26" s="15" t="str">
        <f>H1</f>
        <v>Total (25-26)</v>
      </c>
      <c r="I26" s="16"/>
      <c r="J26" s="16"/>
      <c r="K26" s="15" t="s">
        <v>7</v>
      </c>
      <c r="M26" s="15" t="str">
        <f>M1</f>
        <v>Variance</v>
      </c>
      <c r="N26" s="16"/>
    </row>
    <row r="27" spans="1:14" x14ac:dyDescent="0.25">
      <c r="A27" s="29" t="s">
        <v>38</v>
      </c>
      <c r="B27" s="23">
        <v>49</v>
      </c>
      <c r="C27" s="23"/>
      <c r="D27" s="23"/>
      <c r="E27" s="23"/>
      <c r="F27" s="23"/>
      <c r="G27" s="23"/>
      <c r="H27" s="23">
        <f t="shared" ref="H27:H35" si="7">SUM(B27:G27)</f>
        <v>49</v>
      </c>
      <c r="I27" s="122">
        <f>H27/6</f>
        <v>8.1666666666666661</v>
      </c>
      <c r="J27" s="125"/>
      <c r="K27" s="23">
        <v>40</v>
      </c>
      <c r="M27" s="23">
        <f t="shared" si="1"/>
        <v>9</v>
      </c>
      <c r="N27" s="125"/>
    </row>
    <row r="28" spans="1:14" x14ac:dyDescent="0.25">
      <c r="A28" s="29" t="s">
        <v>39</v>
      </c>
      <c r="B28" s="25">
        <v>0</v>
      </c>
      <c r="C28" s="25">
        <v>6</v>
      </c>
      <c r="D28" s="25"/>
      <c r="E28" s="25"/>
      <c r="F28" s="25"/>
      <c r="G28" s="25"/>
      <c r="H28" s="23">
        <f t="shared" si="7"/>
        <v>6</v>
      </c>
      <c r="I28" s="122">
        <f>H20/21</f>
        <v>4.6974842767295595</v>
      </c>
      <c r="J28" s="125"/>
      <c r="K28" s="23">
        <v>6</v>
      </c>
      <c r="M28" s="23">
        <f t="shared" si="1"/>
        <v>0</v>
      </c>
      <c r="N28" s="125"/>
    </row>
    <row r="29" spans="1:14" x14ac:dyDescent="0.25">
      <c r="A29" s="29" t="s">
        <v>40</v>
      </c>
      <c r="B29" s="23">
        <v>1</v>
      </c>
      <c r="C29" s="23"/>
      <c r="D29" s="23"/>
      <c r="E29" s="23"/>
      <c r="F29" s="23"/>
      <c r="G29" s="23"/>
      <c r="H29" s="23">
        <f t="shared" si="7"/>
        <v>1</v>
      </c>
      <c r="I29" s="11"/>
      <c r="K29" s="23">
        <v>1</v>
      </c>
      <c r="M29" s="23">
        <f t="shared" si="1"/>
        <v>0</v>
      </c>
    </row>
    <row r="30" spans="1:14" x14ac:dyDescent="0.25">
      <c r="A30" s="29" t="s">
        <v>41</v>
      </c>
      <c r="B30" s="23">
        <v>1</v>
      </c>
      <c r="C30" s="23"/>
      <c r="D30" s="23"/>
      <c r="E30" s="23"/>
      <c r="F30" s="23"/>
      <c r="G30" s="23"/>
      <c r="H30" s="23">
        <f t="shared" si="7"/>
        <v>1</v>
      </c>
      <c r="I30" s="11"/>
      <c r="K30" s="23">
        <v>1</v>
      </c>
      <c r="M30" s="23">
        <f t="shared" si="1"/>
        <v>0</v>
      </c>
    </row>
    <row r="31" spans="1:14" x14ac:dyDescent="0.25">
      <c r="A31" s="29" t="s">
        <v>42</v>
      </c>
      <c r="B31" s="23">
        <v>1</v>
      </c>
      <c r="C31" s="23"/>
      <c r="D31" s="23"/>
      <c r="E31" s="23"/>
      <c r="F31" s="23"/>
      <c r="G31" s="23"/>
      <c r="H31" s="23">
        <f t="shared" si="7"/>
        <v>1</v>
      </c>
      <c r="I31" s="11"/>
      <c r="K31" s="23">
        <v>1</v>
      </c>
      <c r="M31" s="23">
        <f t="shared" si="1"/>
        <v>0</v>
      </c>
    </row>
    <row r="32" spans="1:14" x14ac:dyDescent="0.25">
      <c r="A32" s="97" t="s">
        <v>43</v>
      </c>
      <c r="B32" s="23">
        <v>1</v>
      </c>
      <c r="C32" s="23"/>
      <c r="D32" s="23"/>
      <c r="E32" s="23"/>
      <c r="F32" s="23"/>
      <c r="G32" s="23"/>
      <c r="H32" s="23">
        <f t="shared" si="7"/>
        <v>1</v>
      </c>
      <c r="I32" s="11"/>
      <c r="K32" s="23">
        <v>0</v>
      </c>
      <c r="M32" s="23">
        <f t="shared" si="1"/>
        <v>1</v>
      </c>
    </row>
    <row r="33" spans="1:14" x14ac:dyDescent="0.25">
      <c r="A33" s="97" t="s">
        <v>44</v>
      </c>
      <c r="B33" s="23">
        <v>0</v>
      </c>
      <c r="C33" s="23"/>
      <c r="D33" s="23"/>
      <c r="E33" s="23"/>
      <c r="F33" s="23"/>
      <c r="G33" s="23"/>
      <c r="H33" s="23">
        <f t="shared" si="7"/>
        <v>0</v>
      </c>
      <c r="I33" s="11"/>
      <c r="K33" s="23">
        <v>1</v>
      </c>
      <c r="M33" s="23">
        <f t="shared" si="1"/>
        <v>-1</v>
      </c>
    </row>
    <row r="34" spans="1:14" x14ac:dyDescent="0.25">
      <c r="A34" s="97" t="s">
        <v>45</v>
      </c>
      <c r="B34" s="23">
        <v>0</v>
      </c>
      <c r="C34" s="23"/>
      <c r="D34" s="23"/>
      <c r="E34" s="23"/>
      <c r="F34" s="23"/>
      <c r="G34" s="23"/>
      <c r="H34" s="23">
        <f t="shared" si="7"/>
        <v>0</v>
      </c>
      <c r="I34" s="11"/>
      <c r="K34" s="23">
        <v>2</v>
      </c>
      <c r="M34" s="23">
        <f t="shared" si="1"/>
        <v>-2</v>
      </c>
    </row>
    <row r="35" spans="1:14" x14ac:dyDescent="0.25">
      <c r="A35" s="30" t="s">
        <v>46</v>
      </c>
      <c r="B35" s="23">
        <v>0</v>
      </c>
      <c r="C35" s="23"/>
      <c r="D35" s="23"/>
      <c r="E35" s="23"/>
      <c r="F35" s="23"/>
      <c r="G35" s="23"/>
      <c r="H35" s="23">
        <f t="shared" si="7"/>
        <v>0</v>
      </c>
      <c r="I35" s="11"/>
      <c r="K35" s="23">
        <v>0</v>
      </c>
      <c r="M35" s="23">
        <f t="shared" si="1"/>
        <v>0</v>
      </c>
    </row>
    <row r="36" spans="1:14" x14ac:dyDescent="0.25">
      <c r="A36" s="21" t="s">
        <v>47</v>
      </c>
      <c r="B36" s="28">
        <f>SUM(B27:B35)</f>
        <v>53</v>
      </c>
      <c r="C36" s="28">
        <f t="shared" ref="C36:G36" si="8">SUM(C27:C35)</f>
        <v>6</v>
      </c>
      <c r="D36" s="28">
        <f t="shared" si="8"/>
        <v>0</v>
      </c>
      <c r="E36" s="28">
        <f t="shared" si="8"/>
        <v>0</v>
      </c>
      <c r="F36" s="28">
        <f t="shared" si="8"/>
        <v>0</v>
      </c>
      <c r="G36" s="28">
        <f t="shared" si="8"/>
        <v>0</v>
      </c>
      <c r="H36" s="28">
        <f>SUM(H27:H35)</f>
        <v>59</v>
      </c>
      <c r="I36" s="7"/>
      <c r="J36" s="7"/>
      <c r="K36" s="28">
        <v>52</v>
      </c>
      <c r="M36" s="28">
        <f t="shared" si="1"/>
        <v>7</v>
      </c>
      <c r="N36" s="7"/>
    </row>
    <row r="37" spans="1:14" x14ac:dyDescent="0.25">
      <c r="A37" s="27"/>
      <c r="B37" s="5"/>
      <c r="C37" s="5"/>
      <c r="D37" s="5"/>
      <c r="E37" s="5"/>
      <c r="F37" s="5"/>
      <c r="G37" s="5"/>
      <c r="H37" s="5"/>
      <c r="I37" s="7"/>
      <c r="J37" s="7"/>
      <c r="K37" s="5"/>
      <c r="M37" s="5">
        <f t="shared" si="1"/>
        <v>0</v>
      </c>
      <c r="N37" s="7"/>
    </row>
    <row r="38" spans="1:14" x14ac:dyDescent="0.25">
      <c r="A38" s="21" t="s">
        <v>48</v>
      </c>
      <c r="B38" s="15" t="str">
        <f>B1</f>
        <v>Operating</v>
      </c>
      <c r="C38" s="15" t="str">
        <f>C1</f>
        <v>SPED</v>
      </c>
      <c r="D38" s="15" t="str">
        <f>D1</f>
        <v>NSLP</v>
      </c>
      <c r="E38" s="15" t="str">
        <f t="shared" ref="E38:G38" si="9">E1</f>
        <v>Other</v>
      </c>
      <c r="F38" s="15" t="str">
        <f t="shared" si="9"/>
        <v>Title I</v>
      </c>
      <c r="G38" s="15" t="str">
        <f t="shared" si="9"/>
        <v>Title II/III/IV</v>
      </c>
      <c r="H38" s="15" t="str">
        <f>H1</f>
        <v>Total (25-26)</v>
      </c>
      <c r="I38" s="16"/>
      <c r="J38" s="16"/>
      <c r="K38" s="15" t="s">
        <v>7</v>
      </c>
      <c r="M38" s="15" t="str">
        <f>M1</f>
        <v>Variance</v>
      </c>
      <c r="N38" s="16"/>
    </row>
    <row r="39" spans="1:14" x14ac:dyDescent="0.25">
      <c r="A39" s="29" t="s">
        <v>49</v>
      </c>
      <c r="B39" s="25">
        <v>1</v>
      </c>
      <c r="C39" s="25"/>
      <c r="D39" s="25"/>
      <c r="E39" s="25"/>
      <c r="F39" s="25"/>
      <c r="G39" s="25"/>
      <c r="H39" s="23">
        <f t="shared" ref="H39:H44" si="10">SUM(B39:G39)</f>
        <v>1</v>
      </c>
      <c r="I39" s="11"/>
      <c r="K39" s="23">
        <v>1</v>
      </c>
      <c r="M39" s="23">
        <f t="shared" si="1"/>
        <v>0</v>
      </c>
    </row>
    <row r="40" spans="1:14" x14ac:dyDescent="0.25">
      <c r="A40" s="29" t="s">
        <v>50</v>
      </c>
      <c r="B40" s="25">
        <v>4</v>
      </c>
      <c r="C40" s="25"/>
      <c r="D40" s="25"/>
      <c r="E40" s="25"/>
      <c r="F40" s="25">
        <v>0</v>
      </c>
      <c r="G40" s="25"/>
      <c r="H40" s="23">
        <f t="shared" si="10"/>
        <v>4</v>
      </c>
      <c r="I40" s="11"/>
      <c r="K40" s="23">
        <v>4</v>
      </c>
      <c r="M40" s="23">
        <f t="shared" si="1"/>
        <v>0</v>
      </c>
    </row>
    <row r="41" spans="1:14" x14ac:dyDescent="0.25">
      <c r="A41" s="30" t="s">
        <v>51</v>
      </c>
      <c r="B41" s="25">
        <v>1</v>
      </c>
      <c r="C41" s="25"/>
      <c r="D41" s="25"/>
      <c r="E41" s="25"/>
      <c r="F41" s="25"/>
      <c r="G41" s="25"/>
      <c r="H41" s="23">
        <f t="shared" si="10"/>
        <v>1</v>
      </c>
      <c r="I41" s="11"/>
      <c r="K41" s="23">
        <v>1</v>
      </c>
      <c r="M41" s="23">
        <f t="shared" si="1"/>
        <v>0</v>
      </c>
    </row>
    <row r="42" spans="1:14" x14ac:dyDescent="0.25">
      <c r="A42" s="31" t="s">
        <v>52</v>
      </c>
      <c r="B42" s="25">
        <v>1</v>
      </c>
      <c r="C42" s="25"/>
      <c r="D42" s="25"/>
      <c r="E42" s="25"/>
      <c r="F42" s="25">
        <v>1</v>
      </c>
      <c r="G42" s="25"/>
      <c r="H42" s="23">
        <f t="shared" si="10"/>
        <v>2</v>
      </c>
      <c r="I42" s="11"/>
      <c r="K42" s="23">
        <v>1</v>
      </c>
      <c r="M42" s="23">
        <f t="shared" si="1"/>
        <v>1</v>
      </c>
    </row>
    <row r="43" spans="1:14" x14ac:dyDescent="0.25">
      <c r="A43" s="31" t="s">
        <v>53</v>
      </c>
      <c r="B43" s="25">
        <v>3</v>
      </c>
      <c r="C43" s="25"/>
      <c r="D43" s="25"/>
      <c r="E43" s="25"/>
      <c r="F43" s="25"/>
      <c r="G43" s="25"/>
      <c r="H43" s="23">
        <f t="shared" si="10"/>
        <v>3</v>
      </c>
      <c r="I43" s="11"/>
      <c r="K43" s="23">
        <v>4</v>
      </c>
      <c r="M43" s="23">
        <f t="shared" si="1"/>
        <v>-1</v>
      </c>
    </row>
    <row r="44" spans="1:14" x14ac:dyDescent="0.25">
      <c r="A44" s="31" t="s">
        <v>54</v>
      </c>
      <c r="B44" s="25">
        <v>2</v>
      </c>
      <c r="C44" s="25"/>
      <c r="D44" s="25"/>
      <c r="E44" s="25"/>
      <c r="F44" s="25">
        <v>1</v>
      </c>
      <c r="G44" s="25">
        <v>0</v>
      </c>
      <c r="H44" s="23">
        <f t="shared" si="10"/>
        <v>3</v>
      </c>
      <c r="I44" s="11"/>
      <c r="K44" s="23">
        <v>3</v>
      </c>
      <c r="M44" s="23">
        <f t="shared" si="1"/>
        <v>0</v>
      </c>
    </row>
    <row r="45" spans="1:14" x14ac:dyDescent="0.25">
      <c r="A45" s="31" t="s">
        <v>55</v>
      </c>
      <c r="B45" s="25">
        <v>0</v>
      </c>
      <c r="C45" s="25"/>
      <c r="D45" s="25"/>
      <c r="E45" s="25"/>
      <c r="F45" s="25"/>
      <c r="G45" s="25"/>
      <c r="H45" s="23"/>
      <c r="I45" s="11"/>
      <c r="K45" s="23">
        <v>0</v>
      </c>
      <c r="M45" s="23">
        <f t="shared" si="1"/>
        <v>0</v>
      </c>
    </row>
    <row r="46" spans="1:14" x14ac:dyDescent="0.25">
      <c r="A46" s="29" t="s">
        <v>56</v>
      </c>
      <c r="B46" s="25">
        <v>2</v>
      </c>
      <c r="C46" s="25"/>
      <c r="D46" s="25"/>
      <c r="E46" s="25"/>
      <c r="F46" s="25"/>
      <c r="G46" s="25"/>
      <c r="H46" s="23">
        <f t="shared" ref="H46:H60" si="11">SUM(B46:G46)</f>
        <v>2</v>
      </c>
      <c r="I46" s="11"/>
      <c r="K46" s="23">
        <v>2</v>
      </c>
      <c r="M46" s="23">
        <f t="shared" si="1"/>
        <v>0</v>
      </c>
    </row>
    <row r="47" spans="1:14" x14ac:dyDescent="0.25">
      <c r="A47" s="29" t="s">
        <v>57</v>
      </c>
      <c r="B47" s="25">
        <v>2</v>
      </c>
      <c r="C47" s="25"/>
      <c r="D47" s="25"/>
      <c r="E47" s="25"/>
      <c r="F47" s="25"/>
      <c r="G47" s="25"/>
      <c r="H47" s="23">
        <f t="shared" si="11"/>
        <v>2</v>
      </c>
      <c r="I47" s="11"/>
      <c r="K47" s="23">
        <v>1</v>
      </c>
      <c r="M47" s="23">
        <f t="shared" si="1"/>
        <v>1</v>
      </c>
    </row>
    <row r="48" spans="1:14" x14ac:dyDescent="0.25">
      <c r="A48" s="29" t="s">
        <v>58</v>
      </c>
      <c r="B48" s="25">
        <v>4</v>
      </c>
      <c r="C48" s="25"/>
      <c r="D48" s="25"/>
      <c r="E48" s="25"/>
      <c r="F48" s="25"/>
      <c r="G48" s="25"/>
      <c r="H48" s="23">
        <f t="shared" si="11"/>
        <v>4</v>
      </c>
      <c r="I48" s="11"/>
      <c r="K48" s="23">
        <v>1</v>
      </c>
      <c r="M48" s="23">
        <f t="shared" si="1"/>
        <v>3</v>
      </c>
    </row>
    <row r="49" spans="1:14" x14ac:dyDescent="0.25">
      <c r="A49" s="29" t="s">
        <v>59</v>
      </c>
      <c r="B49" s="25">
        <v>3</v>
      </c>
      <c r="C49" s="25"/>
      <c r="D49" s="25"/>
      <c r="E49" s="25"/>
      <c r="F49" s="25"/>
      <c r="G49" s="25"/>
      <c r="H49" s="23">
        <f t="shared" si="11"/>
        <v>3</v>
      </c>
      <c r="I49" s="11"/>
      <c r="K49" s="23">
        <v>2</v>
      </c>
      <c r="M49" s="23">
        <f t="shared" si="1"/>
        <v>1</v>
      </c>
    </row>
    <row r="50" spans="1:14" x14ac:dyDescent="0.25">
      <c r="A50" s="29" t="s">
        <v>60</v>
      </c>
      <c r="B50" s="25">
        <v>10</v>
      </c>
      <c r="C50" s="25">
        <v>4</v>
      </c>
      <c r="D50" s="25"/>
      <c r="E50" s="25"/>
      <c r="F50" s="25">
        <v>8</v>
      </c>
      <c r="G50" s="25">
        <v>4</v>
      </c>
      <c r="H50" s="23">
        <f t="shared" si="11"/>
        <v>26</v>
      </c>
      <c r="I50" s="11"/>
      <c r="K50" s="23">
        <v>24</v>
      </c>
      <c r="M50" s="23">
        <f t="shared" si="1"/>
        <v>2</v>
      </c>
    </row>
    <row r="51" spans="1:14" x14ac:dyDescent="0.25">
      <c r="A51" s="29" t="s">
        <v>61</v>
      </c>
      <c r="B51" s="25">
        <v>6</v>
      </c>
      <c r="C51" s="25"/>
      <c r="D51" s="25"/>
      <c r="E51" s="25"/>
      <c r="F51" s="25"/>
      <c r="G51" s="25"/>
      <c r="H51" s="23">
        <f t="shared" si="11"/>
        <v>6</v>
      </c>
      <c r="I51" s="11"/>
      <c r="K51" s="23">
        <v>4</v>
      </c>
      <c r="M51" s="23">
        <f t="shared" si="1"/>
        <v>2</v>
      </c>
    </row>
    <row r="52" spans="1:14" x14ac:dyDescent="0.25">
      <c r="A52" s="29" t="s">
        <v>62</v>
      </c>
      <c r="B52" s="25"/>
      <c r="C52" s="25"/>
      <c r="D52" s="25">
        <v>5</v>
      </c>
      <c r="E52" s="25"/>
      <c r="F52" s="25"/>
      <c r="G52" s="25"/>
      <c r="H52" s="23">
        <f t="shared" si="11"/>
        <v>5</v>
      </c>
      <c r="I52" s="11"/>
      <c r="K52" s="23">
        <v>4</v>
      </c>
      <c r="M52" s="23">
        <f t="shared" si="1"/>
        <v>1</v>
      </c>
    </row>
    <row r="53" spans="1:14" x14ac:dyDescent="0.25">
      <c r="A53" s="29" t="s">
        <v>63</v>
      </c>
      <c r="B53" s="25">
        <v>0</v>
      </c>
      <c r="C53" s="25"/>
      <c r="D53" s="25"/>
      <c r="E53" s="25"/>
      <c r="F53" s="25">
        <v>1</v>
      </c>
      <c r="G53" s="25"/>
      <c r="H53" s="23">
        <f t="shared" si="11"/>
        <v>1</v>
      </c>
      <c r="I53" s="6"/>
      <c r="J53" s="60"/>
      <c r="K53" s="23">
        <v>1</v>
      </c>
      <c r="M53" s="23">
        <f t="shared" si="1"/>
        <v>0</v>
      </c>
      <c r="N53" s="60"/>
    </row>
    <row r="54" spans="1:14" x14ac:dyDescent="0.25">
      <c r="A54" s="30" t="s">
        <v>64</v>
      </c>
      <c r="B54" s="25">
        <v>0</v>
      </c>
      <c r="C54" s="25">
        <v>1</v>
      </c>
      <c r="D54" s="25"/>
      <c r="E54" s="25"/>
      <c r="F54" s="25"/>
      <c r="G54" s="25"/>
      <c r="H54" s="23">
        <f t="shared" si="11"/>
        <v>1</v>
      </c>
      <c r="I54" s="6"/>
      <c r="J54" s="60"/>
      <c r="K54" s="23">
        <v>1</v>
      </c>
      <c r="M54" s="23">
        <f t="shared" si="1"/>
        <v>0</v>
      </c>
      <c r="N54" s="60"/>
    </row>
    <row r="55" spans="1:14" x14ac:dyDescent="0.25">
      <c r="A55" s="30" t="s">
        <v>65</v>
      </c>
      <c r="B55" s="25"/>
      <c r="C55" s="25">
        <v>0</v>
      </c>
      <c r="D55" s="25"/>
      <c r="E55" s="25"/>
      <c r="F55" s="25"/>
      <c r="G55" s="25"/>
      <c r="H55" s="23">
        <f t="shared" si="11"/>
        <v>0</v>
      </c>
      <c r="I55" s="6"/>
      <c r="J55" s="60"/>
      <c r="K55" s="23">
        <v>0</v>
      </c>
      <c r="M55" s="23">
        <f t="shared" si="1"/>
        <v>0</v>
      </c>
      <c r="N55" s="60"/>
    </row>
    <row r="56" spans="1:14" x14ac:dyDescent="0.25">
      <c r="A56" s="30" t="s">
        <v>66</v>
      </c>
      <c r="B56" s="25"/>
      <c r="C56" s="25">
        <v>0</v>
      </c>
      <c r="D56" s="25"/>
      <c r="E56" s="25"/>
      <c r="F56" s="25"/>
      <c r="G56" s="25"/>
      <c r="H56" s="23">
        <f t="shared" si="11"/>
        <v>0</v>
      </c>
      <c r="I56" s="6"/>
      <c r="J56" s="60"/>
      <c r="K56" s="23">
        <v>0</v>
      </c>
      <c r="M56" s="23">
        <f t="shared" si="1"/>
        <v>0</v>
      </c>
      <c r="N56" s="60"/>
    </row>
    <row r="57" spans="1:14" x14ac:dyDescent="0.25">
      <c r="A57" s="30" t="s">
        <v>67</v>
      </c>
      <c r="B57" s="25"/>
      <c r="C57" s="25"/>
      <c r="D57" s="25"/>
      <c r="E57" s="25"/>
      <c r="F57" s="25"/>
      <c r="G57" s="25"/>
      <c r="H57" s="23">
        <f t="shared" si="11"/>
        <v>0</v>
      </c>
      <c r="I57" s="6"/>
      <c r="J57" s="60"/>
      <c r="K57" s="23">
        <v>0</v>
      </c>
      <c r="M57" s="23">
        <f t="shared" si="1"/>
        <v>0</v>
      </c>
      <c r="N57" s="60"/>
    </row>
    <row r="58" spans="1:14" x14ac:dyDescent="0.25">
      <c r="A58" s="30" t="s">
        <v>68</v>
      </c>
      <c r="B58" s="25"/>
      <c r="C58" s="25"/>
      <c r="D58" s="25"/>
      <c r="E58" s="25"/>
      <c r="F58" s="25"/>
      <c r="G58" s="25"/>
      <c r="H58" s="23">
        <f t="shared" si="11"/>
        <v>0</v>
      </c>
      <c r="I58" s="6"/>
      <c r="J58" s="60"/>
      <c r="K58" s="23">
        <v>0</v>
      </c>
      <c r="M58" s="23">
        <f t="shared" si="1"/>
        <v>0</v>
      </c>
      <c r="N58" s="60"/>
    </row>
    <row r="59" spans="1:14" x14ac:dyDescent="0.25">
      <c r="A59" s="30" t="s">
        <v>69</v>
      </c>
      <c r="B59" s="25">
        <v>2</v>
      </c>
      <c r="C59" s="25"/>
      <c r="D59" s="25"/>
      <c r="E59" s="25"/>
      <c r="F59" s="25"/>
      <c r="G59" s="25"/>
      <c r="H59" s="23">
        <f t="shared" si="11"/>
        <v>2</v>
      </c>
      <c r="I59" s="6"/>
      <c r="J59" s="60"/>
      <c r="K59" s="23">
        <v>2</v>
      </c>
      <c r="M59" s="23">
        <f t="shared" si="1"/>
        <v>0</v>
      </c>
      <c r="N59" s="60"/>
    </row>
    <row r="60" spans="1:14" x14ac:dyDescent="0.25">
      <c r="A60" s="29" t="s">
        <v>70</v>
      </c>
      <c r="B60" s="23"/>
      <c r="C60" s="23"/>
      <c r="D60" s="23"/>
      <c r="E60" s="23"/>
      <c r="F60" s="23"/>
      <c r="G60" s="23"/>
      <c r="H60" s="23">
        <f t="shared" si="11"/>
        <v>0</v>
      </c>
      <c r="I60" s="6"/>
      <c r="J60" s="60"/>
      <c r="K60" s="23">
        <v>0</v>
      </c>
      <c r="M60" s="23">
        <f t="shared" si="1"/>
        <v>0</v>
      </c>
      <c r="N60" s="60"/>
    </row>
    <row r="61" spans="1:14" x14ac:dyDescent="0.25">
      <c r="A61" s="21" t="s">
        <v>71</v>
      </c>
      <c r="B61" s="33">
        <f>SUM(B39:B60)</f>
        <v>41</v>
      </c>
      <c r="C61" s="33">
        <f>SUM(C39:C60)</f>
        <v>5</v>
      </c>
      <c r="D61" s="33">
        <f>SUM(D39:D60)</f>
        <v>5</v>
      </c>
      <c r="E61" s="33">
        <f t="shared" ref="E61:G61" si="12">SUM(E39:E60)</f>
        <v>0</v>
      </c>
      <c r="F61" s="33">
        <f t="shared" si="12"/>
        <v>11</v>
      </c>
      <c r="G61" s="33">
        <f t="shared" si="12"/>
        <v>4</v>
      </c>
      <c r="H61" s="33">
        <f>SUM(H39:H60)</f>
        <v>66</v>
      </c>
      <c r="I61" s="7"/>
      <c r="J61" s="7"/>
      <c r="K61" s="33">
        <v>56</v>
      </c>
      <c r="M61" s="33">
        <f t="shared" si="1"/>
        <v>10</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72</v>
      </c>
      <c r="B63" s="37">
        <f>B36</f>
        <v>53</v>
      </c>
      <c r="C63" s="37">
        <f>C36</f>
        <v>6</v>
      </c>
      <c r="D63" s="37">
        <f>D36</f>
        <v>0</v>
      </c>
      <c r="E63" s="37">
        <f t="shared" ref="E63:G63" si="13">E36</f>
        <v>0</v>
      </c>
      <c r="F63" s="37">
        <f t="shared" si="13"/>
        <v>0</v>
      </c>
      <c r="G63" s="37">
        <f t="shared" si="13"/>
        <v>0</v>
      </c>
      <c r="H63" s="37">
        <f>H36</f>
        <v>59</v>
      </c>
      <c r="I63" s="7"/>
      <c r="J63" s="7"/>
      <c r="K63" s="37">
        <v>52</v>
      </c>
      <c r="M63" s="37">
        <f t="shared" si="1"/>
        <v>7</v>
      </c>
      <c r="N63" s="7"/>
    </row>
    <row r="64" spans="1:14" x14ac:dyDescent="0.25">
      <c r="A64" s="38" t="s">
        <v>73</v>
      </c>
      <c r="B64" s="39">
        <f>B61</f>
        <v>41</v>
      </c>
      <c r="C64" s="39">
        <f t="shared" ref="C64:H64" si="14">C61</f>
        <v>5</v>
      </c>
      <c r="D64" s="39">
        <f t="shared" si="14"/>
        <v>5</v>
      </c>
      <c r="E64" s="39">
        <f t="shared" si="14"/>
        <v>0</v>
      </c>
      <c r="F64" s="39">
        <f t="shared" si="14"/>
        <v>11</v>
      </c>
      <c r="G64" s="39">
        <f t="shared" si="14"/>
        <v>4</v>
      </c>
      <c r="H64" s="39">
        <f t="shared" si="14"/>
        <v>66</v>
      </c>
      <c r="I64" s="7"/>
      <c r="J64" s="7"/>
      <c r="K64" s="39">
        <v>56</v>
      </c>
      <c r="M64" s="39">
        <f t="shared" si="1"/>
        <v>10</v>
      </c>
      <c r="N64" s="7"/>
    </row>
    <row r="65" spans="1:14" ht="15.75" thickBot="1" x14ac:dyDescent="0.3">
      <c r="A65" s="40" t="s">
        <v>74</v>
      </c>
      <c r="B65" s="41">
        <f>SUM(B63:B64)</f>
        <v>94</v>
      </c>
      <c r="C65" s="41">
        <f t="shared" ref="C65:H65" si="15">SUM(C63:C64)</f>
        <v>11</v>
      </c>
      <c r="D65" s="41">
        <f t="shared" si="15"/>
        <v>5</v>
      </c>
      <c r="E65" s="41">
        <f t="shared" si="15"/>
        <v>0</v>
      </c>
      <c r="F65" s="41">
        <f t="shared" si="15"/>
        <v>11</v>
      </c>
      <c r="G65" s="41">
        <f t="shared" si="15"/>
        <v>4</v>
      </c>
      <c r="H65" s="41">
        <f t="shared" si="15"/>
        <v>125</v>
      </c>
      <c r="I65" s="7"/>
      <c r="J65" s="7"/>
      <c r="K65" s="41">
        <v>108</v>
      </c>
      <c r="M65" s="41">
        <f t="shared" si="1"/>
        <v>17</v>
      </c>
      <c r="N65" s="7"/>
    </row>
    <row r="66" spans="1:14" x14ac:dyDescent="0.25">
      <c r="A66" s="30"/>
      <c r="B66" s="42"/>
      <c r="C66" s="42"/>
      <c r="D66" s="42"/>
      <c r="E66" s="42"/>
      <c r="F66" s="42"/>
      <c r="G66" s="42"/>
      <c r="H66" s="42"/>
      <c r="I66" s="7"/>
      <c r="J66" s="7"/>
      <c r="K66" s="42"/>
      <c r="M66" s="42">
        <f t="shared" ref="M66:M129" si="16">H66-K66</f>
        <v>0</v>
      </c>
      <c r="N66" s="7"/>
    </row>
    <row r="67" spans="1:14" x14ac:dyDescent="0.25">
      <c r="A67" s="43" t="s">
        <v>75</v>
      </c>
      <c r="B67" s="44"/>
      <c r="C67" s="44"/>
      <c r="D67" s="44"/>
      <c r="E67" s="44"/>
      <c r="F67" s="44"/>
      <c r="G67" s="44"/>
      <c r="H67" s="45">
        <f>H142/(H211+H213+H214+H215+H216+H217)</f>
        <v>0.57768845634536559</v>
      </c>
      <c r="I67" s="7"/>
      <c r="J67" s="7"/>
      <c r="K67" s="45">
        <v>0.60587433769513366</v>
      </c>
      <c r="M67" s="45">
        <f t="shared" si="16"/>
        <v>-2.8185881349768072E-2</v>
      </c>
      <c r="N67" s="7"/>
    </row>
    <row r="68" spans="1:14" x14ac:dyDescent="0.25">
      <c r="A68" s="43" t="s">
        <v>76</v>
      </c>
      <c r="B68" s="44"/>
      <c r="C68" s="44"/>
      <c r="D68" s="44"/>
      <c r="E68" s="44"/>
      <c r="F68" s="44"/>
      <c r="G68" s="44"/>
      <c r="H68" s="45">
        <f>(H114+H115+H118+H128)/H132</f>
        <v>0.65134802203088893</v>
      </c>
      <c r="I68" s="7"/>
      <c r="J68" s="7"/>
      <c r="K68" s="45">
        <v>0.67511229435161679</v>
      </c>
      <c r="M68" s="45">
        <f t="shared" si="16"/>
        <v>-2.3764272320727864E-2</v>
      </c>
      <c r="N68" s="7"/>
    </row>
    <row r="69" spans="1:14" x14ac:dyDescent="0.25">
      <c r="A69" s="43" t="s">
        <v>77</v>
      </c>
      <c r="B69" s="44"/>
      <c r="C69" s="44"/>
      <c r="D69" s="44"/>
      <c r="E69" s="44"/>
      <c r="F69" s="44"/>
      <c r="G69" s="44"/>
      <c r="H69" s="45">
        <f>(H107+H108+H109+H112+H116+H117+H119+H120++H123+H124+H125+H126+H127+H129+H130)/H132</f>
        <v>0.2875310851454842</v>
      </c>
      <c r="I69" s="7"/>
      <c r="J69" s="7"/>
      <c r="K69" s="45">
        <v>0.26165126966242419</v>
      </c>
      <c r="M69" s="45">
        <f t="shared" si="16"/>
        <v>2.5879815483060009E-2</v>
      </c>
      <c r="N69" s="7"/>
    </row>
    <row r="70" spans="1:14" x14ac:dyDescent="0.25">
      <c r="A70" s="43" t="s">
        <v>78</v>
      </c>
      <c r="B70" s="44"/>
      <c r="C70" s="44"/>
      <c r="D70" s="44"/>
      <c r="E70" s="44"/>
      <c r="F70" s="44"/>
      <c r="G70" s="44"/>
      <c r="H70" s="45">
        <f>(H213+H214+H215+H216)/(H97)</f>
        <v>0.15103786323412247</v>
      </c>
      <c r="I70" s="7"/>
      <c r="J70" s="7"/>
      <c r="K70" s="45">
        <v>0.13341315386401106</v>
      </c>
      <c r="M70" s="45">
        <f t="shared" si="16"/>
        <v>1.7624709370111402E-2</v>
      </c>
      <c r="N70" s="7"/>
    </row>
    <row r="71" spans="1:14" ht="15.75" thickBot="1" x14ac:dyDescent="0.3">
      <c r="B71" s="42"/>
      <c r="C71" s="42"/>
      <c r="D71" s="42"/>
      <c r="E71" s="42"/>
      <c r="F71" s="42"/>
      <c r="G71" s="42"/>
      <c r="H71" s="42"/>
      <c r="I71" s="18"/>
      <c r="J71" s="7"/>
      <c r="K71" s="42"/>
      <c r="M71" s="42">
        <f t="shared" si="16"/>
        <v>0</v>
      </c>
      <c r="N71" s="7"/>
    </row>
    <row r="72" spans="1:14" ht="15.75" thickBot="1" x14ac:dyDescent="0.3">
      <c r="A72" s="46" t="s">
        <v>79</v>
      </c>
      <c r="B72" s="47" t="str">
        <f>B1</f>
        <v>Operating</v>
      </c>
      <c r="C72" s="47" t="str">
        <f>C1</f>
        <v>SPED</v>
      </c>
      <c r="D72" s="47" t="str">
        <f>D1</f>
        <v>NSLP</v>
      </c>
      <c r="E72" s="47" t="str">
        <f t="shared" ref="E72:G72" si="17">E1</f>
        <v>Other</v>
      </c>
      <c r="F72" s="47" t="str">
        <f t="shared" si="17"/>
        <v>Title I</v>
      </c>
      <c r="G72" s="47" t="str">
        <f t="shared" si="17"/>
        <v>Title II/III/IV</v>
      </c>
      <c r="H72" s="47" t="str">
        <f>H1</f>
        <v>Total (25-26)</v>
      </c>
      <c r="I72" s="18"/>
      <c r="J72" s="7"/>
      <c r="K72" s="47" t="s">
        <v>7</v>
      </c>
      <c r="M72" s="47" t="str">
        <f>M1</f>
        <v>Variance</v>
      </c>
      <c r="N72" s="7"/>
    </row>
    <row r="73" spans="1:14" x14ac:dyDescent="0.25">
      <c r="A73" s="48" t="s">
        <v>80</v>
      </c>
      <c r="B73" s="49"/>
      <c r="C73" s="49"/>
      <c r="D73" s="49"/>
      <c r="E73" s="49"/>
      <c r="F73" s="49"/>
      <c r="G73" s="49"/>
      <c r="H73" s="50"/>
      <c r="I73" s="16"/>
      <c r="J73" s="7"/>
      <c r="K73" s="50"/>
      <c r="M73" s="50">
        <f t="shared" si="16"/>
        <v>0</v>
      </c>
      <c r="N73" s="7"/>
    </row>
    <row r="74" spans="1:14" x14ac:dyDescent="0.25">
      <c r="A74" s="30" t="s">
        <v>81</v>
      </c>
      <c r="B74" s="51">
        <f>(B2*B3)</f>
        <v>13167738.359999999</v>
      </c>
      <c r="C74" s="51"/>
      <c r="D74" s="51"/>
      <c r="E74" s="51"/>
      <c r="F74" s="51"/>
      <c r="G74" s="51"/>
      <c r="H74" s="52">
        <f t="shared" ref="H74:H79" si="18">SUM(B74:G74)</f>
        <v>13167738.359999999</v>
      </c>
      <c r="I74" s="11"/>
      <c r="K74" s="52">
        <v>9978840</v>
      </c>
      <c r="M74" s="52">
        <f t="shared" si="16"/>
        <v>3188898.3599999994</v>
      </c>
    </row>
    <row r="75" spans="1:14" x14ac:dyDescent="0.25">
      <c r="A75" s="30" t="s">
        <v>82</v>
      </c>
      <c r="B75" s="35">
        <f>4236*B21</f>
        <v>1275036</v>
      </c>
      <c r="C75" s="35"/>
      <c r="D75" s="35"/>
      <c r="E75" s="35"/>
      <c r="F75" s="35"/>
      <c r="G75" s="35"/>
      <c r="H75" s="5">
        <f t="shared" si="18"/>
        <v>1275036</v>
      </c>
      <c r="I75" s="6">
        <v>4236</v>
      </c>
      <c r="J75" s="60"/>
      <c r="K75" s="5">
        <v>1169214</v>
      </c>
      <c r="M75" s="5">
        <f t="shared" si="16"/>
        <v>105822</v>
      </c>
      <c r="N75" s="60"/>
    </row>
    <row r="76" spans="1:14" x14ac:dyDescent="0.25">
      <c r="A76" s="30" t="s">
        <v>83</v>
      </c>
      <c r="B76" s="5">
        <f>1075*B22</f>
        <v>0</v>
      </c>
      <c r="C76" s="5"/>
      <c r="D76" s="5"/>
      <c r="E76" s="5"/>
      <c r="F76" s="5"/>
      <c r="G76" s="5"/>
      <c r="H76" s="5">
        <f t="shared" si="18"/>
        <v>0</v>
      </c>
      <c r="I76" s="6">
        <v>1129</v>
      </c>
      <c r="J76" s="60"/>
      <c r="K76" s="5">
        <v>0</v>
      </c>
      <c r="M76" s="5">
        <f t="shared" si="16"/>
        <v>0</v>
      </c>
      <c r="N76" s="60"/>
    </row>
    <row r="77" spans="1:14" x14ac:dyDescent="0.25">
      <c r="A77" s="30" t="s">
        <v>84</v>
      </c>
      <c r="B77" s="10">
        <f>3295*B24</f>
        <v>342680</v>
      </c>
      <c r="C77" s="5"/>
      <c r="D77" s="35"/>
      <c r="E77" s="5"/>
      <c r="F77" s="5"/>
      <c r="G77" s="5"/>
      <c r="H77" s="5">
        <f t="shared" si="18"/>
        <v>342680</v>
      </c>
      <c r="I77" s="6">
        <v>3295</v>
      </c>
      <c r="K77" s="5">
        <v>332784</v>
      </c>
      <c r="M77" s="5">
        <f t="shared" si="16"/>
        <v>9896</v>
      </c>
    </row>
    <row r="78" spans="1:14" x14ac:dyDescent="0.25">
      <c r="A78" s="30" t="s">
        <v>85</v>
      </c>
      <c r="B78" s="35"/>
      <c r="C78" s="35">
        <v>257639</v>
      </c>
      <c r="D78" s="35"/>
      <c r="E78" s="35"/>
      <c r="F78" s="35"/>
      <c r="G78" s="35"/>
      <c r="H78" s="35">
        <f t="shared" si="18"/>
        <v>257639</v>
      </c>
      <c r="I78" s="6" t="s">
        <v>232</v>
      </c>
      <c r="J78" s="129"/>
      <c r="K78" s="35">
        <v>257689</v>
      </c>
      <c r="M78" s="35">
        <f t="shared" si="16"/>
        <v>-50</v>
      </c>
      <c r="N78" s="129"/>
    </row>
    <row r="79" spans="1:14" x14ac:dyDescent="0.25">
      <c r="A79" s="30" t="s">
        <v>86</v>
      </c>
      <c r="B79" s="35">
        <v>0</v>
      </c>
      <c r="C79" s="35">
        <f>3840*C20</f>
        <v>378805.13207547169</v>
      </c>
      <c r="D79" s="35">
        <f>B79/12</f>
        <v>0</v>
      </c>
      <c r="E79" s="35"/>
      <c r="F79" s="35"/>
      <c r="G79" s="35"/>
      <c r="H79" s="35">
        <f t="shared" si="18"/>
        <v>378805.13207547169</v>
      </c>
      <c r="I79" s="6">
        <v>3840</v>
      </c>
      <c r="J79" s="129"/>
      <c r="K79" s="35">
        <v>299537.7</v>
      </c>
      <c r="M79" s="35">
        <f t="shared" si="16"/>
        <v>79267.432075471675</v>
      </c>
      <c r="N79" s="129"/>
    </row>
    <row r="80" spans="1:14" x14ac:dyDescent="0.25">
      <c r="A80" s="55" t="s">
        <v>87</v>
      </c>
      <c r="B80" s="56">
        <f>SUM(B74:B79)</f>
        <v>14785454.359999999</v>
      </c>
      <c r="C80" s="56">
        <f>SUM(C74:C79)</f>
        <v>636444.13207547169</v>
      </c>
      <c r="D80" s="56">
        <f>SUM(D74:D79)</f>
        <v>0</v>
      </c>
      <c r="E80" s="56"/>
      <c r="F80" s="56"/>
      <c r="G80" s="56"/>
      <c r="H80" s="56">
        <f>SUM(H74:H79)</f>
        <v>15421898.492075471</v>
      </c>
      <c r="I80" s="7"/>
      <c r="J80" s="7"/>
      <c r="K80" s="56">
        <v>12038064.699999999</v>
      </c>
      <c r="M80" s="56">
        <f t="shared" si="16"/>
        <v>3383833.792075472</v>
      </c>
      <c r="N80" s="7"/>
    </row>
    <row r="81" spans="1:14" x14ac:dyDescent="0.25">
      <c r="A81" s="57" t="s">
        <v>88</v>
      </c>
      <c r="B81" s="49"/>
      <c r="C81" s="49"/>
      <c r="D81" s="49"/>
      <c r="E81" s="49"/>
      <c r="F81" s="49"/>
      <c r="G81" s="49"/>
      <c r="H81" s="50"/>
      <c r="I81" s="7"/>
      <c r="J81" s="7"/>
      <c r="K81" s="50"/>
      <c r="M81" s="50">
        <f t="shared" si="16"/>
        <v>0</v>
      </c>
      <c r="N81" s="7"/>
    </row>
    <row r="82" spans="1:14" x14ac:dyDescent="0.25">
      <c r="A82" s="30" t="s">
        <v>89</v>
      </c>
      <c r="B82" s="5"/>
      <c r="C82" s="5">
        <f>C20*1171</f>
        <v>115515.8358490566</v>
      </c>
      <c r="D82" s="5"/>
      <c r="E82" s="5"/>
      <c r="F82" s="5"/>
      <c r="G82" s="5"/>
      <c r="H82" s="5">
        <f t="shared" ref="H82:H89" si="19">SUM(B82:G82)</f>
        <v>115515.8358490566</v>
      </c>
      <c r="I82" s="6">
        <f>H82/H20</f>
        <v>1171</v>
      </c>
      <c r="J82" s="60"/>
      <c r="K82" s="5">
        <v>90161.34</v>
      </c>
      <c r="M82" s="5">
        <f t="shared" si="16"/>
        <v>25354.495849056606</v>
      </c>
      <c r="N82" s="60"/>
    </row>
    <row r="83" spans="1:14" x14ac:dyDescent="0.25">
      <c r="A83" s="30" t="s">
        <v>90</v>
      </c>
      <c r="B83" s="5"/>
      <c r="C83" s="5"/>
      <c r="D83" s="10">
        <f>((B17*D23*0.5)*2.28*180)</f>
        <v>278661.59999999998</v>
      </c>
      <c r="E83" s="5"/>
      <c r="F83" s="5"/>
      <c r="G83" s="5"/>
      <c r="H83" s="5">
        <f t="shared" si="19"/>
        <v>278661.59999999998</v>
      </c>
      <c r="I83" s="58">
        <v>2.2799999999999998</v>
      </c>
      <c r="J83" s="130"/>
      <c r="K83" s="5">
        <v>217511.99999999997</v>
      </c>
      <c r="M83" s="5">
        <f t="shared" si="16"/>
        <v>61149.600000000006</v>
      </c>
      <c r="N83" s="130"/>
    </row>
    <row r="84" spans="1:14" x14ac:dyDescent="0.25">
      <c r="A84" s="30" t="s">
        <v>91</v>
      </c>
      <c r="B84" s="35"/>
      <c r="C84" s="35"/>
      <c r="D84" s="10">
        <f>((B17*D23*0.5)*4.33*180)</f>
        <v>529212.6</v>
      </c>
      <c r="E84" s="35"/>
      <c r="F84" s="35"/>
      <c r="G84" s="35"/>
      <c r="H84" s="5">
        <f t="shared" si="19"/>
        <v>529212.6</v>
      </c>
      <c r="I84" s="58">
        <v>4.33</v>
      </c>
      <c r="J84" s="130"/>
      <c r="K84" s="5">
        <v>413082</v>
      </c>
      <c r="M84" s="5">
        <f t="shared" si="16"/>
        <v>116130.59999999998</v>
      </c>
      <c r="N84" s="130"/>
    </row>
    <row r="85" spans="1:14" x14ac:dyDescent="0.25">
      <c r="A85" s="30" t="s">
        <v>5</v>
      </c>
      <c r="B85" s="35"/>
      <c r="C85" s="35"/>
      <c r="D85" s="35"/>
      <c r="E85" s="135"/>
      <c r="F85" s="135">
        <f>449515.49</f>
        <v>449515.49</v>
      </c>
      <c r="G85" s="135"/>
      <c r="H85" s="5">
        <f t="shared" si="19"/>
        <v>449515.49</v>
      </c>
      <c r="I85" s="6"/>
      <c r="J85" s="60"/>
      <c r="K85" s="5">
        <v>486621.51</v>
      </c>
      <c r="M85" s="5">
        <f t="shared" si="16"/>
        <v>-37106.020000000019</v>
      </c>
      <c r="N85" s="60"/>
    </row>
    <row r="86" spans="1:14" x14ac:dyDescent="0.25">
      <c r="A86" s="30" t="s">
        <v>92</v>
      </c>
      <c r="B86" s="35"/>
      <c r="C86" s="35"/>
      <c r="D86" s="35"/>
      <c r="E86" s="135"/>
      <c r="F86" s="135"/>
      <c r="G86" s="135">
        <v>42068.59</v>
      </c>
      <c r="H86" s="5">
        <f t="shared" si="19"/>
        <v>42068.59</v>
      </c>
      <c r="I86" s="6"/>
      <c r="J86" s="60"/>
      <c r="K86" s="5">
        <v>42068.59</v>
      </c>
      <c r="M86" s="5">
        <f t="shared" si="16"/>
        <v>0</v>
      </c>
      <c r="N86" s="60"/>
    </row>
    <row r="87" spans="1:14" x14ac:dyDescent="0.25">
      <c r="A87" s="30" t="s">
        <v>93</v>
      </c>
      <c r="B87" s="35"/>
      <c r="C87" s="35"/>
      <c r="D87" s="35"/>
      <c r="E87" s="135"/>
      <c r="F87" s="135"/>
      <c r="G87" s="135">
        <f>44196.82</f>
        <v>44196.82</v>
      </c>
      <c r="H87" s="5">
        <f t="shared" si="19"/>
        <v>44196.82</v>
      </c>
      <c r="I87" s="6"/>
      <c r="J87" s="60"/>
      <c r="K87" s="5">
        <v>51752.33</v>
      </c>
      <c r="M87" s="5">
        <f t="shared" si="16"/>
        <v>-7555.510000000002</v>
      </c>
      <c r="N87" s="60"/>
    </row>
    <row r="88" spans="1:14" x14ac:dyDescent="0.25">
      <c r="A88" s="30" t="s">
        <v>94</v>
      </c>
      <c r="B88" s="35"/>
      <c r="C88" s="35"/>
      <c r="D88" s="35"/>
      <c r="E88" s="35"/>
      <c r="F88" s="35"/>
      <c r="G88" s="35">
        <f>30624.4</f>
        <v>30624.400000000001</v>
      </c>
      <c r="H88" s="5">
        <f t="shared" si="19"/>
        <v>30624.400000000001</v>
      </c>
      <c r="I88" s="6"/>
      <c r="J88" s="60"/>
      <c r="K88" s="5">
        <v>34661.18</v>
      </c>
      <c r="M88" s="5">
        <f t="shared" si="16"/>
        <v>-4036.7799999999988</v>
      </c>
      <c r="N88" s="60"/>
    </row>
    <row r="89" spans="1:14" x14ac:dyDescent="0.25">
      <c r="A89" s="30" t="s">
        <v>233</v>
      </c>
      <c r="B89" s="35"/>
      <c r="C89" s="35"/>
      <c r="D89" s="35"/>
      <c r="E89" s="35">
        <v>0</v>
      </c>
      <c r="F89" s="35"/>
      <c r="G89" s="35"/>
      <c r="H89" s="5">
        <f t="shared" si="19"/>
        <v>0</v>
      </c>
      <c r="I89" s="6"/>
      <c r="J89" s="60"/>
      <c r="K89" s="5">
        <v>322000</v>
      </c>
      <c r="M89" s="5">
        <f t="shared" si="16"/>
        <v>-322000</v>
      </c>
      <c r="N89" s="60"/>
    </row>
    <row r="90" spans="1:14" x14ac:dyDescent="0.25">
      <c r="A90" s="55" t="s">
        <v>96</v>
      </c>
      <c r="B90" s="56">
        <f t="shared" ref="B90:H90" si="20">SUM(B82:B89)</f>
        <v>0</v>
      </c>
      <c r="C90" s="56">
        <f t="shared" si="20"/>
        <v>115515.8358490566</v>
      </c>
      <c r="D90" s="56">
        <f t="shared" si="20"/>
        <v>807874.2</v>
      </c>
      <c r="E90" s="56">
        <f t="shared" si="20"/>
        <v>0</v>
      </c>
      <c r="F90" s="56">
        <f t="shared" si="20"/>
        <v>449515.49</v>
      </c>
      <c r="G90" s="56">
        <f t="shared" si="20"/>
        <v>116889.81</v>
      </c>
      <c r="H90" s="56">
        <f t="shared" si="20"/>
        <v>1489795.3358490565</v>
      </c>
      <c r="I90" s="7"/>
      <c r="J90" s="7"/>
      <c r="K90" s="56">
        <v>1657858.9500000002</v>
      </c>
      <c r="M90" s="56">
        <f t="shared" si="16"/>
        <v>-168063.6141509437</v>
      </c>
      <c r="N90" s="7"/>
    </row>
    <row r="91" spans="1:14" x14ac:dyDescent="0.25">
      <c r="A91" s="57" t="s">
        <v>97</v>
      </c>
      <c r="B91" s="49"/>
      <c r="C91" s="49"/>
      <c r="D91" s="49"/>
      <c r="E91" s="49"/>
      <c r="F91" s="49"/>
      <c r="G91" s="49"/>
      <c r="H91" s="50"/>
      <c r="I91" s="7"/>
      <c r="J91" s="7"/>
      <c r="K91" s="50"/>
      <c r="M91" s="50">
        <f t="shared" si="16"/>
        <v>0</v>
      </c>
      <c r="N91" s="7"/>
    </row>
    <row r="92" spans="1:14" x14ac:dyDescent="0.25">
      <c r="A92" s="30" t="s">
        <v>98</v>
      </c>
      <c r="B92" s="5"/>
      <c r="C92" s="5"/>
      <c r="D92" s="5"/>
      <c r="E92" s="5"/>
      <c r="F92" s="5"/>
      <c r="G92" s="5"/>
      <c r="H92" s="5">
        <f>SUM(B92:G92)</f>
        <v>0</v>
      </c>
      <c r="I92" s="11"/>
      <c r="K92" s="5">
        <v>0</v>
      </c>
      <c r="M92" s="5">
        <f t="shared" si="16"/>
        <v>0</v>
      </c>
    </row>
    <row r="93" spans="1:14" x14ac:dyDescent="0.25">
      <c r="A93" s="30" t="s">
        <v>99</v>
      </c>
      <c r="B93" s="10"/>
      <c r="C93" s="10"/>
      <c r="D93" s="10"/>
      <c r="E93" s="10">
        <f>ROUND((((B17-'24-25'!B17)/'24-25'!B17)+1)*'24-25'!E93,-2)</f>
        <v>256200</v>
      </c>
      <c r="F93" s="10"/>
      <c r="G93" s="10"/>
      <c r="H93" s="5">
        <f>SUM(B93:G93)</f>
        <v>256200</v>
      </c>
      <c r="I93" s="11"/>
      <c r="K93" s="5">
        <v>200000</v>
      </c>
      <c r="M93" s="5">
        <f t="shared" si="16"/>
        <v>56200</v>
      </c>
    </row>
    <row r="94" spans="1:14" x14ac:dyDescent="0.25">
      <c r="A94" s="30" t="s">
        <v>100</v>
      </c>
      <c r="B94" s="35"/>
      <c r="C94" s="35"/>
      <c r="D94" s="35"/>
      <c r="E94" s="35"/>
      <c r="F94" s="35"/>
      <c r="G94" s="35"/>
      <c r="H94" s="35">
        <f>SUM(B94:G94)</f>
        <v>0</v>
      </c>
      <c r="I94" s="11"/>
      <c r="K94" s="35">
        <v>0</v>
      </c>
      <c r="M94" s="35">
        <f t="shared" si="16"/>
        <v>0</v>
      </c>
    </row>
    <row r="95" spans="1:14" x14ac:dyDescent="0.25">
      <c r="A95" s="30" t="s">
        <v>101</v>
      </c>
      <c r="B95" s="35"/>
      <c r="C95" s="35"/>
      <c r="D95" s="35"/>
      <c r="E95" s="35"/>
      <c r="F95" s="35"/>
      <c r="G95" s="35"/>
      <c r="H95" s="35">
        <f>SUM(B95:G95)</f>
        <v>0</v>
      </c>
      <c r="I95" s="11"/>
      <c r="K95" s="35">
        <v>0</v>
      </c>
      <c r="M95" s="35">
        <f t="shared" si="16"/>
        <v>0</v>
      </c>
    </row>
    <row r="96" spans="1:14" x14ac:dyDescent="0.25">
      <c r="A96" s="55" t="s">
        <v>102</v>
      </c>
      <c r="B96" s="56">
        <f>SUM(B92:B95)</f>
        <v>0</v>
      </c>
      <c r="C96" s="56">
        <f t="shared" ref="C96:G96" si="21">SUM(C92:C95)</f>
        <v>0</v>
      </c>
      <c r="D96" s="56">
        <f t="shared" si="21"/>
        <v>0</v>
      </c>
      <c r="E96" s="56">
        <f t="shared" si="21"/>
        <v>256200</v>
      </c>
      <c r="F96" s="56">
        <f t="shared" si="21"/>
        <v>0</v>
      </c>
      <c r="G96" s="56">
        <f t="shared" si="21"/>
        <v>0</v>
      </c>
      <c r="H96" s="56">
        <f>SUM(H92:H95)</f>
        <v>256200</v>
      </c>
      <c r="I96" s="7"/>
      <c r="J96" s="7"/>
      <c r="K96" s="56">
        <v>200000</v>
      </c>
      <c r="M96" s="56">
        <f t="shared" si="16"/>
        <v>56200</v>
      </c>
      <c r="N96" s="7"/>
    </row>
    <row r="97" spans="1:14" x14ac:dyDescent="0.25">
      <c r="A97" s="62" t="s">
        <v>103</v>
      </c>
      <c r="B97" s="63">
        <f>B80+B90+B96</f>
        <v>14785454.359999999</v>
      </c>
      <c r="C97" s="63">
        <f t="shared" ref="C97:H97" si="22">C80+C90+C96</f>
        <v>751959.96792452829</v>
      </c>
      <c r="D97" s="63">
        <f t="shared" si="22"/>
        <v>807874.2</v>
      </c>
      <c r="E97" s="63">
        <f t="shared" si="22"/>
        <v>256200</v>
      </c>
      <c r="F97" s="63">
        <f t="shared" si="22"/>
        <v>449515.49</v>
      </c>
      <c r="G97" s="63">
        <f t="shared" si="22"/>
        <v>116889.81</v>
      </c>
      <c r="H97" s="63">
        <f t="shared" si="22"/>
        <v>17167893.827924527</v>
      </c>
      <c r="I97" s="7"/>
      <c r="J97" s="7"/>
      <c r="K97" s="63">
        <v>13895923.649999999</v>
      </c>
      <c r="M97" s="63">
        <f t="shared" si="16"/>
        <v>3271970.1779245287</v>
      </c>
      <c r="N97" s="7"/>
    </row>
    <row r="98" spans="1:14" x14ac:dyDescent="0.25">
      <c r="A98" s="57" t="s">
        <v>104</v>
      </c>
      <c r="B98" s="49"/>
      <c r="C98" s="49"/>
      <c r="D98" s="49"/>
      <c r="E98" s="49"/>
      <c r="F98" s="49"/>
      <c r="G98" s="49"/>
      <c r="H98" s="50"/>
      <c r="I98" s="7"/>
      <c r="J98" s="7"/>
      <c r="K98" s="50"/>
      <c r="M98" s="50">
        <f t="shared" si="16"/>
        <v>0</v>
      </c>
      <c r="N98" s="7"/>
    </row>
    <row r="99" spans="1:14" x14ac:dyDescent="0.25">
      <c r="A99" s="30" t="s">
        <v>105</v>
      </c>
      <c r="B99" s="5">
        <v>0</v>
      </c>
      <c r="C99" s="5">
        <v>0</v>
      </c>
      <c r="D99" s="5">
        <v>0</v>
      </c>
      <c r="E99" s="5">
        <v>0</v>
      </c>
      <c r="F99" s="5">
        <v>0</v>
      </c>
      <c r="G99" s="5">
        <v>0</v>
      </c>
      <c r="H99" s="5">
        <f>SUM(B99:G99)</f>
        <v>0</v>
      </c>
      <c r="I99" s="11"/>
      <c r="J99" s="7"/>
      <c r="K99" s="5">
        <v>0</v>
      </c>
      <c r="M99" s="5">
        <f t="shared" si="16"/>
        <v>0</v>
      </c>
      <c r="N99" s="7"/>
    </row>
    <row r="100" spans="1:14" x14ac:dyDescent="0.25">
      <c r="A100" s="30" t="s">
        <v>106</v>
      </c>
      <c r="B100" s="10">
        <v>0</v>
      </c>
      <c r="C100" s="10">
        <v>0</v>
      </c>
      <c r="D100" s="10">
        <v>0</v>
      </c>
      <c r="E100" s="10">
        <v>300000</v>
      </c>
      <c r="F100" s="10">
        <v>0</v>
      </c>
      <c r="G100" s="10">
        <v>0</v>
      </c>
      <c r="H100" s="5">
        <f>SUM(B100:G100)</f>
        <v>300000</v>
      </c>
      <c r="I100" s="11" t="s">
        <v>107</v>
      </c>
      <c r="J100" s="7"/>
      <c r="K100" s="5">
        <v>324644.76</v>
      </c>
      <c r="M100" s="5">
        <f t="shared" si="16"/>
        <v>-24644.760000000009</v>
      </c>
      <c r="N100" s="7"/>
    </row>
    <row r="101" spans="1:14" x14ac:dyDescent="0.25">
      <c r="A101" s="30"/>
      <c r="B101" s="35">
        <v>0</v>
      </c>
      <c r="C101" s="35"/>
      <c r="D101" s="35"/>
      <c r="E101" s="35">
        <v>0</v>
      </c>
      <c r="F101" s="35"/>
      <c r="G101" s="35"/>
      <c r="H101" s="5">
        <f>SUM(B101:G101)</f>
        <v>0</v>
      </c>
      <c r="I101" s="11"/>
      <c r="J101" s="7"/>
      <c r="K101" s="5">
        <v>100078.08</v>
      </c>
      <c r="M101" s="5">
        <f t="shared" si="16"/>
        <v>-100078.08</v>
      </c>
      <c r="N101" s="7"/>
    </row>
    <row r="102" spans="1:14" x14ac:dyDescent="0.25">
      <c r="A102" s="30"/>
      <c r="B102" s="35"/>
      <c r="C102" s="35"/>
      <c r="D102" s="35"/>
      <c r="E102" s="35"/>
      <c r="F102" s="35"/>
      <c r="G102" s="35"/>
      <c r="H102" s="5">
        <f>SUM(B102:G102)</f>
        <v>0</v>
      </c>
      <c r="I102" s="11"/>
      <c r="J102" s="7"/>
      <c r="K102" s="5">
        <v>290847</v>
      </c>
      <c r="M102" s="5">
        <f t="shared" si="16"/>
        <v>-290847</v>
      </c>
      <c r="N102" s="7"/>
    </row>
    <row r="103" spans="1:14" x14ac:dyDescent="0.25">
      <c r="A103" s="55" t="s">
        <v>110</v>
      </c>
      <c r="B103" s="56">
        <f>SUM(B99:B102)</f>
        <v>0</v>
      </c>
      <c r="C103" s="56">
        <f t="shared" ref="C103:G103" si="23">SUM(C99:C102)</f>
        <v>0</v>
      </c>
      <c r="D103" s="56">
        <f t="shared" si="23"/>
        <v>0</v>
      </c>
      <c r="E103" s="56">
        <f t="shared" si="23"/>
        <v>300000</v>
      </c>
      <c r="F103" s="56">
        <f t="shared" si="23"/>
        <v>0</v>
      </c>
      <c r="G103" s="56">
        <f t="shared" si="23"/>
        <v>0</v>
      </c>
      <c r="H103" s="56">
        <f>SUM(H99:H102)</f>
        <v>300000</v>
      </c>
      <c r="I103" s="16"/>
      <c r="J103" s="7"/>
      <c r="K103" s="56">
        <v>715569.84000000008</v>
      </c>
      <c r="M103" s="56">
        <f t="shared" si="16"/>
        <v>-415569.84000000008</v>
      </c>
      <c r="N103" s="7"/>
    </row>
    <row r="104" spans="1:14" ht="15.75" thickBot="1" x14ac:dyDescent="0.3">
      <c r="A104" s="30"/>
      <c r="B104" s="42"/>
      <c r="C104" s="42"/>
      <c r="D104" s="42"/>
      <c r="E104" s="42"/>
      <c r="F104" s="42"/>
      <c r="G104" s="42"/>
      <c r="H104" s="42"/>
      <c r="I104" s="7"/>
      <c r="J104" s="7"/>
      <c r="K104" s="42"/>
      <c r="M104" s="42">
        <f t="shared" si="16"/>
        <v>0</v>
      </c>
      <c r="N104" s="7"/>
    </row>
    <row r="105" spans="1:14" ht="15.75" thickBot="1" x14ac:dyDescent="0.3">
      <c r="A105" s="64" t="s">
        <v>111</v>
      </c>
      <c r="B105" s="65" t="str">
        <f t="shared" ref="B105:H105" si="24">B1</f>
        <v>Operating</v>
      </c>
      <c r="C105" s="65" t="str">
        <f t="shared" si="24"/>
        <v>SPED</v>
      </c>
      <c r="D105" s="65" t="str">
        <f t="shared" si="24"/>
        <v>NSLP</v>
      </c>
      <c r="E105" s="65" t="str">
        <f t="shared" si="24"/>
        <v>Other</v>
      </c>
      <c r="F105" s="65" t="str">
        <f t="shared" si="24"/>
        <v>Title I</v>
      </c>
      <c r="G105" s="65" t="str">
        <f t="shared" si="24"/>
        <v>Title II/III/IV</v>
      </c>
      <c r="H105" s="65" t="str">
        <f t="shared" si="24"/>
        <v>Total (25-26)</v>
      </c>
      <c r="I105" s="7"/>
      <c r="J105" s="7"/>
      <c r="K105" s="65" t="s">
        <v>7</v>
      </c>
      <c r="M105" s="65" t="str">
        <f t="shared" ref="M105" si="25">M1</f>
        <v>Variance</v>
      </c>
      <c r="N105" s="7"/>
    </row>
    <row r="106" spans="1:14" x14ac:dyDescent="0.25">
      <c r="A106" s="48" t="s">
        <v>112</v>
      </c>
      <c r="B106" s="49"/>
      <c r="C106" s="49"/>
      <c r="D106" s="49"/>
      <c r="E106" s="49"/>
      <c r="F106" s="49"/>
      <c r="G106" s="49"/>
      <c r="H106" s="50"/>
      <c r="I106" s="7"/>
      <c r="J106" s="7"/>
      <c r="K106" s="50"/>
      <c r="M106" s="50">
        <f t="shared" si="16"/>
        <v>0</v>
      </c>
      <c r="N106" s="7"/>
    </row>
    <row r="107" spans="1:14" x14ac:dyDescent="0.25">
      <c r="A107" s="30" t="s">
        <v>49</v>
      </c>
      <c r="B107" s="10">
        <v>140000</v>
      </c>
      <c r="C107" s="10">
        <f>'24-25'!C107*1.015</f>
        <v>0</v>
      </c>
      <c r="D107" s="10">
        <f>'24-25'!D107*1.015</f>
        <v>0</v>
      </c>
      <c r="E107" s="10">
        <f>'24-25'!E107*1.015</f>
        <v>0</v>
      </c>
      <c r="F107" s="10">
        <f>'24-25'!F107*1.015</f>
        <v>0</v>
      </c>
      <c r="G107" s="10">
        <f>'24-25'!G107*1.015</f>
        <v>0</v>
      </c>
      <c r="H107" s="5">
        <f t="shared" ref="H107:H120" si="26">SUM(B107:G107)</f>
        <v>140000</v>
      </c>
      <c r="I107" s="11"/>
      <c r="K107" s="5">
        <v>125000</v>
      </c>
      <c r="M107" s="5">
        <f t="shared" si="16"/>
        <v>15000</v>
      </c>
    </row>
    <row r="108" spans="1:14" x14ac:dyDescent="0.25">
      <c r="A108" s="30" t="s">
        <v>113</v>
      </c>
      <c r="B108" s="10">
        <f>(105000+94000+88000+85000*1.02)</f>
        <v>373700</v>
      </c>
      <c r="C108" s="10">
        <f>'24-25'!C108*1.015</f>
        <v>0</v>
      </c>
      <c r="D108" s="10">
        <f>'24-25'!D108*1.015</f>
        <v>0</v>
      </c>
      <c r="E108" s="10">
        <f>'24-25'!E108*1.015</f>
        <v>0</v>
      </c>
      <c r="F108" s="10">
        <v>0</v>
      </c>
      <c r="G108" s="10">
        <f>'24-25'!G108*1.015</f>
        <v>0</v>
      </c>
      <c r="H108" s="5">
        <f t="shared" si="26"/>
        <v>373700</v>
      </c>
      <c r="I108" s="11"/>
      <c r="K108" s="5">
        <v>355350</v>
      </c>
      <c r="M108" s="5">
        <f t="shared" si="16"/>
        <v>18350</v>
      </c>
    </row>
    <row r="109" spans="1:14" x14ac:dyDescent="0.25">
      <c r="A109" s="30" t="s">
        <v>114</v>
      </c>
      <c r="B109" s="10">
        <f>68000*1.02</f>
        <v>69360</v>
      </c>
      <c r="C109" s="10">
        <f>'24-25'!C109*1.015</f>
        <v>0</v>
      </c>
      <c r="D109" s="10">
        <f>'24-25'!D109*1.015</f>
        <v>0</v>
      </c>
      <c r="E109" s="10">
        <f>'24-25'!E109*1.015</f>
        <v>0</v>
      </c>
      <c r="F109" s="10">
        <f>95000</f>
        <v>95000</v>
      </c>
      <c r="G109" s="10">
        <f>'24-25'!G109*1.015</f>
        <v>0</v>
      </c>
      <c r="H109" s="5">
        <f t="shared" si="26"/>
        <v>164360</v>
      </c>
      <c r="I109" s="11"/>
      <c r="K109" s="5">
        <v>162400</v>
      </c>
      <c r="M109" s="5">
        <f t="shared" si="16"/>
        <v>1960</v>
      </c>
    </row>
    <row r="110" spans="1:14" x14ac:dyDescent="0.25">
      <c r="A110" s="31" t="s">
        <v>52</v>
      </c>
      <c r="B110" s="10">
        <f>84000*B42*1.02</f>
        <v>85680</v>
      </c>
      <c r="C110" s="10">
        <f>'24-25'!C110*1.015</f>
        <v>0</v>
      </c>
      <c r="D110" s="10">
        <f>'24-25'!D110*1.015</f>
        <v>0</v>
      </c>
      <c r="E110" s="10">
        <f>'24-25'!E110*1.015</f>
        <v>0</v>
      </c>
      <c r="F110" s="10">
        <f>70000*1.02</f>
        <v>71400</v>
      </c>
      <c r="G110" s="10">
        <f>'24-25'!G110*1.015</f>
        <v>0</v>
      </c>
      <c r="H110" s="5">
        <f t="shared" si="26"/>
        <v>157080</v>
      </c>
      <c r="I110" s="11"/>
      <c r="K110" s="5">
        <v>77250</v>
      </c>
      <c r="M110" s="5">
        <f t="shared" si="16"/>
        <v>79830</v>
      </c>
    </row>
    <row r="111" spans="1:14" x14ac:dyDescent="0.25">
      <c r="A111" s="31" t="s">
        <v>53</v>
      </c>
      <c r="B111" s="10">
        <f>(78000*1.02)+80000+80000</f>
        <v>239560</v>
      </c>
      <c r="C111" s="10">
        <f>'24-25'!C111*1.015</f>
        <v>0</v>
      </c>
      <c r="D111" s="10">
        <f>'24-25'!D111*1.015</f>
        <v>0</v>
      </c>
      <c r="E111" s="10">
        <f>'24-25'!E111*1.015</f>
        <v>0</v>
      </c>
      <c r="F111" s="10">
        <f>'24-25'!F111*1.015</f>
        <v>0</v>
      </c>
      <c r="G111" s="10">
        <f>'24-25'!G111*1.015</f>
        <v>0</v>
      </c>
      <c r="H111" s="5">
        <f t="shared" si="26"/>
        <v>239560</v>
      </c>
      <c r="I111" s="11"/>
      <c r="K111" s="5">
        <v>288400</v>
      </c>
      <c r="M111" s="5">
        <f t="shared" si="16"/>
        <v>-48840</v>
      </c>
    </row>
    <row r="112" spans="1:14" x14ac:dyDescent="0.25">
      <c r="A112" s="30" t="s">
        <v>115</v>
      </c>
      <c r="B112" s="10">
        <f>(70000+70000*1.02)</f>
        <v>141400</v>
      </c>
      <c r="C112" s="10">
        <f>'24-25'!C112*1.015</f>
        <v>0</v>
      </c>
      <c r="D112" s="10">
        <f>'24-25'!D112*1.015</f>
        <v>0</v>
      </c>
      <c r="E112" s="10">
        <f>'24-25'!E112*1.015</f>
        <v>0</v>
      </c>
      <c r="F112" s="10">
        <f>58700*1.02</f>
        <v>59874</v>
      </c>
      <c r="G112" s="10">
        <f>'24-25'!G112*1.015</f>
        <v>0</v>
      </c>
      <c r="H112" s="5">
        <f t="shared" si="26"/>
        <v>201274</v>
      </c>
      <c r="I112" s="11"/>
      <c r="K112" s="5">
        <v>211150</v>
      </c>
      <c r="M112" s="5">
        <f t="shared" si="16"/>
        <v>-9876</v>
      </c>
    </row>
    <row r="113" spans="1:17" x14ac:dyDescent="0.25">
      <c r="A113" s="30" t="s">
        <v>116</v>
      </c>
      <c r="B113" s="10">
        <f>'24-25'!B113*1.015</f>
        <v>0</v>
      </c>
      <c r="C113" s="10">
        <f>'24-25'!C113*1.015</f>
        <v>0</v>
      </c>
      <c r="D113" s="10">
        <f>'24-25'!D113*1.015</f>
        <v>0</v>
      </c>
      <c r="E113" s="10">
        <f>'24-25'!E113*1.015</f>
        <v>0</v>
      </c>
      <c r="F113" s="10">
        <f>'24-25'!F113*1.015</f>
        <v>0</v>
      </c>
      <c r="G113" s="10">
        <f>'24-25'!G113*1.015</f>
        <v>0</v>
      </c>
      <c r="H113" s="5">
        <f t="shared" si="26"/>
        <v>0</v>
      </c>
      <c r="I113" s="11"/>
      <c r="K113" s="5">
        <v>0</v>
      </c>
      <c r="M113" s="5">
        <f t="shared" si="16"/>
        <v>0</v>
      </c>
    </row>
    <row r="114" spans="1:17" x14ac:dyDescent="0.25">
      <c r="A114" s="30" t="s">
        <v>117</v>
      </c>
      <c r="B114" s="5">
        <f>60000*(B36)</f>
        <v>3180000</v>
      </c>
      <c r="C114" s="5"/>
      <c r="D114" s="5"/>
      <c r="E114" s="5"/>
      <c r="F114" s="5"/>
      <c r="G114" s="5"/>
      <c r="H114" s="5">
        <f t="shared" si="26"/>
        <v>3180000</v>
      </c>
      <c r="I114" s="11"/>
      <c r="K114" s="5">
        <v>2852000</v>
      </c>
      <c r="M114" s="5">
        <f t="shared" si="16"/>
        <v>328000</v>
      </c>
      <c r="Q114" s="7">
        <f>62000*1.015</f>
        <v>62929.999999999993</v>
      </c>
    </row>
    <row r="115" spans="1:17" x14ac:dyDescent="0.25">
      <c r="A115" s="30" t="s">
        <v>39</v>
      </c>
      <c r="B115" s="5"/>
      <c r="C115" s="5">
        <f>60000*H28</f>
        <v>360000</v>
      </c>
      <c r="D115" s="5"/>
      <c r="E115" s="5"/>
      <c r="F115" s="5"/>
      <c r="G115" s="5"/>
      <c r="H115" s="5">
        <f t="shared" si="26"/>
        <v>360000</v>
      </c>
      <c r="I115" s="11"/>
      <c r="K115" s="5">
        <v>372000</v>
      </c>
      <c r="M115" s="5">
        <f t="shared" si="16"/>
        <v>-12000</v>
      </c>
    </row>
    <row r="116" spans="1:17" x14ac:dyDescent="0.25">
      <c r="A116" s="30" t="s">
        <v>118</v>
      </c>
      <c r="B116" s="10">
        <f>(70000+58700+62500+45000*1.02)</f>
        <v>237100</v>
      </c>
      <c r="C116" s="5"/>
      <c r="D116" s="5"/>
      <c r="E116" s="5"/>
      <c r="F116" s="5"/>
      <c r="G116" s="5"/>
      <c r="H116" s="5">
        <f t="shared" si="26"/>
        <v>237100</v>
      </c>
      <c r="I116" s="11"/>
      <c r="K116" s="5">
        <v>164857.68</v>
      </c>
      <c r="M116" s="5">
        <f t="shared" si="16"/>
        <v>72242.320000000007</v>
      </c>
    </row>
    <row r="117" spans="1:17" x14ac:dyDescent="0.25">
      <c r="A117" s="30" t="s">
        <v>119</v>
      </c>
      <c r="B117" s="10">
        <f>(18*8*190)*(B49+B48)+17640</f>
        <v>209160</v>
      </c>
      <c r="C117" s="5"/>
      <c r="D117" s="5"/>
      <c r="E117" s="5"/>
      <c r="F117" s="5"/>
      <c r="G117" s="5"/>
      <c r="H117" s="5">
        <f t="shared" si="26"/>
        <v>209160</v>
      </c>
      <c r="I117" s="11"/>
      <c r="K117" s="5">
        <v>101460</v>
      </c>
      <c r="M117" s="5">
        <f t="shared" si="16"/>
        <v>107700</v>
      </c>
    </row>
    <row r="118" spans="1:17" x14ac:dyDescent="0.25">
      <c r="A118" s="30" t="s">
        <v>120</v>
      </c>
      <c r="B118" s="5">
        <f>(16.5*8*180)*B50</f>
        <v>237600</v>
      </c>
      <c r="C118" s="5">
        <f>(16.5*8*180)*C50</f>
        <v>95040</v>
      </c>
      <c r="D118" s="5">
        <f t="shared" ref="D118" si="27">(20*8*180)*D50</f>
        <v>0</v>
      </c>
      <c r="E118" s="5"/>
      <c r="F118" s="5">
        <f>(20.5*8*180)*F50</f>
        <v>236160</v>
      </c>
      <c r="G118" s="5">
        <f>(20.5*8*180)*G50</f>
        <v>118080</v>
      </c>
      <c r="H118" s="5">
        <f t="shared" si="26"/>
        <v>686880</v>
      </c>
      <c r="I118" s="11"/>
      <c r="K118" s="5">
        <v>679680</v>
      </c>
      <c r="M118" s="5">
        <f t="shared" si="16"/>
        <v>7200</v>
      </c>
    </row>
    <row r="119" spans="1:17" x14ac:dyDescent="0.25">
      <c r="A119" s="30" t="s">
        <v>121</v>
      </c>
      <c r="B119" s="10">
        <f>(20.5*8*240)*B51+20000+4000+10640</f>
        <v>270800</v>
      </c>
      <c r="C119" s="5"/>
      <c r="D119" s="5"/>
      <c r="E119" s="5"/>
      <c r="F119" s="5"/>
      <c r="G119" s="5"/>
      <c r="H119" s="5">
        <f t="shared" si="26"/>
        <v>270800</v>
      </c>
      <c r="I119" s="11"/>
      <c r="K119" s="5">
        <v>155520</v>
      </c>
      <c r="M119" s="5">
        <f t="shared" si="16"/>
        <v>115280</v>
      </c>
    </row>
    <row r="120" spans="1:17" x14ac:dyDescent="0.25">
      <c r="A120" s="30" t="s">
        <v>62</v>
      </c>
      <c r="B120" s="5"/>
      <c r="C120" s="5"/>
      <c r="D120" s="5"/>
      <c r="E120" s="5"/>
      <c r="F120" s="5"/>
      <c r="G120" s="5"/>
      <c r="H120" s="5">
        <f t="shared" si="26"/>
        <v>0</v>
      </c>
      <c r="I120" s="11"/>
      <c r="K120" s="5">
        <v>0</v>
      </c>
      <c r="M120" s="5">
        <f t="shared" si="16"/>
        <v>0</v>
      </c>
    </row>
    <row r="121" spans="1:17" x14ac:dyDescent="0.25">
      <c r="A121" s="66" t="s">
        <v>122</v>
      </c>
      <c r="B121" s="67">
        <f>SUM(B107:B120)</f>
        <v>5184360</v>
      </c>
      <c r="C121" s="67">
        <f t="shared" ref="C121:G121" si="28">SUM(C107:C120)</f>
        <v>455040</v>
      </c>
      <c r="D121" s="67">
        <f t="shared" si="28"/>
        <v>0</v>
      </c>
      <c r="E121" s="67">
        <f t="shared" si="28"/>
        <v>0</v>
      </c>
      <c r="F121" s="67">
        <f t="shared" si="28"/>
        <v>462434</v>
      </c>
      <c r="G121" s="67">
        <f t="shared" si="28"/>
        <v>118080</v>
      </c>
      <c r="H121" s="67">
        <f>SUM(H107:H120)</f>
        <v>6219914</v>
      </c>
      <c r="I121" s="7"/>
      <c r="J121" s="7"/>
      <c r="K121" s="67">
        <v>5545067.6799999997</v>
      </c>
      <c r="M121" s="67">
        <f t="shared" si="16"/>
        <v>674846.3200000003</v>
      </c>
      <c r="N121" s="7"/>
    </row>
    <row r="122" spans="1:17" x14ac:dyDescent="0.25">
      <c r="A122" s="68" t="s">
        <v>123</v>
      </c>
      <c r="B122" s="49"/>
      <c r="C122" s="49"/>
      <c r="D122" s="49"/>
      <c r="E122" s="49"/>
      <c r="F122" s="49"/>
      <c r="G122" s="49"/>
      <c r="H122" s="50"/>
      <c r="I122" s="7"/>
      <c r="J122" s="7"/>
      <c r="K122" s="50"/>
      <c r="M122" s="50">
        <f t="shared" si="16"/>
        <v>0</v>
      </c>
      <c r="N122" s="7"/>
    </row>
    <row r="123" spans="1:17" x14ac:dyDescent="0.25">
      <c r="A123" s="30" t="s">
        <v>64</v>
      </c>
      <c r="B123" s="5">
        <v>0</v>
      </c>
      <c r="C123" s="10">
        <f>86000*1.02</f>
        <v>87720</v>
      </c>
      <c r="D123" s="5"/>
      <c r="E123" s="5"/>
      <c r="F123" s="5"/>
      <c r="G123" s="5"/>
      <c r="H123" s="5">
        <f t="shared" ref="H123:H130" si="29">SUM(B123:G123)</f>
        <v>87720</v>
      </c>
      <c r="I123" s="11"/>
      <c r="K123" s="5">
        <v>82400</v>
      </c>
      <c r="M123" s="5">
        <f t="shared" si="16"/>
        <v>5320</v>
      </c>
    </row>
    <row r="124" spans="1:17" x14ac:dyDescent="0.25">
      <c r="A124" s="30" t="s">
        <v>65</v>
      </c>
      <c r="B124" s="5">
        <v>0</v>
      </c>
      <c r="C124" s="5">
        <v>0</v>
      </c>
      <c r="D124" s="5"/>
      <c r="E124" s="5"/>
      <c r="F124" s="5"/>
      <c r="G124" s="5"/>
      <c r="H124" s="23">
        <f t="shared" si="29"/>
        <v>0</v>
      </c>
      <c r="I124" s="11"/>
      <c r="K124" s="23">
        <v>0</v>
      </c>
      <c r="M124" s="23">
        <f t="shared" si="16"/>
        <v>0</v>
      </c>
    </row>
    <row r="125" spans="1:17" x14ac:dyDescent="0.25">
      <c r="A125" s="30" t="s">
        <v>66</v>
      </c>
      <c r="B125" s="5">
        <v>0</v>
      </c>
      <c r="C125" s="5">
        <v>0</v>
      </c>
      <c r="D125" s="5"/>
      <c r="E125" s="5"/>
      <c r="F125" s="5"/>
      <c r="G125" s="5"/>
      <c r="H125" s="5">
        <f t="shared" si="29"/>
        <v>0</v>
      </c>
      <c r="I125" s="11"/>
      <c r="K125" s="5">
        <v>0</v>
      </c>
      <c r="M125" s="5">
        <f t="shared" si="16"/>
        <v>0</v>
      </c>
    </row>
    <row r="126" spans="1:17" x14ac:dyDescent="0.25">
      <c r="A126" s="30" t="s">
        <v>124</v>
      </c>
      <c r="B126" s="5">
        <v>0</v>
      </c>
      <c r="C126" s="5"/>
      <c r="D126" s="5"/>
      <c r="E126" s="5"/>
      <c r="F126" s="5"/>
      <c r="G126" s="5"/>
      <c r="H126" s="23">
        <f t="shared" si="29"/>
        <v>0</v>
      </c>
      <c r="I126" s="11"/>
      <c r="K126" s="23">
        <v>0</v>
      </c>
      <c r="M126" s="23">
        <f t="shared" si="16"/>
        <v>0</v>
      </c>
    </row>
    <row r="127" spans="1:17" x14ac:dyDescent="0.25">
      <c r="A127" s="30" t="s">
        <v>68</v>
      </c>
      <c r="B127" s="5">
        <v>0</v>
      </c>
      <c r="C127" s="5"/>
      <c r="D127" s="5"/>
      <c r="E127" s="5"/>
      <c r="F127" s="5"/>
      <c r="G127" s="5"/>
      <c r="H127" s="23">
        <f t="shared" si="29"/>
        <v>0</v>
      </c>
      <c r="I127" s="11"/>
      <c r="K127" s="23">
        <v>0</v>
      </c>
      <c r="M127" s="23">
        <f t="shared" si="16"/>
        <v>0</v>
      </c>
    </row>
    <row r="128" spans="1:17" x14ac:dyDescent="0.25">
      <c r="A128" s="30" t="s">
        <v>125</v>
      </c>
      <c r="B128" s="5"/>
      <c r="C128" s="5"/>
      <c r="D128" s="5"/>
      <c r="E128" s="5"/>
      <c r="F128" s="5"/>
      <c r="G128" s="5"/>
      <c r="H128" s="23">
        <f t="shared" si="29"/>
        <v>0</v>
      </c>
      <c r="I128" s="11"/>
      <c r="K128" s="23">
        <v>0</v>
      </c>
      <c r="M128" s="23">
        <f t="shared" si="16"/>
        <v>0</v>
      </c>
    </row>
    <row r="129" spans="1:14" x14ac:dyDescent="0.25">
      <c r="A129" s="30" t="s">
        <v>126</v>
      </c>
      <c r="B129" s="5">
        <f>(12.5*6*185)*B52</f>
        <v>0</v>
      </c>
      <c r="C129" s="5">
        <f>(12.5*6*185)*C52</f>
        <v>0</v>
      </c>
      <c r="D129" s="5">
        <f>(16.5*8*180)*D52</f>
        <v>118800</v>
      </c>
      <c r="E129" s="5"/>
      <c r="F129" s="5"/>
      <c r="G129" s="5"/>
      <c r="H129" s="5">
        <f t="shared" si="29"/>
        <v>118800</v>
      </c>
      <c r="I129" s="11"/>
      <c r="K129" s="5">
        <v>93600</v>
      </c>
      <c r="M129" s="5">
        <f t="shared" si="16"/>
        <v>25200</v>
      </c>
    </row>
    <row r="130" spans="1:14" x14ac:dyDescent="0.25">
      <c r="A130" s="30" t="s">
        <v>69</v>
      </c>
      <c r="B130" s="35">
        <f>175*180*B59</f>
        <v>63000</v>
      </c>
      <c r="C130" s="5"/>
      <c r="D130" s="5"/>
      <c r="E130" s="5"/>
      <c r="F130" s="5"/>
      <c r="G130" s="5">
        <v>0</v>
      </c>
      <c r="H130" s="5">
        <f t="shared" si="29"/>
        <v>63000</v>
      </c>
      <c r="I130" s="11"/>
      <c r="K130" s="5">
        <v>61200</v>
      </c>
      <c r="M130" s="5">
        <f t="shared" ref="M130:M142" si="30">H130-K130</f>
        <v>1800</v>
      </c>
    </row>
    <row r="131" spans="1:14" x14ac:dyDescent="0.25">
      <c r="A131" s="69" t="s">
        <v>127</v>
      </c>
      <c r="B131" s="70">
        <f>SUM(B123:B130)</f>
        <v>63000</v>
      </c>
      <c r="C131" s="70">
        <f>SUM(C123:C130)</f>
        <v>87720</v>
      </c>
      <c r="D131" s="70">
        <f>SUM(D123:D130)</f>
        <v>118800</v>
      </c>
      <c r="E131" s="70"/>
      <c r="F131" s="70"/>
      <c r="G131" s="70"/>
      <c r="H131" s="70">
        <f>SUM(H123:H130)</f>
        <v>269520</v>
      </c>
      <c r="I131" s="7"/>
      <c r="J131" s="7"/>
      <c r="K131" s="70">
        <v>237200</v>
      </c>
      <c r="M131" s="70">
        <f t="shared" si="30"/>
        <v>32320</v>
      </c>
      <c r="N131" s="7"/>
    </row>
    <row r="132" spans="1:14" x14ac:dyDescent="0.25">
      <c r="A132" s="71" t="s">
        <v>128</v>
      </c>
      <c r="B132" s="72">
        <f>B121+B131</f>
        <v>5247360</v>
      </c>
      <c r="C132" s="72">
        <f>C121+C131</f>
        <v>542760</v>
      </c>
      <c r="D132" s="72">
        <f>D121+D131</f>
        <v>118800</v>
      </c>
      <c r="E132" s="72">
        <f t="shared" ref="E132:G132" si="31">E121+E131</f>
        <v>0</v>
      </c>
      <c r="F132" s="72">
        <f t="shared" si="31"/>
        <v>462434</v>
      </c>
      <c r="G132" s="72">
        <f t="shared" si="31"/>
        <v>118080</v>
      </c>
      <c r="H132" s="72">
        <f>H121+H131</f>
        <v>6489434</v>
      </c>
      <c r="I132" s="16"/>
      <c r="J132" s="7"/>
      <c r="K132" s="72">
        <v>5782267.6799999997</v>
      </c>
      <c r="M132" s="72">
        <f t="shared" si="30"/>
        <v>707166.3200000003</v>
      </c>
      <c r="N132" s="7"/>
    </row>
    <row r="133" spans="1:14" x14ac:dyDescent="0.25">
      <c r="A133" s="30" t="s">
        <v>234</v>
      </c>
      <c r="B133" s="52">
        <f>B132*0.3675</f>
        <v>1928404.8</v>
      </c>
      <c r="C133" s="52">
        <f t="shared" ref="C133:G133" si="32">C132*0.3675</f>
        <v>199464.3</v>
      </c>
      <c r="D133" s="52">
        <f t="shared" si="32"/>
        <v>43659</v>
      </c>
      <c r="E133" s="52">
        <f t="shared" si="32"/>
        <v>0</v>
      </c>
      <c r="F133" s="52">
        <f t="shared" si="32"/>
        <v>169944.495</v>
      </c>
      <c r="G133" s="52">
        <f t="shared" si="32"/>
        <v>43394.400000000001</v>
      </c>
      <c r="H133" s="5">
        <f t="shared" ref="H133:H140" si="33">SUM(B133:G133)</f>
        <v>2384866.9950000001</v>
      </c>
      <c r="I133" s="111">
        <f>H133/H132</f>
        <v>0.36749999999999999</v>
      </c>
      <c r="J133" s="131"/>
      <c r="K133" s="5">
        <v>1937059.6728000001</v>
      </c>
      <c r="M133" s="5">
        <f t="shared" si="30"/>
        <v>447807.32220000005</v>
      </c>
      <c r="N133" s="131"/>
    </row>
    <row r="134" spans="1:14" x14ac:dyDescent="0.25">
      <c r="A134" s="123" t="s">
        <v>130</v>
      </c>
      <c r="B134" s="10">
        <f>B132*0.1475</f>
        <v>773985.6</v>
      </c>
      <c r="C134" s="10">
        <f t="shared" ref="C134:G134" si="34">C132*0.1475</f>
        <v>80057.099999999991</v>
      </c>
      <c r="D134" s="10">
        <f t="shared" si="34"/>
        <v>17523</v>
      </c>
      <c r="E134" s="10">
        <f t="shared" si="34"/>
        <v>0</v>
      </c>
      <c r="F134" s="10">
        <f t="shared" si="34"/>
        <v>68209.014999999999</v>
      </c>
      <c r="G134" s="10">
        <f t="shared" si="34"/>
        <v>17416.8</v>
      </c>
      <c r="H134" s="5">
        <f t="shared" si="33"/>
        <v>957191.51500000001</v>
      </c>
      <c r="I134" s="111">
        <f>H134/H132</f>
        <v>0.14749999999999999</v>
      </c>
      <c r="J134" s="131"/>
      <c r="K134" s="5">
        <v>855365.17944000009</v>
      </c>
      <c r="M134" s="5">
        <f t="shared" si="30"/>
        <v>101826.33555999992</v>
      </c>
      <c r="N134" s="131"/>
    </row>
    <row r="135" spans="1:14" x14ac:dyDescent="0.25">
      <c r="A135" s="30" t="s">
        <v>131</v>
      </c>
      <c r="B135" s="5">
        <f>(B36*1250)+(B39*2500)+(B40*2000)+(SUM(B41:B47)*1750)+(SUM(B48:B59)*500)</f>
        <v>108500</v>
      </c>
      <c r="C135" s="5">
        <f t="shared" ref="C135:G135" si="35">(C36*1250)+(C39*2500)+(C40*2000)+(SUM(C41:C47)*1750)+(SUM(C48:C59)*500)</f>
        <v>10000</v>
      </c>
      <c r="D135" s="5">
        <f t="shared" si="35"/>
        <v>2500</v>
      </c>
      <c r="E135" s="5">
        <f t="shared" si="35"/>
        <v>0</v>
      </c>
      <c r="F135" s="5">
        <f t="shared" si="35"/>
        <v>8000</v>
      </c>
      <c r="G135" s="5">
        <f t="shared" si="35"/>
        <v>2000</v>
      </c>
      <c r="H135" s="5">
        <f t="shared" si="33"/>
        <v>131000</v>
      </c>
      <c r="I135" s="11"/>
      <c r="K135" s="5">
        <v>116000</v>
      </c>
      <c r="M135" s="5">
        <f t="shared" si="30"/>
        <v>15000</v>
      </c>
    </row>
    <row r="136" spans="1:14" x14ac:dyDescent="0.25">
      <c r="A136" s="123" t="s">
        <v>132</v>
      </c>
      <c r="B136" s="82">
        <f>125*B65+125*6</f>
        <v>12500</v>
      </c>
      <c r="C136" s="124">
        <f>125*C65</f>
        <v>1375</v>
      </c>
      <c r="D136" s="124">
        <f>125*D65</f>
        <v>625</v>
      </c>
      <c r="E136" s="124">
        <f>125*E65</f>
        <v>0</v>
      </c>
      <c r="F136" s="124">
        <f>125*F65</f>
        <v>1375</v>
      </c>
      <c r="G136" s="124">
        <f>125*G65</f>
        <v>500</v>
      </c>
      <c r="H136" s="5">
        <f t="shared" si="33"/>
        <v>16375</v>
      </c>
      <c r="I136" s="11"/>
      <c r="K136" s="5">
        <v>14250</v>
      </c>
      <c r="M136" s="5">
        <f t="shared" si="30"/>
        <v>2125</v>
      </c>
    </row>
    <row r="137" spans="1:14" x14ac:dyDescent="0.25">
      <c r="A137" s="30" t="s">
        <v>133</v>
      </c>
      <c r="B137" s="5">
        <v>0</v>
      </c>
      <c r="C137" s="10"/>
      <c r="D137" s="10"/>
      <c r="E137" s="10">
        <v>0</v>
      </c>
      <c r="F137" s="10">
        <v>0</v>
      </c>
      <c r="G137" s="10">
        <v>0</v>
      </c>
      <c r="H137" s="5">
        <f t="shared" si="33"/>
        <v>0</v>
      </c>
      <c r="I137" s="11"/>
      <c r="K137" s="5">
        <v>34661.18</v>
      </c>
      <c r="M137" s="5">
        <f t="shared" si="30"/>
        <v>-34661.18</v>
      </c>
    </row>
    <row r="138" spans="1:14" x14ac:dyDescent="0.25">
      <c r="A138" s="30" t="s">
        <v>134</v>
      </c>
      <c r="B138" s="5"/>
      <c r="C138" s="10"/>
      <c r="D138" s="10"/>
      <c r="E138" s="10"/>
      <c r="F138" s="10"/>
      <c r="G138" s="10"/>
      <c r="H138" s="5">
        <f t="shared" si="33"/>
        <v>0</v>
      </c>
      <c r="I138" s="11"/>
      <c r="K138" s="5">
        <v>0</v>
      </c>
      <c r="M138" s="5">
        <f t="shared" si="30"/>
        <v>0</v>
      </c>
    </row>
    <row r="139" spans="1:14" x14ac:dyDescent="0.25">
      <c r="A139" s="30" t="s">
        <v>135</v>
      </c>
      <c r="B139" s="10">
        <v>20000</v>
      </c>
      <c r="C139" s="10"/>
      <c r="D139" s="10"/>
      <c r="E139" s="10"/>
      <c r="F139" s="10"/>
      <c r="G139" s="10"/>
      <c r="H139" s="5">
        <f t="shared" si="33"/>
        <v>20000</v>
      </c>
      <c r="I139" s="11"/>
      <c r="K139" s="5">
        <v>20000</v>
      </c>
      <c r="M139" s="5">
        <f t="shared" si="30"/>
        <v>0</v>
      </c>
    </row>
    <row r="140" spans="1:14" x14ac:dyDescent="0.25">
      <c r="A140" s="30" t="s">
        <v>136</v>
      </c>
      <c r="B140" s="35">
        <f>(185*11*B36)-B130</f>
        <v>44855</v>
      </c>
      <c r="C140" s="35">
        <f t="shared" ref="C140:G140" si="36">(185*11*C36)-C130</f>
        <v>12210</v>
      </c>
      <c r="D140" s="35">
        <f t="shared" si="36"/>
        <v>0</v>
      </c>
      <c r="E140" s="35">
        <f t="shared" si="36"/>
        <v>0</v>
      </c>
      <c r="F140" s="35">
        <f t="shared" si="36"/>
        <v>0</v>
      </c>
      <c r="G140" s="35">
        <f t="shared" si="36"/>
        <v>0</v>
      </c>
      <c r="H140" s="5">
        <f t="shared" si="33"/>
        <v>57065</v>
      </c>
      <c r="I140" s="11" t="s">
        <v>137</v>
      </c>
      <c r="K140" s="5">
        <v>44620</v>
      </c>
      <c r="M140" s="5">
        <f t="shared" si="30"/>
        <v>12445</v>
      </c>
    </row>
    <row r="141" spans="1:14" x14ac:dyDescent="0.25">
      <c r="A141" s="74" t="s">
        <v>138</v>
      </c>
      <c r="B141" s="75">
        <f>SUM(B133:B140)</f>
        <v>2888245.4</v>
      </c>
      <c r="C141" s="75">
        <f t="shared" ref="C141:G141" si="37">SUM(C133:C140)</f>
        <v>303106.39999999997</v>
      </c>
      <c r="D141" s="75">
        <f t="shared" si="37"/>
        <v>64307</v>
      </c>
      <c r="E141" s="75">
        <f t="shared" si="37"/>
        <v>0</v>
      </c>
      <c r="F141" s="75">
        <f t="shared" si="37"/>
        <v>247528.51</v>
      </c>
      <c r="G141" s="75">
        <f t="shared" si="37"/>
        <v>63311.199999999997</v>
      </c>
      <c r="H141" s="75">
        <f>SUM(H133:H140)</f>
        <v>3566498.5100000002</v>
      </c>
      <c r="I141" s="7"/>
      <c r="J141" s="7"/>
      <c r="K141" s="75">
        <v>3021956.0322400001</v>
      </c>
      <c r="M141" s="75">
        <f t="shared" si="30"/>
        <v>544542.47776000015</v>
      </c>
      <c r="N141" s="7"/>
    </row>
    <row r="142" spans="1:14" x14ac:dyDescent="0.25">
      <c r="A142" s="71" t="s">
        <v>139</v>
      </c>
      <c r="B142" s="72">
        <f>B132+B141</f>
        <v>8135605.4000000004</v>
      </c>
      <c r="C142" s="72">
        <f>C132+C141</f>
        <v>845866.39999999991</v>
      </c>
      <c r="D142" s="72">
        <f>D132+D141</f>
        <v>183107</v>
      </c>
      <c r="E142" s="72">
        <f t="shared" ref="E142:G142" si="38">E132+E141</f>
        <v>0</v>
      </c>
      <c r="F142" s="72">
        <f t="shared" si="38"/>
        <v>709962.51</v>
      </c>
      <c r="G142" s="72">
        <f t="shared" si="38"/>
        <v>181391.2</v>
      </c>
      <c r="H142" s="72">
        <f>H132+H141</f>
        <v>10055932.51</v>
      </c>
      <c r="I142" s="7"/>
      <c r="J142" s="7"/>
      <c r="K142" s="72">
        <v>8804223.7122399993</v>
      </c>
      <c r="M142" s="72">
        <f t="shared" si="30"/>
        <v>1251708.7977600005</v>
      </c>
      <c r="N142" s="7"/>
    </row>
    <row r="143" spans="1:14" x14ac:dyDescent="0.25">
      <c r="A143" s="76" t="s">
        <v>140</v>
      </c>
      <c r="B143" s="15" t="str">
        <f t="shared" ref="B143:H143" si="39">B1</f>
        <v>Operating</v>
      </c>
      <c r="C143" s="15" t="str">
        <f t="shared" si="39"/>
        <v>SPED</v>
      </c>
      <c r="D143" s="15" t="str">
        <f t="shared" si="39"/>
        <v>NSLP</v>
      </c>
      <c r="E143" s="15" t="str">
        <f t="shared" si="39"/>
        <v>Other</v>
      </c>
      <c r="F143" s="15" t="str">
        <f t="shared" si="39"/>
        <v>Title I</v>
      </c>
      <c r="G143" s="15" t="str">
        <f t="shared" si="39"/>
        <v>Title II/III/IV</v>
      </c>
      <c r="H143" s="15" t="str">
        <f t="shared" si="39"/>
        <v>Total (25-26)</v>
      </c>
      <c r="I143" s="7"/>
      <c r="J143" s="7"/>
      <c r="K143" s="15" t="s">
        <v>7</v>
      </c>
      <c r="M143" s="15" t="str">
        <f>M1</f>
        <v>Variance</v>
      </c>
      <c r="N143" s="7"/>
    </row>
    <row r="144" spans="1:14" x14ac:dyDescent="0.25">
      <c r="A144" s="77" t="s">
        <v>141</v>
      </c>
      <c r="B144" s="10">
        <f>B17*210</f>
        <v>285180</v>
      </c>
      <c r="C144" s="10"/>
      <c r="D144" s="10"/>
      <c r="E144" s="10">
        <v>0</v>
      </c>
      <c r="F144" s="10">
        <v>0</v>
      </c>
      <c r="G144" s="10">
        <v>0</v>
      </c>
      <c r="H144" s="5">
        <f t="shared" ref="H144:H153" si="40">SUM(B144:G144)</f>
        <v>285180</v>
      </c>
      <c r="I144" s="6" t="s">
        <v>142</v>
      </c>
      <c r="K144" s="5">
        <v>215040</v>
      </c>
      <c r="M144" s="5">
        <f t="shared" ref="M144:M154" si="41">H144-K144</f>
        <v>70140</v>
      </c>
    </row>
    <row r="145" spans="1:14" x14ac:dyDescent="0.25">
      <c r="A145" s="78" t="s">
        <v>143</v>
      </c>
      <c r="B145" s="5">
        <v>0</v>
      </c>
      <c r="C145" s="10"/>
      <c r="D145" s="10"/>
      <c r="E145" s="10"/>
      <c r="F145" s="10"/>
      <c r="G145" s="10"/>
      <c r="H145" s="5">
        <f t="shared" si="40"/>
        <v>0</v>
      </c>
      <c r="I145" s="11"/>
      <c r="K145" s="5">
        <v>0</v>
      </c>
      <c r="M145" s="5">
        <f t="shared" si="41"/>
        <v>0</v>
      </c>
    </row>
    <row r="146" spans="1:14" x14ac:dyDescent="0.25">
      <c r="A146" s="30" t="s">
        <v>144</v>
      </c>
      <c r="B146" s="10">
        <v>0</v>
      </c>
      <c r="C146" s="10"/>
      <c r="D146" s="10"/>
      <c r="E146" s="10">
        <v>300000</v>
      </c>
      <c r="F146" s="10"/>
      <c r="G146" s="10"/>
      <c r="H146" s="5">
        <f t="shared" si="40"/>
        <v>300000</v>
      </c>
      <c r="I146" s="11"/>
      <c r="K146" s="5">
        <v>324644.76</v>
      </c>
      <c r="M146" s="5">
        <f t="shared" si="41"/>
        <v>-24644.760000000009</v>
      </c>
    </row>
    <row r="147" spans="1:14" x14ac:dyDescent="0.25">
      <c r="A147" s="30" t="s">
        <v>145</v>
      </c>
      <c r="B147" s="5">
        <f>30*B17</f>
        <v>40740</v>
      </c>
      <c r="C147" s="10"/>
      <c r="D147" s="10"/>
      <c r="E147" s="10"/>
      <c r="F147" s="10"/>
      <c r="G147" s="10"/>
      <c r="H147" s="5">
        <f t="shared" si="40"/>
        <v>40740</v>
      </c>
      <c r="I147" s="6" t="s">
        <v>146</v>
      </c>
      <c r="K147" s="5">
        <v>31800</v>
      </c>
      <c r="M147" s="5">
        <f t="shared" si="41"/>
        <v>8940</v>
      </c>
    </row>
    <row r="148" spans="1:14" x14ac:dyDescent="0.25">
      <c r="A148" s="30" t="s">
        <v>147</v>
      </c>
      <c r="B148" s="5">
        <f>40*B17</f>
        <v>54320</v>
      </c>
      <c r="C148" s="10"/>
      <c r="D148" s="10"/>
      <c r="E148" s="10"/>
      <c r="F148" s="10"/>
      <c r="G148" s="10"/>
      <c r="H148" s="5">
        <f t="shared" si="40"/>
        <v>54320</v>
      </c>
      <c r="I148" s="6" t="s">
        <v>148</v>
      </c>
      <c r="K148" s="5">
        <v>42400</v>
      </c>
      <c r="M148" s="5">
        <f t="shared" si="41"/>
        <v>11920</v>
      </c>
    </row>
    <row r="149" spans="1:14" x14ac:dyDescent="0.25">
      <c r="A149" s="30" t="s">
        <v>149</v>
      </c>
      <c r="B149" s="5">
        <f>10*B17</f>
        <v>13580</v>
      </c>
      <c r="C149" s="10"/>
      <c r="D149" s="10"/>
      <c r="E149" s="10"/>
      <c r="F149" s="10"/>
      <c r="G149" s="10"/>
      <c r="H149" s="5">
        <f t="shared" si="40"/>
        <v>13580</v>
      </c>
      <c r="I149" s="6" t="s">
        <v>150</v>
      </c>
      <c r="K149" s="5">
        <v>10600</v>
      </c>
      <c r="M149" s="5">
        <f t="shared" si="41"/>
        <v>2980</v>
      </c>
    </row>
    <row r="150" spans="1:14" x14ac:dyDescent="0.25">
      <c r="A150" s="30" t="s">
        <v>151</v>
      </c>
      <c r="B150" s="5">
        <f>8*B17</f>
        <v>10864</v>
      </c>
      <c r="C150" s="10"/>
      <c r="D150" s="10"/>
      <c r="E150" s="10"/>
      <c r="F150" s="10"/>
      <c r="G150" s="10"/>
      <c r="H150" s="5">
        <f t="shared" si="40"/>
        <v>10864</v>
      </c>
      <c r="I150" s="6" t="s">
        <v>152</v>
      </c>
      <c r="K150" s="5">
        <v>8480</v>
      </c>
      <c r="M150" s="5">
        <f t="shared" si="41"/>
        <v>2384</v>
      </c>
    </row>
    <row r="151" spans="1:14" x14ac:dyDescent="0.25">
      <c r="A151" s="30" t="s">
        <v>153</v>
      </c>
      <c r="B151" s="5"/>
      <c r="C151" s="10">
        <f>150*(C20)</f>
        <v>14797.075471698112</v>
      </c>
      <c r="D151" s="10"/>
      <c r="E151" s="10"/>
      <c r="F151" s="10"/>
      <c r="G151" s="10"/>
      <c r="H151" s="5">
        <f t="shared" si="40"/>
        <v>14797.075471698112</v>
      </c>
      <c r="I151" s="6" t="s">
        <v>154</v>
      </c>
      <c r="K151" s="5">
        <v>11550</v>
      </c>
      <c r="M151" s="5">
        <f t="shared" si="41"/>
        <v>3247.0754716981119</v>
      </c>
    </row>
    <row r="152" spans="1:14" x14ac:dyDescent="0.25">
      <c r="A152" s="30" t="s">
        <v>155</v>
      </c>
      <c r="B152" s="5">
        <v>60000</v>
      </c>
      <c r="C152" s="5"/>
      <c r="D152" s="5"/>
      <c r="E152" s="5"/>
      <c r="F152" s="5"/>
      <c r="G152" s="5"/>
      <c r="H152" s="5">
        <f t="shared" si="40"/>
        <v>60000</v>
      </c>
      <c r="I152" s="11"/>
      <c r="K152" s="5">
        <v>100000</v>
      </c>
      <c r="M152" s="5">
        <f t="shared" si="41"/>
        <v>-40000</v>
      </c>
    </row>
    <row r="153" spans="1:14" x14ac:dyDescent="0.25">
      <c r="A153" s="79" t="s">
        <v>156</v>
      </c>
      <c r="B153" s="83">
        <f>B17*42</f>
        <v>57036</v>
      </c>
      <c r="C153" s="5"/>
      <c r="D153" s="5"/>
      <c r="E153" s="5"/>
      <c r="F153" s="5"/>
      <c r="G153" s="5"/>
      <c r="H153" s="5">
        <f t="shared" si="40"/>
        <v>57036</v>
      </c>
      <c r="I153" s="11" t="s">
        <v>157</v>
      </c>
      <c r="K153" s="5">
        <v>55000</v>
      </c>
      <c r="M153" s="5">
        <f t="shared" si="41"/>
        <v>2036</v>
      </c>
    </row>
    <row r="154" spans="1:14" x14ac:dyDescent="0.25">
      <c r="A154" s="71" t="s">
        <v>158</v>
      </c>
      <c r="B154" s="72">
        <f>SUM(B144:B153)</f>
        <v>521720</v>
      </c>
      <c r="C154" s="72">
        <f t="shared" ref="C154:H154" si="42">SUM(C144:C153)</f>
        <v>14797.075471698112</v>
      </c>
      <c r="D154" s="72">
        <f t="shared" si="42"/>
        <v>0</v>
      </c>
      <c r="E154" s="72">
        <f t="shared" si="42"/>
        <v>300000</v>
      </c>
      <c r="F154" s="72">
        <f t="shared" si="42"/>
        <v>0</v>
      </c>
      <c r="G154" s="72">
        <f t="shared" si="42"/>
        <v>0</v>
      </c>
      <c r="H154" s="72">
        <f t="shared" si="42"/>
        <v>836517.07547169807</v>
      </c>
      <c r="I154" s="7"/>
      <c r="J154" s="7"/>
      <c r="K154" s="72">
        <v>799514.76</v>
      </c>
      <c r="M154" s="72">
        <f t="shared" si="41"/>
        <v>37002.315471698064</v>
      </c>
      <c r="N154" s="7"/>
    </row>
    <row r="155" spans="1:14" x14ac:dyDescent="0.25">
      <c r="A155" s="76" t="s">
        <v>159</v>
      </c>
      <c r="B155" s="15" t="str">
        <f t="shared" ref="B155:H155" si="43">B1</f>
        <v>Operating</v>
      </c>
      <c r="C155" s="15" t="str">
        <f t="shared" si="43"/>
        <v>SPED</v>
      </c>
      <c r="D155" s="15" t="str">
        <f t="shared" si="43"/>
        <v>NSLP</v>
      </c>
      <c r="E155" s="15" t="str">
        <f t="shared" si="43"/>
        <v>Other</v>
      </c>
      <c r="F155" s="15" t="str">
        <f t="shared" si="43"/>
        <v>Title I</v>
      </c>
      <c r="G155" s="15" t="str">
        <f t="shared" si="43"/>
        <v>Title II/III/IV</v>
      </c>
      <c r="H155" s="15" t="str">
        <f t="shared" si="43"/>
        <v>Total (25-26)</v>
      </c>
      <c r="I155" s="7"/>
      <c r="J155" s="7"/>
      <c r="K155" s="15" t="s">
        <v>7</v>
      </c>
      <c r="M155" s="15" t="str">
        <f>M1</f>
        <v>Variance</v>
      </c>
      <c r="N155" s="7"/>
    </row>
    <row r="156" spans="1:14" x14ac:dyDescent="0.25">
      <c r="A156" s="30" t="s">
        <v>160</v>
      </c>
      <c r="B156" s="10">
        <f>'24-25'!B156*1.05</f>
        <v>0</v>
      </c>
      <c r="C156" s="10"/>
      <c r="D156" s="10"/>
      <c r="E156" s="10"/>
      <c r="F156" s="10"/>
      <c r="G156" s="10"/>
      <c r="H156" s="5">
        <f t="shared" ref="H156:H169" si="44">SUM(B156:G156)</f>
        <v>0</v>
      </c>
      <c r="I156" s="11"/>
      <c r="K156" s="5">
        <v>20000</v>
      </c>
      <c r="M156" s="5">
        <f t="shared" ref="M156:M197" si="45">H156-K156</f>
        <v>-20000</v>
      </c>
    </row>
    <row r="157" spans="1:14" x14ac:dyDescent="0.25">
      <c r="A157" s="30" t="s">
        <v>161</v>
      </c>
      <c r="B157" s="10">
        <v>0</v>
      </c>
      <c r="C157" s="10">
        <f>230*B17</f>
        <v>312340</v>
      </c>
      <c r="D157" s="5"/>
      <c r="E157" s="10"/>
      <c r="F157" s="10"/>
      <c r="G157" s="10"/>
      <c r="H157" s="5">
        <f t="shared" si="44"/>
        <v>312340</v>
      </c>
      <c r="I157" s="11" t="s">
        <v>162</v>
      </c>
      <c r="K157" s="5">
        <v>243800</v>
      </c>
      <c r="M157" s="5">
        <f t="shared" si="45"/>
        <v>68540</v>
      </c>
    </row>
    <row r="158" spans="1:14" x14ac:dyDescent="0.25">
      <c r="A158" s="30" t="s">
        <v>163</v>
      </c>
      <c r="B158" s="10">
        <v>0</v>
      </c>
      <c r="C158" s="5"/>
      <c r="D158" s="5"/>
      <c r="E158" s="5"/>
      <c r="F158" s="5"/>
      <c r="G158" s="5"/>
      <c r="H158" s="5">
        <f t="shared" si="44"/>
        <v>0</v>
      </c>
      <c r="I158" s="11"/>
      <c r="K158" s="5">
        <v>0</v>
      </c>
      <c r="M158" s="5">
        <f t="shared" si="45"/>
        <v>0</v>
      </c>
    </row>
    <row r="159" spans="1:14" x14ac:dyDescent="0.25">
      <c r="A159" s="30" t="s">
        <v>164</v>
      </c>
      <c r="B159" s="10">
        <v>0</v>
      </c>
      <c r="C159" s="5"/>
      <c r="D159" s="5"/>
      <c r="E159" s="5"/>
      <c r="F159" s="5"/>
      <c r="G159" s="5"/>
      <c r="H159" s="5">
        <f t="shared" si="44"/>
        <v>0</v>
      </c>
      <c r="I159" s="11" t="s">
        <v>235</v>
      </c>
      <c r="K159" s="5">
        <v>0</v>
      </c>
      <c r="M159" s="5">
        <f t="shared" si="45"/>
        <v>0</v>
      </c>
    </row>
    <row r="160" spans="1:14" x14ac:dyDescent="0.25">
      <c r="A160" s="30" t="s">
        <v>165</v>
      </c>
      <c r="B160" s="10">
        <f>(495*1.03)*B17</f>
        <v>692376.3</v>
      </c>
      <c r="C160" s="5"/>
      <c r="D160" s="5"/>
      <c r="E160" s="5"/>
      <c r="F160" s="5"/>
      <c r="G160" s="5"/>
      <c r="H160" s="5">
        <f t="shared" si="44"/>
        <v>692376.3</v>
      </c>
      <c r="I160" s="11"/>
      <c r="K160" s="5">
        <v>524700</v>
      </c>
      <c r="M160" s="5">
        <f t="shared" si="45"/>
        <v>167676.30000000005</v>
      </c>
    </row>
    <row r="161" spans="1:14" x14ac:dyDescent="0.25">
      <c r="A161" s="30" t="s">
        <v>167</v>
      </c>
      <c r="B161" s="10">
        <f>250*H65</f>
        <v>31250</v>
      </c>
      <c r="C161" s="10"/>
      <c r="D161" s="10"/>
      <c r="E161" s="10"/>
      <c r="F161" s="10"/>
      <c r="G161" s="10"/>
      <c r="H161" s="5">
        <f t="shared" si="44"/>
        <v>31250</v>
      </c>
      <c r="I161" s="11"/>
      <c r="K161" s="5">
        <v>25000</v>
      </c>
      <c r="M161" s="5">
        <f t="shared" si="45"/>
        <v>6250</v>
      </c>
    </row>
    <row r="162" spans="1:14" x14ac:dyDescent="0.25">
      <c r="A162" s="30" t="s">
        <v>168</v>
      </c>
      <c r="B162" s="10">
        <f>'24-25'!B162*1.05</f>
        <v>105000</v>
      </c>
      <c r="C162" s="5"/>
      <c r="D162" s="5"/>
      <c r="E162" s="5"/>
      <c r="F162" s="5"/>
      <c r="G162" s="5"/>
      <c r="H162" s="5">
        <f t="shared" si="44"/>
        <v>105000</v>
      </c>
      <c r="I162" s="11"/>
      <c r="K162" s="5">
        <v>100000</v>
      </c>
      <c r="M162" s="5">
        <f t="shared" si="45"/>
        <v>5000</v>
      </c>
    </row>
    <row r="163" spans="1:14" x14ac:dyDescent="0.25">
      <c r="A163" s="30" t="s">
        <v>169</v>
      </c>
      <c r="B163" s="5">
        <f>10000</f>
        <v>10000</v>
      </c>
      <c r="C163" s="5"/>
      <c r="D163" s="5"/>
      <c r="E163" s="5"/>
      <c r="F163" s="5"/>
      <c r="G163" s="5"/>
      <c r="H163" s="5">
        <f t="shared" si="44"/>
        <v>10000</v>
      </c>
      <c r="I163" s="11"/>
      <c r="K163" s="5">
        <v>50000</v>
      </c>
      <c r="M163" s="5">
        <f t="shared" si="45"/>
        <v>-40000</v>
      </c>
    </row>
    <row r="164" spans="1:14" x14ac:dyDescent="0.25">
      <c r="A164" s="30" t="s">
        <v>170</v>
      </c>
      <c r="B164" s="10">
        <f>48*B17+(60*12)</f>
        <v>65904</v>
      </c>
      <c r="C164" s="5"/>
      <c r="D164" s="5"/>
      <c r="E164" s="5"/>
      <c r="F164" s="5"/>
      <c r="G164" s="5"/>
      <c r="H164" s="5">
        <f t="shared" si="44"/>
        <v>65904</v>
      </c>
      <c r="I164" s="11" t="s">
        <v>171</v>
      </c>
      <c r="K164" s="5">
        <v>51600</v>
      </c>
      <c r="M164" s="5">
        <f t="shared" si="45"/>
        <v>14304</v>
      </c>
    </row>
    <row r="165" spans="1:14" x14ac:dyDescent="0.25">
      <c r="A165" s="30" t="s">
        <v>172</v>
      </c>
      <c r="B165" s="10">
        <v>27500</v>
      </c>
      <c r="C165" s="5"/>
      <c r="D165" s="5"/>
      <c r="E165" s="5"/>
      <c r="F165" s="5"/>
      <c r="G165" s="5"/>
      <c r="H165" s="5">
        <f t="shared" si="44"/>
        <v>27500</v>
      </c>
      <c r="I165" s="11"/>
      <c r="K165" s="5">
        <v>27500</v>
      </c>
      <c r="M165" s="5">
        <f t="shared" si="45"/>
        <v>0</v>
      </c>
    </row>
    <row r="166" spans="1:14" x14ac:dyDescent="0.25">
      <c r="A166" s="30" t="s">
        <v>173</v>
      </c>
      <c r="B166" s="10">
        <f>(B74+B75+B76+B77)*0.0125</f>
        <v>184818.1795</v>
      </c>
      <c r="C166" s="5"/>
      <c r="D166" s="5"/>
      <c r="E166" s="5"/>
      <c r="F166" s="5"/>
      <c r="G166" s="5"/>
      <c r="H166" s="5">
        <f t="shared" si="44"/>
        <v>184818.1795</v>
      </c>
      <c r="I166" s="80">
        <v>1.2500000000000001E-2</v>
      </c>
      <c r="J166" s="132"/>
      <c r="K166" s="5">
        <v>143510.47500000001</v>
      </c>
      <c r="M166" s="5">
        <f t="shared" si="45"/>
        <v>41307.704499999993</v>
      </c>
      <c r="N166" s="132"/>
    </row>
    <row r="167" spans="1:14" x14ac:dyDescent="0.25">
      <c r="A167" s="30" t="s">
        <v>174</v>
      </c>
      <c r="B167" s="10">
        <f>B74*0.005</f>
        <v>65838.691800000001</v>
      </c>
      <c r="C167" s="5"/>
      <c r="D167" s="5"/>
      <c r="E167" s="5"/>
      <c r="F167" s="5"/>
      <c r="G167" s="5"/>
      <c r="H167" s="5">
        <f t="shared" si="44"/>
        <v>65838.691800000001</v>
      </c>
      <c r="I167" s="80" t="s">
        <v>175</v>
      </c>
      <c r="J167" s="132"/>
      <c r="K167" s="5">
        <v>49894.200000000004</v>
      </c>
      <c r="M167" s="5">
        <f t="shared" si="45"/>
        <v>15944.491799999996</v>
      </c>
      <c r="N167" s="132"/>
    </row>
    <row r="168" spans="1:14" x14ac:dyDescent="0.25">
      <c r="A168" s="30" t="s">
        <v>176</v>
      </c>
      <c r="B168" s="10">
        <f>B74*0.005</f>
        <v>65838.691800000001</v>
      </c>
      <c r="C168" s="5"/>
      <c r="D168" s="5"/>
      <c r="E168" s="5"/>
      <c r="F168" s="5"/>
      <c r="G168" s="5"/>
      <c r="H168" s="5">
        <f t="shared" si="44"/>
        <v>65838.691800000001</v>
      </c>
      <c r="I168" s="80" t="s">
        <v>175</v>
      </c>
      <c r="J168" s="132"/>
      <c r="K168" s="5">
        <v>49894.200000000004</v>
      </c>
      <c r="M168" s="5">
        <f t="shared" si="45"/>
        <v>15944.491799999996</v>
      </c>
      <c r="N168" s="132"/>
    </row>
    <row r="169" spans="1:14" x14ac:dyDescent="0.25">
      <c r="A169" s="79" t="s">
        <v>177</v>
      </c>
      <c r="B169" s="10">
        <v>0</v>
      </c>
      <c r="C169" s="5"/>
      <c r="D169" s="5"/>
      <c r="E169" s="5"/>
      <c r="F169" s="5"/>
      <c r="G169" s="5">
        <f>G87</f>
        <v>44196.82</v>
      </c>
      <c r="H169" s="5">
        <f t="shared" si="44"/>
        <v>44196.82</v>
      </c>
      <c r="I169" s="80"/>
      <c r="J169" s="132"/>
      <c r="K169" s="5">
        <v>31752.33</v>
      </c>
      <c r="M169" s="5">
        <f t="shared" si="45"/>
        <v>12444.489999999998</v>
      </c>
      <c r="N169" s="132"/>
    </row>
    <row r="170" spans="1:14" x14ac:dyDescent="0.25">
      <c r="A170" s="71" t="s">
        <v>178</v>
      </c>
      <c r="B170" s="72">
        <f>SUM(B156:B169)</f>
        <v>1248525.8631</v>
      </c>
      <c r="C170" s="72">
        <f t="shared" ref="C170:G170" si="46">SUM(C156:C169)</f>
        <v>312340</v>
      </c>
      <c r="D170" s="72">
        <f t="shared" si="46"/>
        <v>0</v>
      </c>
      <c r="E170" s="72">
        <f t="shared" si="46"/>
        <v>0</v>
      </c>
      <c r="F170" s="72">
        <f t="shared" si="46"/>
        <v>0</v>
      </c>
      <c r="G170" s="72">
        <f t="shared" si="46"/>
        <v>44196.82</v>
      </c>
      <c r="H170" s="72">
        <f>SUM(H156:H169)</f>
        <v>1605062.6831</v>
      </c>
      <c r="I170" s="7"/>
      <c r="J170" s="7"/>
      <c r="K170" s="72">
        <v>1317651.2050000001</v>
      </c>
      <c r="M170" s="72">
        <f t="shared" si="45"/>
        <v>287411.47809999995</v>
      </c>
      <c r="N170" s="7"/>
    </row>
    <row r="171" spans="1:14" x14ac:dyDescent="0.25">
      <c r="A171" s="76" t="s">
        <v>179</v>
      </c>
      <c r="B171" s="15" t="str">
        <f t="shared" ref="B171:H171" si="47">B1</f>
        <v>Operating</v>
      </c>
      <c r="C171" s="15" t="str">
        <f t="shared" si="47"/>
        <v>SPED</v>
      </c>
      <c r="D171" s="15" t="str">
        <f t="shared" si="47"/>
        <v>NSLP</v>
      </c>
      <c r="E171" s="15" t="str">
        <f t="shared" si="47"/>
        <v>Other</v>
      </c>
      <c r="F171" s="15" t="str">
        <f t="shared" si="47"/>
        <v>Title I</v>
      </c>
      <c r="G171" s="15" t="str">
        <f t="shared" si="47"/>
        <v>Title II/III/IV</v>
      </c>
      <c r="H171" s="15" t="str">
        <f t="shared" si="47"/>
        <v>Total (25-26)</v>
      </c>
      <c r="I171" s="7"/>
      <c r="J171" s="7"/>
      <c r="K171" s="15" t="s">
        <v>7</v>
      </c>
      <c r="M171" s="15" t="str">
        <f t="shared" ref="M171" si="48">M1</f>
        <v>Variance</v>
      </c>
      <c r="N171" s="7"/>
    </row>
    <row r="172" spans="1:14" x14ac:dyDescent="0.25">
      <c r="A172" s="81" t="s">
        <v>180</v>
      </c>
      <c r="B172" s="10">
        <f>'24-25'!B172*1.05</f>
        <v>4830</v>
      </c>
      <c r="C172" s="5"/>
      <c r="D172" s="5"/>
      <c r="E172" s="5"/>
      <c r="F172" s="5"/>
      <c r="G172" s="5"/>
      <c r="H172" s="5">
        <f t="shared" ref="H172:H196" si="49">SUM(B172:G172)</f>
        <v>4830</v>
      </c>
      <c r="I172" s="11" t="s">
        <v>181</v>
      </c>
      <c r="K172" s="5">
        <v>4600</v>
      </c>
      <c r="M172" s="5">
        <f t="shared" si="45"/>
        <v>230</v>
      </c>
    </row>
    <row r="173" spans="1:14" x14ac:dyDescent="0.25">
      <c r="A173" s="30" t="s">
        <v>182</v>
      </c>
      <c r="B173" s="10">
        <f>'24-25'!B173*1.05</f>
        <v>6342</v>
      </c>
      <c r="C173" s="23"/>
      <c r="D173" s="5"/>
      <c r="E173" s="5"/>
      <c r="F173" s="5"/>
      <c r="G173" s="5"/>
      <c r="H173" s="5">
        <f t="shared" si="49"/>
        <v>6342</v>
      </c>
      <c r="I173" s="11" t="s">
        <v>181</v>
      </c>
      <c r="K173" s="5">
        <v>6040</v>
      </c>
      <c r="M173" s="5">
        <f t="shared" si="45"/>
        <v>302</v>
      </c>
    </row>
    <row r="174" spans="1:14" x14ac:dyDescent="0.25">
      <c r="A174" s="30" t="s">
        <v>183</v>
      </c>
      <c r="B174" s="83"/>
      <c r="C174" s="5"/>
      <c r="D174" s="5"/>
      <c r="E174" s="5"/>
      <c r="F174" s="5"/>
      <c r="G174" s="5"/>
      <c r="H174" s="5">
        <f t="shared" si="49"/>
        <v>0</v>
      </c>
      <c r="I174" s="11"/>
      <c r="K174" s="5">
        <v>0</v>
      </c>
      <c r="M174" s="5">
        <f t="shared" si="45"/>
        <v>0</v>
      </c>
    </row>
    <row r="175" spans="1:14" x14ac:dyDescent="0.25">
      <c r="A175" s="30" t="s">
        <v>184</v>
      </c>
      <c r="B175" s="83">
        <v>1400</v>
      </c>
      <c r="C175" s="5"/>
      <c r="D175" s="5"/>
      <c r="E175" s="5"/>
      <c r="F175" s="5"/>
      <c r="G175" s="5"/>
      <c r="H175" s="5">
        <f t="shared" si="49"/>
        <v>1400</v>
      </c>
      <c r="I175" s="11"/>
      <c r="K175" s="5">
        <v>1400</v>
      </c>
      <c r="M175" s="5">
        <f t="shared" si="45"/>
        <v>0</v>
      </c>
    </row>
    <row r="176" spans="1:14" x14ac:dyDescent="0.25">
      <c r="A176" s="30" t="s">
        <v>185</v>
      </c>
      <c r="B176" s="10">
        <f>'24-25'!B176*1.05</f>
        <v>5775</v>
      </c>
      <c r="C176" s="5"/>
      <c r="D176" s="5"/>
      <c r="E176" s="5"/>
      <c r="F176" s="5"/>
      <c r="G176" s="5"/>
      <c r="H176" s="5">
        <f t="shared" si="49"/>
        <v>5775</v>
      </c>
      <c r="I176" s="11"/>
      <c r="K176" s="5">
        <v>5500</v>
      </c>
      <c r="M176" s="5">
        <f t="shared" si="45"/>
        <v>275</v>
      </c>
    </row>
    <row r="177" spans="1:14" x14ac:dyDescent="0.25">
      <c r="A177" s="30" t="s">
        <v>186</v>
      </c>
      <c r="B177" s="10">
        <v>60000</v>
      </c>
      <c r="C177" s="5"/>
      <c r="D177" s="5"/>
      <c r="E177" s="5"/>
      <c r="F177" s="5"/>
      <c r="G177" s="5"/>
      <c r="H177" s="5">
        <f t="shared" si="49"/>
        <v>60000</v>
      </c>
      <c r="I177" s="11"/>
      <c r="K177" s="5">
        <v>45000</v>
      </c>
      <c r="M177" s="5">
        <f t="shared" si="45"/>
        <v>15000</v>
      </c>
    </row>
    <row r="178" spans="1:14" x14ac:dyDescent="0.25">
      <c r="A178" s="30" t="s">
        <v>187</v>
      </c>
      <c r="B178" s="82">
        <f>(2.5*B17)+8500</f>
        <v>11895</v>
      </c>
      <c r="C178" s="5"/>
      <c r="D178" s="5"/>
      <c r="E178" s="5"/>
      <c r="F178" s="5"/>
      <c r="G178" s="5"/>
      <c r="H178" s="5">
        <f t="shared" si="49"/>
        <v>11895</v>
      </c>
      <c r="I178" s="11"/>
      <c r="K178" s="5">
        <v>11150</v>
      </c>
      <c r="M178" s="5">
        <f t="shared" si="45"/>
        <v>745</v>
      </c>
    </row>
    <row r="179" spans="1:14" x14ac:dyDescent="0.25">
      <c r="A179" s="30" t="s">
        <v>188</v>
      </c>
      <c r="B179" s="10">
        <f>'24-25'!B179*1.1</f>
        <v>22813.120000000003</v>
      </c>
      <c r="C179" s="5"/>
      <c r="D179" s="5"/>
      <c r="E179" s="5"/>
      <c r="F179" s="5"/>
      <c r="G179" s="5"/>
      <c r="H179" s="5">
        <f t="shared" si="49"/>
        <v>22813.120000000003</v>
      </c>
      <c r="I179" s="11"/>
      <c r="K179" s="5">
        <v>20739.2</v>
      </c>
      <c r="M179" s="5">
        <f t="shared" si="45"/>
        <v>2073.9200000000019</v>
      </c>
    </row>
    <row r="180" spans="1:14" x14ac:dyDescent="0.25">
      <c r="A180" s="30" t="s">
        <v>189</v>
      </c>
      <c r="B180" s="10">
        <f>'24-25'!B180*1.1</f>
        <v>19961.48</v>
      </c>
      <c r="C180" s="5"/>
      <c r="D180" s="5"/>
      <c r="E180" s="5"/>
      <c r="F180" s="5"/>
      <c r="G180" s="5"/>
      <c r="H180" s="5">
        <f t="shared" si="49"/>
        <v>19961.48</v>
      </c>
      <c r="I180" s="11"/>
      <c r="K180" s="5">
        <v>18146.8</v>
      </c>
      <c r="M180" s="5">
        <f t="shared" si="45"/>
        <v>1814.6800000000003</v>
      </c>
    </row>
    <row r="181" spans="1:14" x14ac:dyDescent="0.25">
      <c r="A181" s="30" t="s">
        <v>190</v>
      </c>
      <c r="B181" s="10">
        <f>'24-25'!B181*1.1</f>
        <v>28516.400000000001</v>
      </c>
      <c r="C181" s="5"/>
      <c r="D181" s="5"/>
      <c r="E181" s="5"/>
      <c r="F181" s="5"/>
      <c r="G181" s="5"/>
      <c r="H181" s="5">
        <f t="shared" si="49"/>
        <v>28516.400000000001</v>
      </c>
      <c r="I181" s="11"/>
      <c r="K181" s="5">
        <v>25924</v>
      </c>
      <c r="M181" s="5">
        <f t="shared" si="45"/>
        <v>2592.4000000000015</v>
      </c>
    </row>
    <row r="182" spans="1:14" x14ac:dyDescent="0.25">
      <c r="A182" s="30" t="s">
        <v>191</v>
      </c>
      <c r="B182" s="5"/>
      <c r="C182" s="10"/>
      <c r="D182" s="10">
        <f>((B17*D23*0.5)*2.4*180)</f>
        <v>293328</v>
      </c>
      <c r="E182" s="10"/>
      <c r="F182" s="10"/>
      <c r="G182" s="10"/>
      <c r="H182" s="5">
        <f t="shared" si="49"/>
        <v>293328</v>
      </c>
      <c r="I182" s="58">
        <v>2.4</v>
      </c>
      <c r="J182" s="133"/>
      <c r="K182" s="5">
        <v>228960</v>
      </c>
      <c r="M182" s="5">
        <f t="shared" si="45"/>
        <v>64368</v>
      </c>
      <c r="N182" s="133"/>
    </row>
    <row r="183" spans="1:14" x14ac:dyDescent="0.25">
      <c r="A183" s="30" t="s">
        <v>192</v>
      </c>
      <c r="B183" s="5"/>
      <c r="C183" s="10"/>
      <c r="D183" s="10">
        <f>((B17*D23*0.5)*3.91*180)</f>
        <v>477880.19999999995</v>
      </c>
      <c r="E183" s="10"/>
      <c r="F183" s="10"/>
      <c r="G183" s="10"/>
      <c r="H183" s="5">
        <f t="shared" si="49"/>
        <v>477880.19999999995</v>
      </c>
      <c r="I183" s="58">
        <v>3.91</v>
      </c>
      <c r="J183" s="133"/>
      <c r="K183" s="5">
        <v>373014.00000000006</v>
      </c>
      <c r="M183" s="5">
        <f t="shared" si="45"/>
        <v>104866.1999999999</v>
      </c>
      <c r="N183" s="133"/>
    </row>
    <row r="184" spans="1:14" x14ac:dyDescent="0.25">
      <c r="A184" s="30" t="s">
        <v>193</v>
      </c>
      <c r="B184" s="5">
        <v>15000</v>
      </c>
      <c r="C184" s="5"/>
      <c r="D184" s="5"/>
      <c r="E184" s="5"/>
      <c r="F184" s="5"/>
      <c r="G184" s="5"/>
      <c r="H184" s="5">
        <f t="shared" si="49"/>
        <v>15000</v>
      </c>
      <c r="I184" s="11"/>
      <c r="K184" s="5">
        <v>15000</v>
      </c>
      <c r="M184" s="5">
        <f t="shared" si="45"/>
        <v>0</v>
      </c>
    </row>
    <row r="185" spans="1:14" x14ac:dyDescent="0.25">
      <c r="A185" s="30" t="s">
        <v>194</v>
      </c>
      <c r="B185" s="5">
        <v>7500</v>
      </c>
      <c r="C185" s="5"/>
      <c r="D185" s="5"/>
      <c r="E185" s="5"/>
      <c r="F185" s="5"/>
      <c r="G185" s="5">
        <f>G88</f>
        <v>30624.400000000001</v>
      </c>
      <c r="H185" s="5">
        <f t="shared" si="49"/>
        <v>38124.400000000001</v>
      </c>
      <c r="I185" s="11"/>
      <c r="K185" s="5">
        <v>7500</v>
      </c>
      <c r="M185" s="5">
        <f t="shared" si="45"/>
        <v>30624.400000000001</v>
      </c>
    </row>
    <row r="186" spans="1:14" x14ac:dyDescent="0.25">
      <c r="A186" s="30" t="s">
        <v>195</v>
      </c>
      <c r="B186" s="5">
        <f>75*55</f>
        <v>4125</v>
      </c>
      <c r="C186" s="5">
        <v>0</v>
      </c>
      <c r="D186" s="5">
        <v>0</v>
      </c>
      <c r="E186" s="5"/>
      <c r="F186" s="5"/>
      <c r="G186" s="5"/>
      <c r="H186" s="5">
        <f t="shared" si="49"/>
        <v>4125</v>
      </c>
      <c r="I186" s="11"/>
      <c r="K186" s="5">
        <v>4125</v>
      </c>
      <c r="M186" s="5">
        <f t="shared" si="45"/>
        <v>0</v>
      </c>
    </row>
    <row r="187" spans="1:14" x14ac:dyDescent="0.25">
      <c r="A187" s="30" t="s">
        <v>196</v>
      </c>
      <c r="B187" s="10">
        <f>(5*B17)+14000</f>
        <v>20790</v>
      </c>
      <c r="C187" s="5"/>
      <c r="D187" s="5"/>
      <c r="E187" s="5"/>
      <c r="F187" s="5"/>
      <c r="G187" s="5"/>
      <c r="H187" s="5">
        <f t="shared" si="49"/>
        <v>20790</v>
      </c>
      <c r="I187" s="11" t="s">
        <v>197</v>
      </c>
      <c r="K187" s="5">
        <v>15000</v>
      </c>
      <c r="M187" s="5">
        <f t="shared" si="45"/>
        <v>5790</v>
      </c>
    </row>
    <row r="188" spans="1:14" x14ac:dyDescent="0.25">
      <c r="A188" s="30" t="s">
        <v>198</v>
      </c>
      <c r="B188" s="10"/>
      <c r="C188" s="5"/>
      <c r="D188" s="5"/>
      <c r="E188" s="5"/>
      <c r="F188" s="5"/>
      <c r="G188" s="5"/>
      <c r="H188" s="5">
        <f t="shared" si="49"/>
        <v>0</v>
      </c>
      <c r="I188" s="11"/>
      <c r="K188" s="5">
        <v>0</v>
      </c>
      <c r="M188" s="5">
        <f t="shared" si="45"/>
        <v>0</v>
      </c>
    </row>
    <row r="189" spans="1:14" x14ac:dyDescent="0.25">
      <c r="A189" s="30" t="s">
        <v>199</v>
      </c>
      <c r="B189" s="10"/>
      <c r="C189" s="5"/>
      <c r="D189" s="5"/>
      <c r="E189" s="5"/>
      <c r="F189" s="5"/>
      <c r="G189" s="5"/>
      <c r="H189" s="5">
        <f t="shared" si="49"/>
        <v>0</v>
      </c>
      <c r="I189" s="11"/>
      <c r="K189" s="5">
        <v>0</v>
      </c>
      <c r="M189" s="5">
        <f t="shared" si="45"/>
        <v>0</v>
      </c>
    </row>
    <row r="190" spans="1:14" x14ac:dyDescent="0.25">
      <c r="A190" s="30" t="s">
        <v>200</v>
      </c>
      <c r="B190" s="10">
        <v>4000</v>
      </c>
      <c r="C190" s="5"/>
      <c r="D190" s="5"/>
      <c r="E190" s="5"/>
      <c r="F190" s="5"/>
      <c r="G190" s="5"/>
      <c r="H190" s="5">
        <f t="shared" si="49"/>
        <v>4000</v>
      </c>
      <c r="I190" s="11" t="s">
        <v>201</v>
      </c>
      <c r="K190" s="5">
        <v>24000</v>
      </c>
      <c r="M190" s="5">
        <f t="shared" si="45"/>
        <v>-20000</v>
      </c>
    </row>
    <row r="191" spans="1:14" x14ac:dyDescent="0.25">
      <c r="A191" s="30" t="s">
        <v>202</v>
      </c>
      <c r="B191" s="10">
        <v>285000</v>
      </c>
      <c r="C191" s="10"/>
      <c r="D191" s="10"/>
      <c r="E191" s="10"/>
      <c r="F191" s="10"/>
      <c r="G191" s="10"/>
      <c r="H191" s="5">
        <f t="shared" si="49"/>
        <v>285000</v>
      </c>
      <c r="I191" s="11"/>
      <c r="K191" s="5">
        <v>192750</v>
      </c>
      <c r="M191" s="5">
        <f t="shared" si="45"/>
        <v>92250</v>
      </c>
    </row>
    <row r="192" spans="1:14" x14ac:dyDescent="0.25">
      <c r="A192" s="30" t="s">
        <v>203</v>
      </c>
      <c r="B192" s="10"/>
      <c r="C192" s="10"/>
      <c r="D192" s="10"/>
      <c r="E192" s="10"/>
      <c r="F192" s="10"/>
      <c r="G192" s="10"/>
      <c r="H192" s="5">
        <f t="shared" si="49"/>
        <v>0</v>
      </c>
      <c r="I192" s="11"/>
      <c r="K192" s="5">
        <v>0</v>
      </c>
      <c r="M192" s="5">
        <f t="shared" si="45"/>
        <v>0</v>
      </c>
    </row>
    <row r="193" spans="1:14" x14ac:dyDescent="0.25">
      <c r="A193" s="30" t="s">
        <v>204</v>
      </c>
      <c r="B193" s="10"/>
      <c r="C193" s="10"/>
      <c r="D193" s="10"/>
      <c r="E193" s="10"/>
      <c r="F193" s="10"/>
      <c r="G193" s="10"/>
      <c r="H193" s="5">
        <f t="shared" si="49"/>
        <v>0</v>
      </c>
      <c r="I193" s="11"/>
      <c r="K193" s="5">
        <v>0</v>
      </c>
      <c r="M193" s="5">
        <f t="shared" si="45"/>
        <v>0</v>
      </c>
    </row>
    <row r="194" spans="1:14" x14ac:dyDescent="0.25">
      <c r="A194" s="30" t="s">
        <v>205</v>
      </c>
      <c r="B194" s="10"/>
      <c r="C194" s="10"/>
      <c r="D194" s="10"/>
      <c r="E194" s="10">
        <f>E93</f>
        <v>256200</v>
      </c>
      <c r="F194" s="10"/>
      <c r="G194" s="10"/>
      <c r="H194" s="5">
        <f t="shared" si="49"/>
        <v>256200</v>
      </c>
      <c r="I194" s="11"/>
      <c r="K194" s="5">
        <v>200000</v>
      </c>
      <c r="M194" s="5"/>
    </row>
    <row r="195" spans="1:14" x14ac:dyDescent="0.25">
      <c r="A195" s="30" t="s">
        <v>206</v>
      </c>
      <c r="B195" s="10">
        <v>5000</v>
      </c>
      <c r="C195" s="10"/>
      <c r="D195" s="10"/>
      <c r="E195" s="10"/>
      <c r="F195" s="10"/>
      <c r="G195" s="10"/>
      <c r="H195" s="5">
        <f t="shared" si="49"/>
        <v>5000</v>
      </c>
      <c r="I195" s="11"/>
      <c r="K195" s="5">
        <v>5000</v>
      </c>
      <c r="M195" s="5">
        <f t="shared" si="45"/>
        <v>0</v>
      </c>
    </row>
    <row r="196" spans="1:14" x14ac:dyDescent="0.25">
      <c r="A196" s="79" t="s">
        <v>207</v>
      </c>
      <c r="B196" s="5">
        <f>B74*0.02</f>
        <v>263354.7672</v>
      </c>
      <c r="C196" s="5"/>
      <c r="D196" s="5"/>
      <c r="E196" s="5"/>
      <c r="F196" s="5"/>
      <c r="G196" s="5"/>
      <c r="H196" s="5">
        <f t="shared" si="49"/>
        <v>263354.7672</v>
      </c>
      <c r="I196" s="54" t="s">
        <v>236</v>
      </c>
      <c r="J196" s="129"/>
      <c r="K196" s="5">
        <v>199576.80000000002</v>
      </c>
      <c r="M196" s="5">
        <f t="shared" si="45"/>
        <v>63777.967199999985</v>
      </c>
      <c r="N196" s="129"/>
    </row>
    <row r="197" spans="1:14" x14ac:dyDescent="0.25">
      <c r="A197" s="71" t="s">
        <v>209</v>
      </c>
      <c r="B197" s="72">
        <f>SUM(B172:B196)</f>
        <v>766302.7672</v>
      </c>
      <c r="C197" s="72">
        <f t="shared" ref="C197:H197" si="50">SUM(C172:C196)</f>
        <v>0</v>
      </c>
      <c r="D197" s="72">
        <f t="shared" si="50"/>
        <v>771208.2</v>
      </c>
      <c r="E197" s="72">
        <f t="shared" si="50"/>
        <v>256200</v>
      </c>
      <c r="F197" s="72">
        <f t="shared" si="50"/>
        <v>0</v>
      </c>
      <c r="G197" s="72">
        <f t="shared" si="50"/>
        <v>30624.400000000001</v>
      </c>
      <c r="H197" s="72">
        <f t="shared" si="50"/>
        <v>1824335.3672000002</v>
      </c>
      <c r="I197" s="7"/>
      <c r="J197" s="7"/>
      <c r="K197" s="72">
        <v>1403425.8</v>
      </c>
      <c r="M197" s="72">
        <f t="shared" si="45"/>
        <v>420909.56720000017</v>
      </c>
      <c r="N197" s="7"/>
    </row>
    <row r="198" spans="1:14" x14ac:dyDescent="0.25">
      <c r="A198" s="76" t="s">
        <v>210</v>
      </c>
      <c r="B198" s="15" t="str">
        <f t="shared" ref="B198:H198" si="51">B1</f>
        <v>Operating</v>
      </c>
      <c r="C198" s="15" t="str">
        <f t="shared" si="51"/>
        <v>SPED</v>
      </c>
      <c r="D198" s="15" t="str">
        <f t="shared" si="51"/>
        <v>NSLP</v>
      </c>
      <c r="E198" s="15" t="str">
        <f t="shared" si="51"/>
        <v>Other</v>
      </c>
      <c r="F198" s="15" t="str">
        <f t="shared" si="51"/>
        <v>Title I</v>
      </c>
      <c r="G198" s="15" t="str">
        <f t="shared" si="51"/>
        <v>Title II/III/IV</v>
      </c>
      <c r="H198" s="15" t="str">
        <f t="shared" si="51"/>
        <v>Total (25-26)</v>
      </c>
      <c r="I198" s="7"/>
      <c r="J198" s="7"/>
      <c r="K198" s="15" t="s">
        <v>7</v>
      </c>
      <c r="M198" s="15" t="str">
        <f t="shared" ref="M198" si="52">M1</f>
        <v>Variance</v>
      </c>
      <c r="N198" s="7"/>
    </row>
    <row r="199" spans="1:14" x14ac:dyDescent="0.25">
      <c r="A199" s="81" t="s">
        <v>211</v>
      </c>
      <c r="B199" s="85">
        <f>100000*1.3</f>
        <v>130000</v>
      </c>
      <c r="C199" s="5"/>
      <c r="D199" s="5"/>
      <c r="E199" s="5"/>
      <c r="F199" s="5"/>
      <c r="G199" s="5"/>
      <c r="H199" s="5">
        <f t="shared" ref="H199:H208" si="53">SUM(B199:G199)</f>
        <v>130000</v>
      </c>
      <c r="I199" s="6"/>
      <c r="J199" s="60"/>
      <c r="K199" s="5">
        <v>100000</v>
      </c>
      <c r="M199" s="5">
        <f t="shared" ref="M199:M220" si="54">H199-K199</f>
        <v>30000</v>
      </c>
      <c r="N199" s="60"/>
    </row>
    <row r="200" spans="1:14" x14ac:dyDescent="0.25">
      <c r="A200" s="30" t="s">
        <v>212</v>
      </c>
      <c r="B200" s="82">
        <f>0</f>
        <v>0</v>
      </c>
      <c r="C200" s="5"/>
      <c r="D200" s="5"/>
      <c r="E200" s="5"/>
      <c r="F200" s="5"/>
      <c r="G200" s="5"/>
      <c r="H200" s="5">
        <f t="shared" si="53"/>
        <v>0</v>
      </c>
      <c r="I200" s="11"/>
      <c r="K200" s="5">
        <v>0</v>
      </c>
      <c r="M200" s="5">
        <f t="shared" si="54"/>
        <v>0</v>
      </c>
    </row>
    <row r="201" spans="1:14" x14ac:dyDescent="0.25">
      <c r="A201" s="30" t="s">
        <v>213</v>
      </c>
      <c r="B201" s="83">
        <f>60000*1.3</f>
        <v>78000</v>
      </c>
      <c r="C201" s="5"/>
      <c r="D201" s="5"/>
      <c r="E201" s="5"/>
      <c r="F201" s="5"/>
      <c r="G201" s="5"/>
      <c r="H201" s="5">
        <f t="shared" si="53"/>
        <v>78000</v>
      </c>
      <c r="I201" s="11"/>
      <c r="K201" s="5">
        <v>60000</v>
      </c>
      <c r="M201" s="5">
        <f t="shared" si="54"/>
        <v>18000</v>
      </c>
    </row>
    <row r="202" spans="1:14" x14ac:dyDescent="0.25">
      <c r="A202" s="30" t="s">
        <v>214</v>
      </c>
      <c r="B202" s="83">
        <f>10000*1.3</f>
        <v>13000</v>
      </c>
      <c r="C202" s="5"/>
      <c r="D202" s="5"/>
      <c r="E202" s="5"/>
      <c r="F202" s="5"/>
      <c r="G202" s="5"/>
      <c r="H202" s="5">
        <f t="shared" si="53"/>
        <v>13000</v>
      </c>
      <c r="I202" s="11"/>
      <c r="K202" s="5">
        <v>10000</v>
      </c>
      <c r="M202" s="5">
        <f t="shared" si="54"/>
        <v>3000</v>
      </c>
    </row>
    <row r="203" spans="1:14" x14ac:dyDescent="0.25">
      <c r="A203" s="30" t="s">
        <v>215</v>
      </c>
      <c r="B203" s="83">
        <v>9000</v>
      </c>
      <c r="C203" s="5"/>
      <c r="D203" s="5"/>
      <c r="E203" s="5"/>
      <c r="F203" s="5"/>
      <c r="G203" s="5"/>
      <c r="H203" s="5">
        <f t="shared" si="53"/>
        <v>9000</v>
      </c>
      <c r="I203" s="11"/>
      <c r="K203" s="5">
        <v>9000</v>
      </c>
      <c r="M203" s="5">
        <f t="shared" si="54"/>
        <v>0</v>
      </c>
    </row>
    <row r="204" spans="1:14" x14ac:dyDescent="0.25">
      <c r="A204" s="30" t="s">
        <v>216</v>
      </c>
      <c r="B204" s="82">
        <f>(7350*1.3)*13</f>
        <v>124215</v>
      </c>
      <c r="C204" s="5"/>
      <c r="D204" s="5"/>
      <c r="E204" s="5"/>
      <c r="F204" s="5"/>
      <c r="G204" s="5"/>
      <c r="H204" s="5">
        <f t="shared" si="53"/>
        <v>124215</v>
      </c>
      <c r="I204" s="11"/>
      <c r="K204" s="5">
        <v>76220.78</v>
      </c>
      <c r="M204" s="5">
        <f t="shared" si="54"/>
        <v>47994.22</v>
      </c>
    </row>
    <row r="205" spans="1:14" x14ac:dyDescent="0.25">
      <c r="A205" s="30" t="s">
        <v>218</v>
      </c>
      <c r="B205" s="10">
        <v>100000</v>
      </c>
      <c r="C205" s="5"/>
      <c r="D205" s="5"/>
      <c r="E205" s="5"/>
      <c r="F205" s="5"/>
      <c r="G205" s="5"/>
      <c r="H205" s="5">
        <f t="shared" si="53"/>
        <v>100000</v>
      </c>
      <c r="I205" s="11"/>
      <c r="K205" s="5">
        <v>70000</v>
      </c>
      <c r="M205" s="5">
        <f t="shared" si="54"/>
        <v>30000</v>
      </c>
    </row>
    <row r="206" spans="1:14" x14ac:dyDescent="0.25">
      <c r="A206" s="30" t="s">
        <v>219</v>
      </c>
      <c r="B206" s="10">
        <v>0</v>
      </c>
      <c r="C206" s="5"/>
      <c r="D206" s="5"/>
      <c r="E206" s="5"/>
      <c r="F206" s="5"/>
      <c r="G206" s="5"/>
      <c r="H206" s="5">
        <f t="shared" si="53"/>
        <v>0</v>
      </c>
      <c r="I206" s="11"/>
      <c r="K206" s="5">
        <v>0</v>
      </c>
      <c r="M206" s="5">
        <f t="shared" si="54"/>
        <v>0</v>
      </c>
    </row>
    <row r="207" spans="1:14" x14ac:dyDescent="0.25">
      <c r="A207" s="30" t="s">
        <v>220</v>
      </c>
      <c r="B207" s="10">
        <f>'24-25'!B207*1.05</f>
        <v>13125</v>
      </c>
      <c r="C207" s="5"/>
      <c r="D207" s="5"/>
      <c r="E207" s="5"/>
      <c r="F207" s="5"/>
      <c r="G207" s="5"/>
      <c r="H207" s="5">
        <f t="shared" si="53"/>
        <v>13125</v>
      </c>
      <c r="I207" s="11"/>
      <c r="K207" s="5">
        <v>12500</v>
      </c>
      <c r="M207" s="5">
        <f t="shared" si="54"/>
        <v>625</v>
      </c>
    </row>
    <row r="208" spans="1:14" x14ac:dyDescent="0.25">
      <c r="A208" s="79" t="s">
        <v>221</v>
      </c>
      <c r="B208" s="10">
        <v>25000</v>
      </c>
      <c r="C208" s="5"/>
      <c r="D208" s="5"/>
      <c r="E208" s="5"/>
      <c r="F208" s="5"/>
      <c r="G208" s="5"/>
      <c r="H208" s="5">
        <f t="shared" si="53"/>
        <v>25000</v>
      </c>
      <c r="I208" s="11"/>
      <c r="K208" s="5">
        <v>15000</v>
      </c>
      <c r="M208" s="5">
        <f t="shared" si="54"/>
        <v>10000</v>
      </c>
    </row>
    <row r="209" spans="1:14" x14ac:dyDescent="0.25">
      <c r="A209" s="71" t="s">
        <v>222</v>
      </c>
      <c r="B209" s="72">
        <f t="shared" ref="B209:H209" si="55">SUM(B199:B208)</f>
        <v>492340</v>
      </c>
      <c r="C209" s="72">
        <f t="shared" si="55"/>
        <v>0</v>
      </c>
      <c r="D209" s="72">
        <f t="shared" si="55"/>
        <v>0</v>
      </c>
      <c r="E209" s="72">
        <f t="shared" si="55"/>
        <v>0</v>
      </c>
      <c r="F209" s="72">
        <f t="shared" si="55"/>
        <v>0</v>
      </c>
      <c r="G209" s="72">
        <f t="shared" si="55"/>
        <v>0</v>
      </c>
      <c r="H209" s="72">
        <f t="shared" si="55"/>
        <v>492340</v>
      </c>
      <c r="I209" s="7"/>
      <c r="J209" s="7"/>
      <c r="K209" s="72">
        <v>352720.78</v>
      </c>
      <c r="M209" s="72">
        <f t="shared" si="54"/>
        <v>139619.21999999997</v>
      </c>
      <c r="N209" s="7"/>
    </row>
    <row r="210" spans="1:14" x14ac:dyDescent="0.25">
      <c r="A210" s="86"/>
      <c r="B210" s="5"/>
      <c r="C210" s="5"/>
      <c r="D210" s="5"/>
      <c r="E210" s="5"/>
      <c r="F210" s="5"/>
      <c r="G210" s="5"/>
      <c r="H210" s="5"/>
      <c r="I210" s="7"/>
      <c r="J210" s="7"/>
      <c r="K210" s="5"/>
      <c r="M210" s="5">
        <f t="shared" si="54"/>
        <v>0</v>
      </c>
      <c r="N210" s="7"/>
    </row>
    <row r="211" spans="1:14" x14ac:dyDescent="0.25">
      <c r="A211" s="71" t="s">
        <v>223</v>
      </c>
      <c r="B211" s="72">
        <f>B142+B154+B170+B197+B209</f>
        <v>11164494.030300001</v>
      </c>
      <c r="C211" s="72">
        <f t="shared" ref="C211:H211" si="56">C142+C154+C170+C197+C209</f>
        <v>1173003.475471698</v>
      </c>
      <c r="D211" s="72">
        <f t="shared" si="56"/>
        <v>954315.2</v>
      </c>
      <c r="E211" s="72">
        <f t="shared" si="56"/>
        <v>556200</v>
      </c>
      <c r="F211" s="72">
        <f t="shared" si="56"/>
        <v>709962.51</v>
      </c>
      <c r="G211" s="72">
        <f t="shared" si="56"/>
        <v>256212.42</v>
      </c>
      <c r="H211" s="72">
        <f t="shared" si="56"/>
        <v>14814187.635771697</v>
      </c>
      <c r="I211" s="7"/>
      <c r="J211" s="7"/>
      <c r="K211" s="72">
        <v>12677536.257239999</v>
      </c>
      <c r="M211" s="72">
        <f t="shared" si="54"/>
        <v>2136651.3785316981</v>
      </c>
      <c r="N211" s="7"/>
    </row>
    <row r="212" spans="1:14" x14ac:dyDescent="0.25">
      <c r="A212" s="87"/>
      <c r="B212" s="52"/>
      <c r="C212" s="52"/>
      <c r="D212" s="52"/>
      <c r="E212" s="52"/>
      <c r="F212" s="52"/>
      <c r="G212" s="52"/>
      <c r="H212" s="52"/>
      <c r="I212" s="7"/>
      <c r="J212" s="7"/>
      <c r="K212" s="52"/>
      <c r="M212" s="52">
        <f t="shared" si="54"/>
        <v>0</v>
      </c>
      <c r="N212" s="7"/>
    </row>
    <row r="213" spans="1:14" x14ac:dyDescent="0.25">
      <c r="A213" s="43" t="s">
        <v>224</v>
      </c>
      <c r="B213" s="9">
        <f>1282432+341222+923248</f>
        <v>2546902</v>
      </c>
      <c r="C213" s="9"/>
      <c r="D213" s="9"/>
      <c r="E213" s="9"/>
      <c r="F213" s="9"/>
      <c r="G213" s="9"/>
      <c r="H213" s="9">
        <f t="shared" ref="H213:H218" si="57">SUM(B213:G213)</f>
        <v>2546902</v>
      </c>
      <c r="I213" s="11"/>
      <c r="K213" s="9">
        <v>1599659</v>
      </c>
      <c r="M213" s="9">
        <f t="shared" si="54"/>
        <v>947243</v>
      </c>
    </row>
    <row r="214" spans="1:14" x14ac:dyDescent="0.25">
      <c r="A214" s="43" t="s">
        <v>225</v>
      </c>
      <c r="B214" s="9">
        <v>0</v>
      </c>
      <c r="C214" s="9"/>
      <c r="D214" s="9"/>
      <c r="E214" s="9"/>
      <c r="F214" s="9"/>
      <c r="G214" s="9"/>
      <c r="H214" s="9">
        <f t="shared" si="57"/>
        <v>0</v>
      </c>
      <c r="I214" s="11"/>
      <c r="K214" s="9">
        <v>0</v>
      </c>
      <c r="M214" s="9">
        <f t="shared" si="54"/>
        <v>0</v>
      </c>
    </row>
    <row r="215" spans="1:14" x14ac:dyDescent="0.25">
      <c r="A215" s="43" t="s">
        <v>226</v>
      </c>
      <c r="B215" s="9">
        <v>0</v>
      </c>
      <c r="C215" s="9"/>
      <c r="D215" s="9"/>
      <c r="E215" s="9"/>
      <c r="F215" s="9"/>
      <c r="G215" s="9"/>
      <c r="H215" s="9">
        <f t="shared" si="57"/>
        <v>0</v>
      </c>
      <c r="I215" s="11"/>
      <c r="K215" s="9">
        <v>0</v>
      </c>
      <c r="M215" s="9">
        <f t="shared" si="54"/>
        <v>0</v>
      </c>
    </row>
    <row r="216" spans="1:14" x14ac:dyDescent="0.25">
      <c r="A216" s="43" t="s">
        <v>227</v>
      </c>
      <c r="B216" s="9">
        <f>300*12+(170000*0.25)</f>
        <v>46100</v>
      </c>
      <c r="C216" s="9"/>
      <c r="D216" s="9"/>
      <c r="E216" s="9"/>
      <c r="F216" s="9"/>
      <c r="G216" s="9"/>
      <c r="H216" s="9">
        <f t="shared" si="57"/>
        <v>46100</v>
      </c>
      <c r="I216" s="11" t="s">
        <v>237</v>
      </c>
      <c r="K216" s="9">
        <v>254240</v>
      </c>
      <c r="M216" s="9">
        <f t="shared" si="54"/>
        <v>-208140</v>
      </c>
    </row>
    <row r="217" spans="1:14" x14ac:dyDescent="0.25">
      <c r="A217" s="43"/>
      <c r="B217" s="9">
        <v>0</v>
      </c>
      <c r="C217" s="9">
        <v>0</v>
      </c>
      <c r="D217" s="9">
        <v>0</v>
      </c>
      <c r="E217" s="9"/>
      <c r="F217" s="9"/>
      <c r="G217" s="9"/>
      <c r="H217" s="9">
        <f t="shared" si="57"/>
        <v>0</v>
      </c>
      <c r="I217" s="11"/>
      <c r="K217" s="9">
        <v>0</v>
      </c>
      <c r="M217" s="9">
        <f t="shared" si="54"/>
        <v>0</v>
      </c>
    </row>
    <row r="218" spans="1:14" ht="15.75" thickBot="1" x14ac:dyDescent="0.3">
      <c r="A218" s="30"/>
      <c r="B218" s="35"/>
      <c r="C218" s="35"/>
      <c r="D218" s="35"/>
      <c r="E218" s="35"/>
      <c r="F218" s="35"/>
      <c r="G218" s="35"/>
      <c r="H218" s="5">
        <f t="shared" si="57"/>
        <v>0</v>
      </c>
      <c r="I218" s="7"/>
      <c r="J218" s="7"/>
      <c r="K218" s="5">
        <v>0</v>
      </c>
      <c r="M218" s="5">
        <f t="shared" si="54"/>
        <v>0</v>
      </c>
      <c r="N218" s="7"/>
    </row>
    <row r="219" spans="1:14" ht="15.75" thickBot="1" x14ac:dyDescent="0.3">
      <c r="A219" s="88" t="s">
        <v>229</v>
      </c>
      <c r="B219" s="89">
        <f>(B97+B103)-B211-B213-B214-B216-B215</f>
        <v>1027958.3296999987</v>
      </c>
      <c r="C219" s="89">
        <f t="shared" ref="C219:G219" si="58">(C97+C103)-C211-C213-C214-C216-C215</f>
        <v>-421043.50754716969</v>
      </c>
      <c r="D219" s="89">
        <f t="shared" si="58"/>
        <v>-146441</v>
      </c>
      <c r="E219" s="89">
        <f t="shared" si="58"/>
        <v>0</v>
      </c>
      <c r="F219" s="89">
        <f t="shared" si="58"/>
        <v>-260447.02000000002</v>
      </c>
      <c r="G219" s="89">
        <f t="shared" si="58"/>
        <v>-139322.61000000002</v>
      </c>
      <c r="H219" s="89">
        <f>(H97+H103)-H211-H213-H214-H216-H215</f>
        <v>60704.192152829841</v>
      </c>
      <c r="I219" s="16"/>
      <c r="J219" s="7"/>
      <c r="K219" s="89">
        <v>80058.232759999111</v>
      </c>
      <c r="M219" s="89">
        <f t="shared" si="54"/>
        <v>-19354.040607169271</v>
      </c>
      <c r="N219" s="7"/>
    </row>
    <row r="220" spans="1:14" x14ac:dyDescent="0.25">
      <c r="A220" s="90"/>
      <c r="B220" s="91">
        <f t="shared" ref="B220:H220" si="59">B219/(B97)</f>
        <v>6.9524973982605348E-2</v>
      </c>
      <c r="C220" s="91">
        <f t="shared" si="59"/>
        <v>-0.55992808860461629</v>
      </c>
      <c r="D220" s="91">
        <f t="shared" si="59"/>
        <v>-0.18126708341471978</v>
      </c>
      <c r="E220" s="91">
        <f t="shared" si="59"/>
        <v>0</v>
      </c>
      <c r="F220" s="91">
        <f t="shared" si="59"/>
        <v>-0.57939498369677989</v>
      </c>
      <c r="G220" s="91">
        <f t="shared" si="59"/>
        <v>-1.1919140770269028</v>
      </c>
      <c r="H220" s="91">
        <f t="shared" si="59"/>
        <v>3.5359137679481173E-3</v>
      </c>
      <c r="I220" s="7"/>
      <c r="J220" s="7"/>
      <c r="K220" s="91">
        <v>5.7612746569746095E-3</v>
      </c>
      <c r="M220" s="91">
        <f t="shared" si="54"/>
        <v>-2.2253608890264922E-3</v>
      </c>
      <c r="N220" s="7"/>
    </row>
    <row r="221" spans="1:14" x14ac:dyDescent="0.25">
      <c r="B221" s="92"/>
      <c r="C221" s="92"/>
      <c r="D221" s="92"/>
      <c r="E221" s="92"/>
      <c r="F221" s="92"/>
      <c r="G221" s="92"/>
      <c r="H221" s="92"/>
      <c r="K221" s="92"/>
      <c r="L221" s="92"/>
    </row>
    <row r="222" spans="1:14" x14ac:dyDescent="0.25">
      <c r="A222" s="1" t="str">
        <f t="shared" ref="A222:H222" si="60">A1</f>
        <v>CIVICA Nevada - FY26</v>
      </c>
      <c r="B222" s="1" t="str">
        <f t="shared" si="60"/>
        <v>Operating</v>
      </c>
      <c r="C222" s="1" t="str">
        <f t="shared" si="60"/>
        <v>SPED</v>
      </c>
      <c r="D222" s="1" t="str">
        <f t="shared" si="60"/>
        <v>NSLP</v>
      </c>
      <c r="E222" s="1" t="str">
        <f t="shared" si="60"/>
        <v>Other</v>
      </c>
      <c r="F222" s="1" t="str">
        <f t="shared" si="60"/>
        <v>Title I</v>
      </c>
      <c r="G222" s="1" t="str">
        <f t="shared" si="60"/>
        <v>Title II/III/IV</v>
      </c>
      <c r="H222" s="1" t="str">
        <f t="shared" si="60"/>
        <v>Total (25-26)</v>
      </c>
      <c r="I222" s="2"/>
      <c r="J222" s="2"/>
      <c r="K222" s="1" t="str">
        <f>K1</f>
        <v>Total (24-25)</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2B8-1429-4EF4-9261-F8B91F995D9B}">
  <dimension ref="A1:Q224"/>
  <sheetViews>
    <sheetView topLeftCell="A34" zoomScale="75" zoomScaleNormal="75" workbookViewId="0">
      <selection activeCell="H34"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238</v>
      </c>
      <c r="B1" s="1" t="s">
        <v>1</v>
      </c>
      <c r="C1" s="1" t="s">
        <v>2</v>
      </c>
      <c r="D1" s="1" t="s">
        <v>3</v>
      </c>
      <c r="E1" s="1" t="s">
        <v>4</v>
      </c>
      <c r="F1" s="1" t="s">
        <v>5</v>
      </c>
      <c r="G1" s="1" t="s">
        <v>6</v>
      </c>
      <c r="H1" s="1" t="s">
        <v>239</v>
      </c>
      <c r="I1" s="2"/>
      <c r="J1" s="2"/>
      <c r="K1" s="1" t="s">
        <v>231</v>
      </c>
      <c r="M1" s="1" t="s">
        <v>9</v>
      </c>
      <c r="N1" s="2"/>
    </row>
    <row r="2" spans="1:14" x14ac:dyDescent="0.25">
      <c r="A2" s="4" t="s">
        <v>14</v>
      </c>
      <c r="B2" s="5">
        <f>9414*1.03*1.015</f>
        <v>9841.8662999999997</v>
      </c>
      <c r="C2" s="5"/>
      <c r="D2" s="5"/>
      <c r="E2" s="5"/>
      <c r="F2" s="5"/>
      <c r="G2" s="5"/>
      <c r="H2" s="5">
        <f t="shared" ref="H2:H16" si="0">SUM(B2:G2)</f>
        <v>9841.8662999999997</v>
      </c>
      <c r="I2" s="6"/>
      <c r="J2" s="60"/>
      <c r="K2" s="10">
        <v>9696.42</v>
      </c>
      <c r="M2" s="5">
        <f t="shared" ref="M2:M65" si="1">H2-K2</f>
        <v>145.44629999999961</v>
      </c>
      <c r="N2" s="60"/>
    </row>
    <row r="3" spans="1:14" x14ac:dyDescent="0.25">
      <c r="A3" s="8" t="s">
        <v>15</v>
      </c>
      <c r="B3" s="9">
        <f t="shared" ref="B3" si="2">B4+B5+B6+B7+B8+B9+B10+B11+B12+B13+B14+B15+B16</f>
        <v>1553</v>
      </c>
      <c r="C3" s="9"/>
      <c r="D3" s="9"/>
      <c r="E3" s="9"/>
      <c r="F3" s="9"/>
      <c r="G3" s="9"/>
      <c r="H3" s="9">
        <f t="shared" si="0"/>
        <v>1553</v>
      </c>
      <c r="I3" s="6"/>
      <c r="J3" s="60"/>
      <c r="K3" s="9">
        <v>1358</v>
      </c>
      <c r="M3" s="9">
        <f t="shared" si="1"/>
        <v>195</v>
      </c>
      <c r="N3" s="60"/>
    </row>
    <row r="4" spans="1:14" x14ac:dyDescent="0.25">
      <c r="A4" s="99" t="s">
        <v>16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17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18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19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20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21</v>
      </c>
      <c r="B9" s="5">
        <f t="shared" si="3"/>
        <v>135</v>
      </c>
      <c r="C9" s="10"/>
      <c r="D9" s="10"/>
      <c r="E9" s="10"/>
      <c r="F9" s="10"/>
      <c r="G9" s="10"/>
      <c r="H9" s="10">
        <f t="shared" si="0"/>
        <v>135</v>
      </c>
      <c r="I9" s="122">
        <f t="shared" si="4"/>
        <v>5</v>
      </c>
      <c r="J9" s="125"/>
      <c r="K9" s="10">
        <v>125</v>
      </c>
      <c r="L9" s="125">
        <v>5</v>
      </c>
      <c r="M9" s="10">
        <f t="shared" si="1"/>
        <v>10</v>
      </c>
      <c r="N9" s="125"/>
    </row>
    <row r="10" spans="1:14" x14ac:dyDescent="0.25">
      <c r="A10" s="12" t="s">
        <v>22</v>
      </c>
      <c r="B10" s="5">
        <f>31*5</f>
        <v>155</v>
      </c>
      <c r="C10" s="5"/>
      <c r="D10" s="5"/>
      <c r="E10" s="5"/>
      <c r="F10" s="5"/>
      <c r="G10" s="5"/>
      <c r="H10" s="10">
        <f t="shared" si="0"/>
        <v>155</v>
      </c>
      <c r="I10" s="122">
        <f t="shared" ref="I10" si="5">H10/31</f>
        <v>5</v>
      </c>
      <c r="J10" s="125"/>
      <c r="K10" s="10">
        <v>105</v>
      </c>
      <c r="L10" s="125">
        <v>5</v>
      </c>
      <c r="M10" s="10">
        <f t="shared" si="1"/>
        <v>50</v>
      </c>
      <c r="N10" s="125"/>
    </row>
    <row r="11" spans="1:14" x14ac:dyDescent="0.25">
      <c r="A11" s="12" t="s">
        <v>23</v>
      </c>
      <c r="B11" s="5">
        <f>35*3</f>
        <v>105</v>
      </c>
      <c r="C11" s="5"/>
      <c r="D11" s="5"/>
      <c r="E11" s="5"/>
      <c r="F11" s="5"/>
      <c r="G11" s="5"/>
      <c r="H11" s="10">
        <f t="shared" si="0"/>
        <v>105</v>
      </c>
      <c r="I11" s="122">
        <f>H11/35</f>
        <v>3</v>
      </c>
      <c r="J11" s="125"/>
      <c r="K11" s="10">
        <v>135</v>
      </c>
      <c r="L11" s="125">
        <v>4</v>
      </c>
      <c r="M11" s="10">
        <f t="shared" si="1"/>
        <v>-30</v>
      </c>
      <c r="N11" s="125"/>
    </row>
    <row r="12" spans="1:14" x14ac:dyDescent="0.25">
      <c r="A12" s="12" t="s">
        <v>24</v>
      </c>
      <c r="B12" s="5">
        <f>27*5</f>
        <v>135</v>
      </c>
      <c r="C12" s="5"/>
      <c r="D12" s="5"/>
      <c r="E12" s="5"/>
      <c r="F12" s="5"/>
      <c r="G12" s="5"/>
      <c r="H12" s="10">
        <f t="shared" si="0"/>
        <v>135</v>
      </c>
      <c r="I12" s="122">
        <f>H12/27</f>
        <v>5</v>
      </c>
      <c r="J12" s="125"/>
      <c r="K12" s="10">
        <v>70</v>
      </c>
      <c r="L12" s="125">
        <v>2</v>
      </c>
      <c r="M12" s="10">
        <f t="shared" si="1"/>
        <v>65</v>
      </c>
      <c r="N12" s="125"/>
    </row>
    <row r="13" spans="1:14" x14ac:dyDescent="0.25">
      <c r="A13" s="12" t="s">
        <v>25</v>
      </c>
      <c r="B13" s="5">
        <f>35*2+30</f>
        <v>100</v>
      </c>
      <c r="C13" s="5"/>
      <c r="D13" s="5"/>
      <c r="E13" s="5"/>
      <c r="F13" s="5"/>
      <c r="G13" s="5"/>
      <c r="H13" s="10">
        <f t="shared" si="0"/>
        <v>100</v>
      </c>
      <c r="I13" s="122">
        <v>3</v>
      </c>
      <c r="K13" s="10">
        <v>135</v>
      </c>
      <c r="L13" s="125">
        <v>2</v>
      </c>
      <c r="M13" s="10">
        <f t="shared" si="1"/>
        <v>-35</v>
      </c>
    </row>
    <row r="14" spans="1:14" x14ac:dyDescent="0.25">
      <c r="A14" s="12" t="s">
        <v>26</v>
      </c>
      <c r="B14" s="5">
        <f>27*5</f>
        <v>135</v>
      </c>
      <c r="C14" s="5"/>
      <c r="D14" s="5"/>
      <c r="E14" s="5"/>
      <c r="F14" s="5"/>
      <c r="G14" s="5"/>
      <c r="H14" s="10">
        <f t="shared" si="0"/>
        <v>135</v>
      </c>
      <c r="I14" s="122">
        <f t="shared" ref="I14" si="6">H14/27</f>
        <v>5</v>
      </c>
      <c r="K14" s="10">
        <v>70</v>
      </c>
      <c r="L14" s="125">
        <v>2</v>
      </c>
      <c r="M14" s="10">
        <f t="shared" si="1"/>
        <v>65</v>
      </c>
    </row>
    <row r="15" spans="1:14" x14ac:dyDescent="0.25">
      <c r="A15" s="12" t="s">
        <v>27</v>
      </c>
      <c r="B15" s="5">
        <f>35*2</f>
        <v>70</v>
      </c>
      <c r="C15" s="5"/>
      <c r="D15" s="5"/>
      <c r="E15" s="5"/>
      <c r="F15" s="5"/>
      <c r="G15" s="5"/>
      <c r="H15" s="10">
        <f t="shared" si="0"/>
        <v>70</v>
      </c>
      <c r="I15" s="122">
        <f>H15/35</f>
        <v>2</v>
      </c>
      <c r="K15" s="10">
        <v>43</v>
      </c>
      <c r="L15" s="125">
        <v>2</v>
      </c>
      <c r="M15" s="10">
        <f t="shared" si="1"/>
        <v>27</v>
      </c>
    </row>
    <row r="16" spans="1:14" x14ac:dyDescent="0.25">
      <c r="A16" s="12" t="s">
        <v>28</v>
      </c>
      <c r="B16" s="5">
        <v>43</v>
      </c>
      <c r="C16" s="5"/>
      <c r="D16" s="5"/>
      <c r="E16" s="5"/>
      <c r="F16" s="5"/>
      <c r="G16" s="5"/>
      <c r="H16" s="10">
        <f t="shared" si="0"/>
        <v>43</v>
      </c>
      <c r="I16" s="122">
        <v>2</v>
      </c>
      <c r="K16" s="10">
        <v>0</v>
      </c>
      <c r="M16" s="10">
        <f t="shared" si="1"/>
        <v>43</v>
      </c>
    </row>
    <row r="17" spans="1:14" x14ac:dyDescent="0.25">
      <c r="A17" s="100" t="s">
        <v>15</v>
      </c>
      <c r="B17" s="9">
        <f t="shared" ref="B17:G17" si="7">SUM(B4:B16)</f>
        <v>1553</v>
      </c>
      <c r="C17" s="9">
        <f t="shared" si="7"/>
        <v>0</v>
      </c>
      <c r="D17" s="9">
        <f t="shared" si="7"/>
        <v>0</v>
      </c>
      <c r="E17" s="9">
        <f t="shared" si="7"/>
        <v>0</v>
      </c>
      <c r="F17" s="9">
        <f t="shared" si="7"/>
        <v>0</v>
      </c>
      <c r="G17" s="9">
        <f t="shared" si="7"/>
        <v>0</v>
      </c>
      <c r="H17" s="9">
        <f>SUM(H4:H16)</f>
        <v>1553</v>
      </c>
      <c r="I17" s="122">
        <f>SUM(I4:I16)</f>
        <v>55</v>
      </c>
      <c r="J17" s="126"/>
      <c r="K17" s="9">
        <v>1358</v>
      </c>
      <c r="L17" s="125">
        <f>SUM(L4:L16)</f>
        <v>47</v>
      </c>
      <c r="M17" s="9">
        <f t="shared" si="1"/>
        <v>195</v>
      </c>
      <c r="N17" s="126"/>
    </row>
    <row r="18" spans="1:14" x14ac:dyDescent="0.25">
      <c r="A18" s="12"/>
      <c r="B18" s="5"/>
      <c r="C18" s="13"/>
      <c r="D18" s="13"/>
      <c r="E18" s="13"/>
      <c r="F18" s="13"/>
      <c r="G18" s="13"/>
      <c r="H18" s="13"/>
      <c r="I18" s="18"/>
      <c r="J18" s="7"/>
      <c r="K18" s="13"/>
      <c r="M18" s="13">
        <f t="shared" si="1"/>
        <v>0</v>
      </c>
      <c r="N18" s="7"/>
    </row>
    <row r="19" spans="1:14" x14ac:dyDescent="0.25">
      <c r="A19" s="14" t="s">
        <v>29</v>
      </c>
      <c r="B19" s="15" t="str">
        <f>B1</f>
        <v>Operating</v>
      </c>
      <c r="C19" s="15" t="str">
        <f>C1</f>
        <v>SPED</v>
      </c>
      <c r="D19" s="15" t="str">
        <f>D1</f>
        <v>NSLP</v>
      </c>
      <c r="E19" s="15" t="str">
        <f t="shared" ref="E19:G19" si="8">E1</f>
        <v>Other</v>
      </c>
      <c r="F19" s="15" t="str">
        <f t="shared" si="8"/>
        <v>Title I</v>
      </c>
      <c r="G19" s="15" t="str">
        <f t="shared" si="8"/>
        <v>Title II/III/IV</v>
      </c>
      <c r="H19" s="15" t="str">
        <f>H1</f>
        <v>Total (26-27)</v>
      </c>
      <c r="I19" s="16"/>
      <c r="J19" s="16"/>
      <c r="K19" s="15" t="s">
        <v>231</v>
      </c>
      <c r="M19" s="15" t="str">
        <f>M1</f>
        <v>Variance</v>
      </c>
      <c r="N19" s="16"/>
    </row>
    <row r="20" spans="1:14" x14ac:dyDescent="0.25">
      <c r="A20" s="12" t="s">
        <v>31</v>
      </c>
      <c r="B20" s="5"/>
      <c r="C20" s="5">
        <f>('25-26'!C20/'25-26'!B17)*'26-27'!B17</f>
        <v>112.81226415094339</v>
      </c>
      <c r="D20" s="5"/>
      <c r="E20" s="5"/>
      <c r="F20" s="5"/>
      <c r="G20" s="5"/>
      <c r="H20" s="5">
        <f>SUM(B20:G20)</f>
        <v>112.81226415094339</v>
      </c>
      <c r="I20" s="17" t="s">
        <v>32</v>
      </c>
      <c r="J20" s="127"/>
      <c r="K20" s="10">
        <v>98.647169811320751</v>
      </c>
      <c r="M20" s="5">
        <f t="shared" si="1"/>
        <v>14.165094339622641</v>
      </c>
      <c r="N20" s="127"/>
    </row>
    <row r="21" spans="1:14" x14ac:dyDescent="0.25">
      <c r="A21" s="12" t="s">
        <v>33</v>
      </c>
      <c r="B21" s="5">
        <f>('25-26'!B21+25)</f>
        <v>326</v>
      </c>
      <c r="C21" s="5"/>
      <c r="D21" s="5"/>
      <c r="E21" s="5"/>
      <c r="F21" s="5"/>
      <c r="G21" s="5"/>
      <c r="H21" s="5">
        <f>SUM(B21:G21)</f>
        <v>326</v>
      </c>
      <c r="I21" s="17"/>
      <c r="J21" s="127"/>
      <c r="K21" s="10">
        <v>301</v>
      </c>
      <c r="M21" s="5">
        <f t="shared" si="1"/>
        <v>25</v>
      </c>
      <c r="N21" s="127"/>
    </row>
    <row r="22" spans="1:14" x14ac:dyDescent="0.25">
      <c r="A22" s="12" t="s">
        <v>34</v>
      </c>
      <c r="B22" s="10">
        <v>0</v>
      </c>
      <c r="C22" s="10"/>
      <c r="D22" s="10"/>
      <c r="E22" s="10"/>
      <c r="F22" s="10"/>
      <c r="G22" s="10"/>
      <c r="H22" s="5">
        <f>SUM(B22:G22)</f>
        <v>0</v>
      </c>
      <c r="I22" s="11"/>
      <c r="K22" s="10">
        <v>0</v>
      </c>
      <c r="M22" s="5">
        <f t="shared" si="1"/>
        <v>0</v>
      </c>
    </row>
    <row r="23" spans="1:14" x14ac:dyDescent="0.25">
      <c r="A23" s="12" t="s">
        <v>35</v>
      </c>
      <c r="B23" s="10">
        <f>('25-26'!B23/'25-26'!B17)*'26-27'!B17</f>
        <v>808.73207547169807</v>
      </c>
      <c r="C23" s="19"/>
      <c r="D23" s="19">
        <v>1</v>
      </c>
      <c r="E23" s="19"/>
      <c r="F23" s="19"/>
      <c r="G23" s="19"/>
      <c r="H23" s="19">
        <f>SUM(C23:G23)</f>
        <v>1</v>
      </c>
      <c r="I23" s="20"/>
      <c r="J23" s="128"/>
      <c r="K23" s="19">
        <v>1</v>
      </c>
      <c r="M23" s="19">
        <f t="shared" si="1"/>
        <v>0</v>
      </c>
      <c r="N23" s="128"/>
    </row>
    <row r="24" spans="1:14" x14ac:dyDescent="0.25">
      <c r="A24" s="12" t="s">
        <v>36</v>
      </c>
      <c r="B24" s="5">
        <f>('25-26'!B24+3)</f>
        <v>107</v>
      </c>
      <c r="C24" s="5"/>
      <c r="D24" s="5"/>
      <c r="E24" s="5"/>
      <c r="F24" s="5"/>
      <c r="G24" s="5"/>
      <c r="H24" s="5">
        <f>SUM(B24:G24)</f>
        <v>107</v>
      </c>
      <c r="I24" s="20"/>
      <c r="J24" s="128"/>
      <c r="K24" s="10">
        <v>104</v>
      </c>
      <c r="M24" s="5">
        <f t="shared" si="1"/>
        <v>3</v>
      </c>
      <c r="N24" s="128"/>
    </row>
    <row r="25" spans="1:14" x14ac:dyDescent="0.25">
      <c r="A25" s="12"/>
      <c r="B25" s="5"/>
      <c r="C25" s="5"/>
      <c r="D25" s="5"/>
      <c r="E25" s="5"/>
      <c r="F25" s="5"/>
      <c r="G25" s="5"/>
      <c r="H25" s="5"/>
      <c r="I25" s="7"/>
      <c r="J25" s="7"/>
      <c r="K25" s="5"/>
      <c r="M25" s="5">
        <f t="shared" si="1"/>
        <v>0</v>
      </c>
      <c r="N25" s="7"/>
    </row>
    <row r="26" spans="1:14" x14ac:dyDescent="0.25">
      <c r="A26" s="21" t="s">
        <v>37</v>
      </c>
      <c r="B26" s="15" t="str">
        <f>B1</f>
        <v>Operating</v>
      </c>
      <c r="C26" s="15" t="str">
        <f>C1</f>
        <v>SPED</v>
      </c>
      <c r="D26" s="15" t="str">
        <f>D1</f>
        <v>NSLP</v>
      </c>
      <c r="E26" s="15" t="str">
        <f t="shared" ref="E26:G26" si="9">E1</f>
        <v>Other</v>
      </c>
      <c r="F26" s="15" t="str">
        <f t="shared" si="9"/>
        <v>Title I</v>
      </c>
      <c r="G26" s="15" t="str">
        <f t="shared" si="9"/>
        <v>Title II/III/IV</v>
      </c>
      <c r="H26" s="15" t="str">
        <f>H1</f>
        <v>Total (26-27)</v>
      </c>
      <c r="I26" s="16"/>
      <c r="J26" s="16"/>
      <c r="K26" s="15" t="s">
        <v>231</v>
      </c>
      <c r="M26" s="15" t="str">
        <f>M1</f>
        <v>Variance</v>
      </c>
      <c r="N26" s="16"/>
    </row>
    <row r="27" spans="1:14" x14ac:dyDescent="0.25">
      <c r="A27" s="29" t="s">
        <v>38</v>
      </c>
      <c r="B27" s="23">
        <v>55</v>
      </c>
      <c r="C27" s="23"/>
      <c r="D27" s="23"/>
      <c r="E27" s="23"/>
      <c r="F27" s="23"/>
      <c r="G27" s="23"/>
      <c r="H27" s="23">
        <f t="shared" ref="H27:H35" si="10">SUM(B27:G27)</f>
        <v>55</v>
      </c>
      <c r="I27" s="122">
        <f>H27/6</f>
        <v>9.1666666666666661</v>
      </c>
      <c r="J27" s="125"/>
      <c r="K27" s="25">
        <v>49</v>
      </c>
      <c r="M27" s="23">
        <f t="shared" si="1"/>
        <v>6</v>
      </c>
      <c r="N27" s="125"/>
    </row>
    <row r="28" spans="1:14" x14ac:dyDescent="0.25">
      <c r="A28" s="29" t="s">
        <v>39</v>
      </c>
      <c r="B28" s="25">
        <v>0</v>
      </c>
      <c r="C28" s="25">
        <v>6</v>
      </c>
      <c r="D28" s="25"/>
      <c r="E28" s="25"/>
      <c r="F28" s="25"/>
      <c r="G28" s="25"/>
      <c r="H28" s="23">
        <f t="shared" si="10"/>
        <v>6</v>
      </c>
      <c r="I28" s="122">
        <f>H20/21</f>
        <v>5.372012578616352</v>
      </c>
      <c r="J28" s="125"/>
      <c r="K28" s="25">
        <v>6</v>
      </c>
      <c r="M28" s="23">
        <f t="shared" si="1"/>
        <v>0</v>
      </c>
      <c r="N28" s="125"/>
    </row>
    <row r="29" spans="1:14" x14ac:dyDescent="0.25">
      <c r="A29" s="29" t="s">
        <v>40</v>
      </c>
      <c r="B29" s="23">
        <v>2</v>
      </c>
      <c r="C29" s="23"/>
      <c r="D29" s="23"/>
      <c r="E29" s="23"/>
      <c r="F29" s="23"/>
      <c r="G29" s="23"/>
      <c r="H29" s="23">
        <f t="shared" si="10"/>
        <v>2</v>
      </c>
      <c r="I29" s="11"/>
      <c r="K29" s="25">
        <v>1</v>
      </c>
      <c r="M29" s="23">
        <f t="shared" si="1"/>
        <v>1</v>
      </c>
    </row>
    <row r="30" spans="1:14" x14ac:dyDescent="0.25">
      <c r="A30" s="29" t="s">
        <v>41</v>
      </c>
      <c r="B30" s="23">
        <v>1</v>
      </c>
      <c r="C30" s="23"/>
      <c r="D30" s="23"/>
      <c r="E30" s="23"/>
      <c r="F30" s="23"/>
      <c r="G30" s="23"/>
      <c r="H30" s="23">
        <f t="shared" si="10"/>
        <v>1</v>
      </c>
      <c r="I30" s="11"/>
      <c r="K30" s="25">
        <v>1</v>
      </c>
      <c r="M30" s="23">
        <f t="shared" si="1"/>
        <v>0</v>
      </c>
    </row>
    <row r="31" spans="1:14" x14ac:dyDescent="0.25">
      <c r="A31" s="29" t="s">
        <v>42</v>
      </c>
      <c r="B31" s="23">
        <v>1</v>
      </c>
      <c r="C31" s="23"/>
      <c r="D31" s="23"/>
      <c r="E31" s="23"/>
      <c r="F31" s="23"/>
      <c r="G31" s="23"/>
      <c r="H31" s="23">
        <f t="shared" si="10"/>
        <v>1</v>
      </c>
      <c r="I31" s="11"/>
      <c r="K31" s="25">
        <v>1</v>
      </c>
      <c r="M31" s="23">
        <f t="shared" si="1"/>
        <v>0</v>
      </c>
    </row>
    <row r="32" spans="1:14" x14ac:dyDescent="0.25">
      <c r="A32" s="97" t="s">
        <v>43</v>
      </c>
      <c r="B32" s="23">
        <v>1</v>
      </c>
      <c r="C32" s="23"/>
      <c r="D32" s="23"/>
      <c r="E32" s="23"/>
      <c r="F32" s="23"/>
      <c r="G32" s="23"/>
      <c r="H32" s="23">
        <f t="shared" si="10"/>
        <v>1</v>
      </c>
      <c r="I32" s="11"/>
      <c r="K32" s="25">
        <v>1</v>
      </c>
      <c r="M32" s="23">
        <f t="shared" si="1"/>
        <v>0</v>
      </c>
    </row>
    <row r="33" spans="1:14" x14ac:dyDescent="0.25">
      <c r="A33" s="97" t="s">
        <v>44</v>
      </c>
      <c r="B33" s="23">
        <v>1</v>
      </c>
      <c r="C33" s="23"/>
      <c r="D33" s="23"/>
      <c r="E33" s="23"/>
      <c r="F33" s="23"/>
      <c r="G33" s="23"/>
      <c r="H33" s="23">
        <f t="shared" si="10"/>
        <v>1</v>
      </c>
      <c r="I33" s="11"/>
      <c r="K33" s="25">
        <v>0</v>
      </c>
      <c r="M33" s="23">
        <f t="shared" si="1"/>
        <v>1</v>
      </c>
    </row>
    <row r="34" spans="1:14" x14ac:dyDescent="0.25">
      <c r="A34" s="97" t="s">
        <v>45</v>
      </c>
      <c r="B34" s="23">
        <v>2</v>
      </c>
      <c r="C34" s="23"/>
      <c r="D34" s="23"/>
      <c r="E34" s="23"/>
      <c r="F34" s="23"/>
      <c r="G34" s="23"/>
      <c r="H34" s="23">
        <f t="shared" si="10"/>
        <v>2</v>
      </c>
      <c r="I34" s="11"/>
      <c r="K34" s="25">
        <v>0</v>
      </c>
      <c r="M34" s="23">
        <f t="shared" si="1"/>
        <v>2</v>
      </c>
    </row>
    <row r="35" spans="1:14" x14ac:dyDescent="0.25">
      <c r="A35" s="30" t="s">
        <v>46</v>
      </c>
      <c r="B35" s="23">
        <v>0</v>
      </c>
      <c r="C35" s="23"/>
      <c r="D35" s="23"/>
      <c r="E35" s="23"/>
      <c r="F35" s="23"/>
      <c r="G35" s="23"/>
      <c r="H35" s="23">
        <f t="shared" si="10"/>
        <v>0</v>
      </c>
      <c r="I35" s="11"/>
      <c r="K35" s="25">
        <v>0</v>
      </c>
      <c r="M35" s="23">
        <f t="shared" si="1"/>
        <v>0</v>
      </c>
    </row>
    <row r="36" spans="1:14" x14ac:dyDescent="0.25">
      <c r="A36" s="21" t="s">
        <v>47</v>
      </c>
      <c r="B36" s="28">
        <f>SUM(B27:B35)</f>
        <v>63</v>
      </c>
      <c r="C36" s="28">
        <f t="shared" ref="C36:G36" si="11">SUM(C27:C35)</f>
        <v>6</v>
      </c>
      <c r="D36" s="28">
        <f t="shared" si="11"/>
        <v>0</v>
      </c>
      <c r="E36" s="28">
        <f t="shared" si="11"/>
        <v>0</v>
      </c>
      <c r="F36" s="28">
        <f t="shared" si="11"/>
        <v>0</v>
      </c>
      <c r="G36" s="28">
        <f t="shared" si="11"/>
        <v>0</v>
      </c>
      <c r="H36" s="28">
        <f>SUM(H27:H35)</f>
        <v>69</v>
      </c>
      <c r="I36" s="7"/>
      <c r="J36" s="7"/>
      <c r="K36" s="28">
        <v>59</v>
      </c>
      <c r="M36" s="28">
        <f t="shared" si="1"/>
        <v>10</v>
      </c>
      <c r="N36" s="7"/>
    </row>
    <row r="37" spans="1:14" x14ac:dyDescent="0.25">
      <c r="A37" s="27"/>
      <c r="B37" s="5"/>
      <c r="C37" s="5"/>
      <c r="D37" s="5"/>
      <c r="E37" s="5"/>
      <c r="F37" s="5"/>
      <c r="G37" s="5"/>
      <c r="H37" s="5"/>
      <c r="I37" s="7"/>
      <c r="J37" s="7"/>
      <c r="K37" s="5"/>
      <c r="M37" s="5">
        <f t="shared" si="1"/>
        <v>0</v>
      </c>
      <c r="N37" s="7"/>
    </row>
    <row r="38" spans="1:14" x14ac:dyDescent="0.25">
      <c r="A38" s="21" t="s">
        <v>48</v>
      </c>
      <c r="B38" s="15" t="str">
        <f>B1</f>
        <v>Operating</v>
      </c>
      <c r="C38" s="15" t="str">
        <f>C1</f>
        <v>SPED</v>
      </c>
      <c r="D38" s="15" t="str">
        <f>D1</f>
        <v>NSLP</v>
      </c>
      <c r="E38" s="15" t="str">
        <f t="shared" ref="E38:G38" si="12">E1</f>
        <v>Other</v>
      </c>
      <c r="F38" s="15" t="str">
        <f t="shared" si="12"/>
        <v>Title I</v>
      </c>
      <c r="G38" s="15" t="str">
        <f t="shared" si="12"/>
        <v>Title II/III/IV</v>
      </c>
      <c r="H38" s="15" t="str">
        <f>H1</f>
        <v>Total (26-27)</v>
      </c>
      <c r="I38" s="16"/>
      <c r="J38" s="16"/>
      <c r="K38" s="15" t="s">
        <v>231</v>
      </c>
      <c r="M38" s="15" t="str">
        <f>M1</f>
        <v>Variance</v>
      </c>
      <c r="N38" s="16"/>
    </row>
    <row r="39" spans="1:14" x14ac:dyDescent="0.25">
      <c r="A39" s="29" t="s">
        <v>49</v>
      </c>
      <c r="B39" s="25">
        <v>1</v>
      </c>
      <c r="C39" s="25"/>
      <c r="D39" s="25"/>
      <c r="E39" s="25"/>
      <c r="F39" s="25"/>
      <c r="G39" s="25"/>
      <c r="H39" s="23">
        <f t="shared" ref="H39:H44" si="13">SUM(B39:G39)</f>
        <v>1</v>
      </c>
      <c r="I39" s="11"/>
      <c r="K39" s="25">
        <v>1</v>
      </c>
      <c r="M39" s="23">
        <f t="shared" si="1"/>
        <v>0</v>
      </c>
    </row>
    <row r="40" spans="1:14" x14ac:dyDescent="0.25">
      <c r="A40" s="29" t="s">
        <v>50</v>
      </c>
      <c r="B40" s="25">
        <v>4</v>
      </c>
      <c r="C40" s="25"/>
      <c r="D40" s="25"/>
      <c r="E40" s="25"/>
      <c r="F40" s="25">
        <v>0</v>
      </c>
      <c r="G40" s="25"/>
      <c r="H40" s="23">
        <f t="shared" si="13"/>
        <v>4</v>
      </c>
      <c r="I40" s="11"/>
      <c r="K40" s="25">
        <v>4</v>
      </c>
      <c r="M40" s="23">
        <f t="shared" si="1"/>
        <v>0</v>
      </c>
    </row>
    <row r="41" spans="1:14" x14ac:dyDescent="0.25">
      <c r="A41" s="30" t="s">
        <v>51</v>
      </c>
      <c r="B41" s="25">
        <v>1</v>
      </c>
      <c r="C41" s="25"/>
      <c r="D41" s="25"/>
      <c r="E41" s="25"/>
      <c r="F41" s="25"/>
      <c r="G41" s="25"/>
      <c r="H41" s="23">
        <f t="shared" si="13"/>
        <v>1</v>
      </c>
      <c r="I41" s="11"/>
      <c r="K41" s="25">
        <v>1</v>
      </c>
      <c r="M41" s="23">
        <f t="shared" si="1"/>
        <v>0</v>
      </c>
    </row>
    <row r="42" spans="1:14" x14ac:dyDescent="0.25">
      <c r="A42" s="31" t="s">
        <v>52</v>
      </c>
      <c r="B42" s="25">
        <v>1</v>
      </c>
      <c r="C42" s="25"/>
      <c r="D42" s="25"/>
      <c r="E42" s="25"/>
      <c r="F42" s="25">
        <v>1</v>
      </c>
      <c r="G42" s="25"/>
      <c r="H42" s="23">
        <f t="shared" si="13"/>
        <v>2</v>
      </c>
      <c r="I42" s="11"/>
      <c r="K42" s="25">
        <v>2</v>
      </c>
      <c r="M42" s="23">
        <f t="shared" si="1"/>
        <v>0</v>
      </c>
    </row>
    <row r="43" spans="1:14" x14ac:dyDescent="0.25">
      <c r="A43" s="31" t="s">
        <v>53</v>
      </c>
      <c r="B43" s="25">
        <v>3</v>
      </c>
      <c r="C43" s="25"/>
      <c r="D43" s="25"/>
      <c r="E43" s="25"/>
      <c r="F43" s="25"/>
      <c r="G43" s="25"/>
      <c r="H43" s="23">
        <f t="shared" si="13"/>
        <v>3</v>
      </c>
      <c r="I43" s="11"/>
      <c r="K43" s="25">
        <v>3</v>
      </c>
      <c r="M43" s="23">
        <f t="shared" si="1"/>
        <v>0</v>
      </c>
    </row>
    <row r="44" spans="1:14" x14ac:dyDescent="0.25">
      <c r="A44" s="31" t="s">
        <v>54</v>
      </c>
      <c r="B44" s="25">
        <v>2</v>
      </c>
      <c r="C44" s="25"/>
      <c r="D44" s="25"/>
      <c r="E44" s="25"/>
      <c r="F44" s="25">
        <v>1</v>
      </c>
      <c r="G44" s="25">
        <v>0</v>
      </c>
      <c r="H44" s="23">
        <f t="shared" si="13"/>
        <v>3</v>
      </c>
      <c r="I44" s="11"/>
      <c r="K44" s="25">
        <v>3</v>
      </c>
      <c r="M44" s="23">
        <f t="shared" si="1"/>
        <v>0</v>
      </c>
    </row>
    <row r="45" spans="1:14" x14ac:dyDescent="0.25">
      <c r="A45" s="31" t="s">
        <v>55</v>
      </c>
      <c r="B45" s="25">
        <v>0</v>
      </c>
      <c r="C45" s="25"/>
      <c r="D45" s="25"/>
      <c r="E45" s="25"/>
      <c r="F45" s="25"/>
      <c r="G45" s="25"/>
      <c r="H45" s="23"/>
      <c r="I45" s="11"/>
      <c r="K45" s="25"/>
      <c r="M45" s="23">
        <f t="shared" si="1"/>
        <v>0</v>
      </c>
    </row>
    <row r="46" spans="1:14" x14ac:dyDescent="0.25">
      <c r="A46" s="29" t="s">
        <v>56</v>
      </c>
      <c r="B46" s="25">
        <v>2</v>
      </c>
      <c r="C46" s="25"/>
      <c r="D46" s="25"/>
      <c r="E46" s="25"/>
      <c r="F46" s="25"/>
      <c r="G46" s="25"/>
      <c r="H46" s="23">
        <f t="shared" ref="H46:H60" si="14">SUM(B46:G46)</f>
        <v>2</v>
      </c>
      <c r="I46" s="11"/>
      <c r="K46" s="25">
        <v>2</v>
      </c>
      <c r="M46" s="23">
        <f t="shared" si="1"/>
        <v>0</v>
      </c>
    </row>
    <row r="47" spans="1:14" x14ac:dyDescent="0.25">
      <c r="A47" s="29" t="s">
        <v>57</v>
      </c>
      <c r="B47" s="25">
        <v>2</v>
      </c>
      <c r="C47" s="25"/>
      <c r="D47" s="25"/>
      <c r="E47" s="25"/>
      <c r="F47" s="25"/>
      <c r="G47" s="25"/>
      <c r="H47" s="23">
        <f t="shared" si="14"/>
        <v>2</v>
      </c>
      <c r="I47" s="11"/>
      <c r="K47" s="25">
        <v>2</v>
      </c>
      <c r="M47" s="23">
        <f t="shared" si="1"/>
        <v>0</v>
      </c>
    </row>
    <row r="48" spans="1:14" x14ac:dyDescent="0.25">
      <c r="A48" s="29" t="s">
        <v>58</v>
      </c>
      <c r="B48" s="25">
        <v>5</v>
      </c>
      <c r="C48" s="25"/>
      <c r="D48" s="25"/>
      <c r="E48" s="25"/>
      <c r="F48" s="25"/>
      <c r="G48" s="25"/>
      <c r="H48" s="23">
        <f t="shared" si="14"/>
        <v>5</v>
      </c>
      <c r="I48" s="11"/>
      <c r="K48" s="25">
        <v>4</v>
      </c>
      <c r="M48" s="23">
        <f t="shared" si="1"/>
        <v>1</v>
      </c>
    </row>
    <row r="49" spans="1:14" x14ac:dyDescent="0.25">
      <c r="A49" s="29" t="s">
        <v>59</v>
      </c>
      <c r="B49" s="25">
        <v>4</v>
      </c>
      <c r="C49" s="25"/>
      <c r="D49" s="25"/>
      <c r="E49" s="25"/>
      <c r="F49" s="25"/>
      <c r="G49" s="25"/>
      <c r="H49" s="23">
        <f t="shared" si="14"/>
        <v>4</v>
      </c>
      <c r="I49" s="11"/>
      <c r="K49" s="25">
        <v>3</v>
      </c>
      <c r="M49" s="23">
        <f t="shared" si="1"/>
        <v>1</v>
      </c>
    </row>
    <row r="50" spans="1:14" x14ac:dyDescent="0.25">
      <c r="A50" s="29" t="s">
        <v>60</v>
      </c>
      <c r="B50" s="25">
        <v>12</v>
      </c>
      <c r="C50" s="25">
        <v>4</v>
      </c>
      <c r="D50" s="25"/>
      <c r="E50" s="25"/>
      <c r="F50" s="25">
        <v>8</v>
      </c>
      <c r="G50" s="25">
        <v>4</v>
      </c>
      <c r="H50" s="23">
        <f t="shared" si="14"/>
        <v>28</v>
      </c>
      <c r="I50" s="11"/>
      <c r="K50" s="25">
        <v>26</v>
      </c>
      <c r="M50" s="23">
        <f t="shared" si="1"/>
        <v>2</v>
      </c>
    </row>
    <row r="51" spans="1:14" x14ac:dyDescent="0.25">
      <c r="A51" s="29" t="s">
        <v>61</v>
      </c>
      <c r="B51" s="25">
        <v>6</v>
      </c>
      <c r="C51" s="25"/>
      <c r="D51" s="25"/>
      <c r="E51" s="25"/>
      <c r="F51" s="25"/>
      <c r="G51" s="25"/>
      <c r="H51" s="23">
        <f t="shared" si="14"/>
        <v>6</v>
      </c>
      <c r="I51" s="11"/>
      <c r="K51" s="25">
        <v>6</v>
      </c>
      <c r="M51" s="23">
        <f t="shared" si="1"/>
        <v>0</v>
      </c>
    </row>
    <row r="52" spans="1:14" x14ac:dyDescent="0.25">
      <c r="A52" s="29" t="s">
        <v>62</v>
      </c>
      <c r="B52" s="25"/>
      <c r="C52" s="25"/>
      <c r="D52" s="25">
        <v>6</v>
      </c>
      <c r="E52" s="25"/>
      <c r="F52" s="25"/>
      <c r="G52" s="25"/>
      <c r="H52" s="23">
        <f t="shared" si="14"/>
        <v>6</v>
      </c>
      <c r="I52" s="11"/>
      <c r="K52" s="25">
        <v>5</v>
      </c>
      <c r="M52" s="23">
        <f t="shared" si="1"/>
        <v>1</v>
      </c>
    </row>
    <row r="53" spans="1:14" x14ac:dyDescent="0.25">
      <c r="A53" s="29" t="s">
        <v>63</v>
      </c>
      <c r="B53" s="25">
        <v>0</v>
      </c>
      <c r="C53" s="25"/>
      <c r="D53" s="25"/>
      <c r="E53" s="25"/>
      <c r="F53" s="25">
        <v>1</v>
      </c>
      <c r="G53" s="25"/>
      <c r="H53" s="23">
        <f t="shared" si="14"/>
        <v>1</v>
      </c>
      <c r="I53" s="6"/>
      <c r="J53" s="60"/>
      <c r="K53" s="25">
        <v>1</v>
      </c>
      <c r="M53" s="23">
        <f t="shared" si="1"/>
        <v>0</v>
      </c>
      <c r="N53" s="60"/>
    </row>
    <row r="54" spans="1:14" x14ac:dyDescent="0.25">
      <c r="A54" s="30" t="s">
        <v>64</v>
      </c>
      <c r="B54" s="25">
        <v>0</v>
      </c>
      <c r="C54" s="25">
        <v>1</v>
      </c>
      <c r="D54" s="25"/>
      <c r="E54" s="25"/>
      <c r="F54" s="25"/>
      <c r="G54" s="25"/>
      <c r="H54" s="23">
        <f t="shared" si="14"/>
        <v>1</v>
      </c>
      <c r="I54" s="6"/>
      <c r="J54" s="60"/>
      <c r="K54" s="25">
        <v>1</v>
      </c>
      <c r="M54" s="23">
        <f t="shared" si="1"/>
        <v>0</v>
      </c>
      <c r="N54" s="60"/>
    </row>
    <row r="55" spans="1:14" x14ac:dyDescent="0.25">
      <c r="A55" s="30" t="s">
        <v>65</v>
      </c>
      <c r="B55" s="25"/>
      <c r="C55" s="25">
        <v>0</v>
      </c>
      <c r="D55" s="25"/>
      <c r="E55" s="25"/>
      <c r="F55" s="25"/>
      <c r="G55" s="25"/>
      <c r="H55" s="23">
        <f t="shared" si="14"/>
        <v>0</v>
      </c>
      <c r="I55" s="6"/>
      <c r="J55" s="60"/>
      <c r="K55" s="25">
        <v>0</v>
      </c>
      <c r="M55" s="23">
        <f t="shared" si="1"/>
        <v>0</v>
      </c>
      <c r="N55" s="60"/>
    </row>
    <row r="56" spans="1:14" x14ac:dyDescent="0.25">
      <c r="A56" s="30" t="s">
        <v>66</v>
      </c>
      <c r="B56" s="25"/>
      <c r="C56" s="25">
        <v>0</v>
      </c>
      <c r="D56" s="25"/>
      <c r="E56" s="25"/>
      <c r="F56" s="25"/>
      <c r="G56" s="25"/>
      <c r="H56" s="23">
        <f t="shared" si="14"/>
        <v>0</v>
      </c>
      <c r="I56" s="6"/>
      <c r="J56" s="60"/>
      <c r="K56" s="25">
        <v>0</v>
      </c>
      <c r="M56" s="23">
        <f t="shared" si="1"/>
        <v>0</v>
      </c>
      <c r="N56" s="60"/>
    </row>
    <row r="57" spans="1:14" x14ac:dyDescent="0.25">
      <c r="A57" s="30" t="s">
        <v>67</v>
      </c>
      <c r="B57" s="25"/>
      <c r="C57" s="25"/>
      <c r="D57" s="25"/>
      <c r="E57" s="25"/>
      <c r="F57" s="25"/>
      <c r="G57" s="25"/>
      <c r="H57" s="23">
        <f t="shared" si="14"/>
        <v>0</v>
      </c>
      <c r="I57" s="6"/>
      <c r="J57" s="60"/>
      <c r="K57" s="25">
        <v>0</v>
      </c>
      <c r="M57" s="23">
        <f t="shared" si="1"/>
        <v>0</v>
      </c>
      <c r="N57" s="60"/>
    </row>
    <row r="58" spans="1:14" x14ac:dyDescent="0.25">
      <c r="A58" s="30" t="s">
        <v>68</v>
      </c>
      <c r="B58" s="25"/>
      <c r="C58" s="25"/>
      <c r="D58" s="25"/>
      <c r="E58" s="25"/>
      <c r="F58" s="25"/>
      <c r="G58" s="25"/>
      <c r="H58" s="23">
        <f t="shared" si="14"/>
        <v>0</v>
      </c>
      <c r="I58" s="6"/>
      <c r="J58" s="60"/>
      <c r="K58" s="25">
        <v>0</v>
      </c>
      <c r="M58" s="23">
        <f t="shared" si="1"/>
        <v>0</v>
      </c>
      <c r="N58" s="60"/>
    </row>
    <row r="59" spans="1:14" x14ac:dyDescent="0.25">
      <c r="A59" s="30" t="s">
        <v>69</v>
      </c>
      <c r="B59" s="25">
        <v>3</v>
      </c>
      <c r="C59" s="25"/>
      <c r="D59" s="25"/>
      <c r="E59" s="25"/>
      <c r="F59" s="25"/>
      <c r="G59" s="25"/>
      <c r="H59" s="23">
        <f t="shared" si="14"/>
        <v>3</v>
      </c>
      <c r="I59" s="6"/>
      <c r="J59" s="60"/>
      <c r="K59" s="25">
        <v>2</v>
      </c>
      <c r="M59" s="23">
        <f t="shared" si="1"/>
        <v>1</v>
      </c>
      <c r="N59" s="60"/>
    </row>
    <row r="60" spans="1:14" x14ac:dyDescent="0.25">
      <c r="A60" s="29" t="s">
        <v>70</v>
      </c>
      <c r="B60" s="23"/>
      <c r="C60" s="23"/>
      <c r="D60" s="23"/>
      <c r="E60" s="23"/>
      <c r="F60" s="23"/>
      <c r="G60" s="23"/>
      <c r="H60" s="23">
        <f t="shared" si="14"/>
        <v>0</v>
      </c>
      <c r="I60" s="6"/>
      <c r="J60" s="60"/>
      <c r="K60" s="25">
        <v>0</v>
      </c>
      <c r="M60" s="23">
        <f t="shared" si="1"/>
        <v>0</v>
      </c>
      <c r="N60" s="60"/>
    </row>
    <row r="61" spans="1:14" x14ac:dyDescent="0.25">
      <c r="A61" s="21" t="s">
        <v>71</v>
      </c>
      <c r="B61" s="33">
        <f>SUM(B39:B60)</f>
        <v>46</v>
      </c>
      <c r="C61" s="33">
        <f>SUM(C39:C60)</f>
        <v>5</v>
      </c>
      <c r="D61" s="33">
        <f>SUM(D39:D60)</f>
        <v>6</v>
      </c>
      <c r="E61" s="33">
        <f t="shared" ref="E61:G61" si="15">SUM(E39:E60)</f>
        <v>0</v>
      </c>
      <c r="F61" s="33">
        <f t="shared" si="15"/>
        <v>11</v>
      </c>
      <c r="G61" s="33">
        <f t="shared" si="15"/>
        <v>4</v>
      </c>
      <c r="H61" s="33">
        <f>SUM(H39:H60)</f>
        <v>72</v>
      </c>
      <c r="I61" s="7"/>
      <c r="J61" s="7"/>
      <c r="K61" s="33">
        <v>66</v>
      </c>
      <c r="M61" s="33">
        <f t="shared" si="1"/>
        <v>6</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72</v>
      </c>
      <c r="B63" s="37">
        <f>B36</f>
        <v>63</v>
      </c>
      <c r="C63" s="37">
        <f>C36</f>
        <v>6</v>
      </c>
      <c r="D63" s="37">
        <f>D36</f>
        <v>0</v>
      </c>
      <c r="E63" s="37">
        <f t="shared" ref="E63:G63" si="16">E36</f>
        <v>0</v>
      </c>
      <c r="F63" s="37">
        <f t="shared" si="16"/>
        <v>0</v>
      </c>
      <c r="G63" s="37">
        <f t="shared" si="16"/>
        <v>0</v>
      </c>
      <c r="H63" s="37">
        <f>H36</f>
        <v>69</v>
      </c>
      <c r="I63" s="7"/>
      <c r="J63" s="7"/>
      <c r="K63" s="37">
        <v>59</v>
      </c>
      <c r="M63" s="37">
        <f t="shared" si="1"/>
        <v>10</v>
      </c>
      <c r="N63" s="7"/>
    </row>
    <row r="64" spans="1:14" x14ac:dyDescent="0.25">
      <c r="A64" s="38" t="s">
        <v>73</v>
      </c>
      <c r="B64" s="39">
        <f>B61</f>
        <v>46</v>
      </c>
      <c r="C64" s="39">
        <f t="shared" ref="C64:H64" si="17">C61</f>
        <v>5</v>
      </c>
      <c r="D64" s="39">
        <f t="shared" si="17"/>
        <v>6</v>
      </c>
      <c r="E64" s="39">
        <f t="shared" si="17"/>
        <v>0</v>
      </c>
      <c r="F64" s="39">
        <f t="shared" si="17"/>
        <v>11</v>
      </c>
      <c r="G64" s="39">
        <f t="shared" si="17"/>
        <v>4</v>
      </c>
      <c r="H64" s="39">
        <f t="shared" si="17"/>
        <v>72</v>
      </c>
      <c r="I64" s="7"/>
      <c r="J64" s="7"/>
      <c r="K64" s="39">
        <v>66</v>
      </c>
      <c r="M64" s="39">
        <f t="shared" si="1"/>
        <v>6</v>
      </c>
      <c r="N64" s="7"/>
    </row>
    <row r="65" spans="1:14" ht="15.75" thickBot="1" x14ac:dyDescent="0.3">
      <c r="A65" s="40" t="s">
        <v>74</v>
      </c>
      <c r="B65" s="41">
        <f>SUM(B63:B64)</f>
        <v>109</v>
      </c>
      <c r="C65" s="41">
        <f t="shared" ref="C65:H65" si="18">SUM(C63:C64)</f>
        <v>11</v>
      </c>
      <c r="D65" s="41">
        <f t="shared" si="18"/>
        <v>6</v>
      </c>
      <c r="E65" s="41">
        <f t="shared" si="18"/>
        <v>0</v>
      </c>
      <c r="F65" s="41">
        <f t="shared" si="18"/>
        <v>11</v>
      </c>
      <c r="G65" s="41">
        <f t="shared" si="18"/>
        <v>4</v>
      </c>
      <c r="H65" s="41">
        <f t="shared" si="18"/>
        <v>141</v>
      </c>
      <c r="I65" s="7"/>
      <c r="J65" s="7"/>
      <c r="K65" s="41">
        <v>125</v>
      </c>
      <c r="M65" s="41">
        <f t="shared" si="1"/>
        <v>16</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75</v>
      </c>
      <c r="B67" s="44"/>
      <c r="C67" s="44"/>
      <c r="D67" s="44"/>
      <c r="E67" s="44"/>
      <c r="F67" s="44"/>
      <c r="G67" s="44"/>
      <c r="H67" s="45">
        <f>H142/(H211+H213+H214+H215+H216+H217)</f>
        <v>0.59032980550714187</v>
      </c>
      <c r="I67" s="7"/>
      <c r="J67" s="7"/>
      <c r="K67" s="45">
        <v>0.57768845634536559</v>
      </c>
      <c r="M67" s="45">
        <f t="shared" si="19"/>
        <v>1.2641349161776283E-2</v>
      </c>
      <c r="N67" s="7"/>
    </row>
    <row r="68" spans="1:14" x14ac:dyDescent="0.25">
      <c r="A68" s="43" t="s">
        <v>76</v>
      </c>
      <c r="B68" s="44"/>
      <c r="C68" s="44"/>
      <c r="D68" s="44"/>
      <c r="E68" s="44"/>
      <c r="F68" s="44"/>
      <c r="G68" s="44"/>
      <c r="H68" s="45">
        <f>(H114+H115+H118+H128)/H132</f>
        <v>0.67149952780569422</v>
      </c>
      <c r="I68" s="7"/>
      <c r="J68" s="7"/>
      <c r="K68" s="45">
        <v>0.65134802203088893</v>
      </c>
      <c r="M68" s="45">
        <f t="shared" si="19"/>
        <v>2.0151505774805289E-2</v>
      </c>
      <c r="N68" s="7"/>
    </row>
    <row r="69" spans="1:14" x14ac:dyDescent="0.25">
      <c r="A69" s="43" t="s">
        <v>77</v>
      </c>
      <c r="B69" s="44"/>
      <c r="C69" s="44"/>
      <c r="D69" s="44"/>
      <c r="E69" s="44"/>
      <c r="F69" s="44"/>
      <c r="G69" s="44"/>
      <c r="H69" s="45">
        <f>(H107+H108+H109+H112+H116+H117+H119+H120++H123+H124+H125+H126+H127+H129+H130)/H132</f>
        <v>0.27478253812109416</v>
      </c>
      <c r="I69" s="7"/>
      <c r="J69" s="7"/>
      <c r="K69" s="45">
        <v>0.2875310851454842</v>
      </c>
      <c r="M69" s="45">
        <f t="shared" si="19"/>
        <v>-1.2748547024390045E-2</v>
      </c>
      <c r="N69" s="7"/>
    </row>
    <row r="70" spans="1:14" x14ac:dyDescent="0.25">
      <c r="A70" s="43" t="s">
        <v>78</v>
      </c>
      <c r="B70" s="44"/>
      <c r="C70" s="44"/>
      <c r="D70" s="44"/>
      <c r="E70" s="44"/>
      <c r="F70" s="44"/>
      <c r="G70" s="44"/>
      <c r="H70" s="45">
        <f>(H213+H214+H215+H216)/(H97)</f>
        <v>0.14569969339964839</v>
      </c>
      <c r="I70" s="7"/>
      <c r="J70" s="7"/>
      <c r="K70" s="45">
        <v>0.15103786323412247</v>
      </c>
      <c r="M70" s="45">
        <f t="shared" si="19"/>
        <v>-5.3381698344740769E-3</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79</v>
      </c>
      <c r="B72" s="47" t="str">
        <f>B1</f>
        <v>Operating</v>
      </c>
      <c r="C72" s="47" t="str">
        <f>C1</f>
        <v>SPED</v>
      </c>
      <c r="D72" s="47" t="str">
        <f>D1</f>
        <v>NSLP</v>
      </c>
      <c r="E72" s="47" t="str">
        <f t="shared" ref="E72:G72" si="20">E1</f>
        <v>Other</v>
      </c>
      <c r="F72" s="47" t="str">
        <f t="shared" si="20"/>
        <v>Title I</v>
      </c>
      <c r="G72" s="47" t="str">
        <f t="shared" si="20"/>
        <v>Title II/III/IV</v>
      </c>
      <c r="H72" s="47" t="str">
        <f>H1</f>
        <v>Total (26-27)</v>
      </c>
      <c r="I72" s="18"/>
      <c r="J72" s="7"/>
      <c r="K72" s="47" t="s">
        <v>231</v>
      </c>
      <c r="M72" s="47" t="str">
        <f>M1</f>
        <v>Variance</v>
      </c>
      <c r="N72" s="7"/>
    </row>
    <row r="73" spans="1:14" x14ac:dyDescent="0.25">
      <c r="A73" s="48" t="s">
        <v>80</v>
      </c>
      <c r="B73" s="49"/>
      <c r="C73" s="49"/>
      <c r="D73" s="49"/>
      <c r="E73" s="49"/>
      <c r="F73" s="49"/>
      <c r="G73" s="49"/>
      <c r="H73" s="50"/>
      <c r="I73" s="16"/>
      <c r="J73" s="7"/>
      <c r="K73" s="50"/>
      <c r="M73" s="50">
        <f t="shared" si="19"/>
        <v>0</v>
      </c>
      <c r="N73" s="7"/>
    </row>
    <row r="74" spans="1:14" x14ac:dyDescent="0.25">
      <c r="A74" s="30" t="s">
        <v>81</v>
      </c>
      <c r="B74" s="51">
        <f>(B2*B3)</f>
        <v>15284418.3639</v>
      </c>
      <c r="C74" s="51"/>
      <c r="D74" s="51"/>
      <c r="E74" s="51"/>
      <c r="F74" s="51"/>
      <c r="G74" s="51"/>
      <c r="H74" s="52">
        <f t="shared" ref="H74:H79" si="21">SUM(B74:G74)</f>
        <v>15284418.3639</v>
      </c>
      <c r="I74" s="11"/>
      <c r="K74" s="10">
        <v>13167738.359999999</v>
      </c>
      <c r="M74" s="52">
        <f t="shared" si="19"/>
        <v>2116680.0039000008</v>
      </c>
    </row>
    <row r="75" spans="1:14" x14ac:dyDescent="0.25">
      <c r="A75" s="30" t="s">
        <v>82</v>
      </c>
      <c r="B75" s="35">
        <f>4236*B21</f>
        <v>1380936</v>
      </c>
      <c r="C75" s="35"/>
      <c r="D75" s="35"/>
      <c r="E75" s="35"/>
      <c r="F75" s="35"/>
      <c r="G75" s="35"/>
      <c r="H75" s="5">
        <f t="shared" si="21"/>
        <v>1380936</v>
      </c>
      <c r="I75" s="6">
        <v>4236</v>
      </c>
      <c r="J75" s="60"/>
      <c r="K75" s="10">
        <v>1275036</v>
      </c>
      <c r="M75" s="5">
        <f t="shared" si="19"/>
        <v>105900</v>
      </c>
      <c r="N75" s="60"/>
    </row>
    <row r="76" spans="1:14" x14ac:dyDescent="0.25">
      <c r="A76" s="30" t="s">
        <v>83</v>
      </c>
      <c r="B76" s="5">
        <f>1075*B22</f>
        <v>0</v>
      </c>
      <c r="C76" s="5"/>
      <c r="D76" s="5"/>
      <c r="E76" s="5"/>
      <c r="F76" s="5"/>
      <c r="G76" s="5"/>
      <c r="H76" s="5">
        <f t="shared" si="21"/>
        <v>0</v>
      </c>
      <c r="I76" s="6">
        <v>1129</v>
      </c>
      <c r="J76" s="60"/>
      <c r="K76" s="10">
        <v>0</v>
      </c>
      <c r="M76" s="5">
        <f t="shared" si="19"/>
        <v>0</v>
      </c>
      <c r="N76" s="60"/>
    </row>
    <row r="77" spans="1:14" x14ac:dyDescent="0.25">
      <c r="A77" s="30" t="s">
        <v>84</v>
      </c>
      <c r="B77" s="10">
        <f>3295*B24</f>
        <v>352565</v>
      </c>
      <c r="C77" s="5"/>
      <c r="D77" s="35"/>
      <c r="E77" s="5"/>
      <c r="F77" s="5"/>
      <c r="G77" s="5"/>
      <c r="H77" s="5">
        <f t="shared" si="21"/>
        <v>352565</v>
      </c>
      <c r="I77" s="6">
        <v>3295</v>
      </c>
      <c r="K77" s="10">
        <v>342680</v>
      </c>
      <c r="M77" s="5">
        <f t="shared" si="19"/>
        <v>9885</v>
      </c>
    </row>
    <row r="78" spans="1:14" x14ac:dyDescent="0.25">
      <c r="A78" s="30" t="s">
        <v>85</v>
      </c>
      <c r="B78" s="35"/>
      <c r="C78" s="35">
        <v>257639</v>
      </c>
      <c r="D78" s="35"/>
      <c r="E78" s="35"/>
      <c r="F78" s="35"/>
      <c r="G78" s="35"/>
      <c r="H78" s="35">
        <f t="shared" si="21"/>
        <v>257639</v>
      </c>
      <c r="I78" s="6" t="s">
        <v>232</v>
      </c>
      <c r="J78" s="129"/>
      <c r="K78" s="10">
        <v>257639</v>
      </c>
      <c r="M78" s="35">
        <f t="shared" si="19"/>
        <v>0</v>
      </c>
      <c r="N78" s="129"/>
    </row>
    <row r="79" spans="1:14" x14ac:dyDescent="0.25">
      <c r="A79" s="30" t="s">
        <v>86</v>
      </c>
      <c r="B79" s="35">
        <v>0</v>
      </c>
      <c r="C79" s="35">
        <f>3840*C20</f>
        <v>433199.09433962265</v>
      </c>
      <c r="D79" s="35">
        <f>B79/12</f>
        <v>0</v>
      </c>
      <c r="E79" s="35"/>
      <c r="F79" s="35"/>
      <c r="G79" s="35"/>
      <c r="H79" s="35">
        <f t="shared" si="21"/>
        <v>433199.09433962265</v>
      </c>
      <c r="I79" s="6">
        <v>3840</v>
      </c>
      <c r="J79" s="129"/>
      <c r="K79" s="10">
        <v>378805.13207547169</v>
      </c>
      <c r="M79" s="35">
        <f t="shared" si="19"/>
        <v>54393.962264150963</v>
      </c>
      <c r="N79" s="129"/>
    </row>
    <row r="80" spans="1:14" x14ac:dyDescent="0.25">
      <c r="A80" s="55" t="s">
        <v>87</v>
      </c>
      <c r="B80" s="56">
        <f>SUM(B74:B79)</f>
        <v>17017919.363899998</v>
      </c>
      <c r="C80" s="56">
        <f>SUM(C74:C79)</f>
        <v>690838.09433962265</v>
      </c>
      <c r="D80" s="56">
        <f>SUM(D74:D79)</f>
        <v>0</v>
      </c>
      <c r="E80" s="56"/>
      <c r="F80" s="56"/>
      <c r="G80" s="56"/>
      <c r="H80" s="56">
        <f>SUM(H74:H79)</f>
        <v>17708757.458239622</v>
      </c>
      <c r="I80" s="7"/>
      <c r="J80" s="7"/>
      <c r="K80" s="56">
        <v>15421898.492075471</v>
      </c>
      <c r="M80" s="56">
        <f t="shared" si="19"/>
        <v>2286858.9661641512</v>
      </c>
      <c r="N80" s="7"/>
    </row>
    <row r="81" spans="1:14" x14ac:dyDescent="0.25">
      <c r="A81" s="57" t="s">
        <v>88</v>
      </c>
      <c r="B81" s="49"/>
      <c r="C81" s="49"/>
      <c r="D81" s="49"/>
      <c r="E81" s="49"/>
      <c r="F81" s="49"/>
      <c r="G81" s="49"/>
      <c r="H81" s="50"/>
      <c r="I81" s="7"/>
      <c r="J81" s="7"/>
      <c r="K81" s="50"/>
      <c r="M81" s="50">
        <f t="shared" si="19"/>
        <v>0</v>
      </c>
      <c r="N81" s="7"/>
    </row>
    <row r="82" spans="1:14" x14ac:dyDescent="0.25">
      <c r="A82" s="30" t="s">
        <v>89</v>
      </c>
      <c r="B82" s="5"/>
      <c r="C82" s="5">
        <f>C20*1171</f>
        <v>132103.16132075471</v>
      </c>
      <c r="D82" s="5"/>
      <c r="E82" s="5"/>
      <c r="F82" s="5"/>
      <c r="G82" s="5"/>
      <c r="H82" s="5">
        <f t="shared" ref="H82:H89" si="22">SUM(B82:G82)</f>
        <v>132103.16132075471</v>
      </c>
      <c r="I82" s="6">
        <f>H82/H20</f>
        <v>1171</v>
      </c>
      <c r="J82" s="60"/>
      <c r="K82" s="10">
        <v>115515.8358490566</v>
      </c>
      <c r="M82" s="5">
        <f t="shared" si="19"/>
        <v>16587.325471698103</v>
      </c>
      <c r="N82" s="60"/>
    </row>
    <row r="83" spans="1:14" x14ac:dyDescent="0.25">
      <c r="A83" s="30" t="s">
        <v>90</v>
      </c>
      <c r="B83" s="5"/>
      <c r="C83" s="5"/>
      <c r="D83" s="10">
        <f>((B17*D23*0.5)*2.28*180)</f>
        <v>318675.59999999998</v>
      </c>
      <c r="E83" s="5"/>
      <c r="F83" s="5"/>
      <c r="G83" s="5"/>
      <c r="H83" s="5">
        <f t="shared" si="22"/>
        <v>318675.59999999998</v>
      </c>
      <c r="I83" s="58">
        <v>2.2799999999999998</v>
      </c>
      <c r="J83" s="130"/>
      <c r="K83" s="10">
        <v>278661.59999999998</v>
      </c>
      <c r="M83" s="5">
        <f t="shared" si="19"/>
        <v>40014</v>
      </c>
      <c r="N83" s="130"/>
    </row>
    <row r="84" spans="1:14" x14ac:dyDescent="0.25">
      <c r="A84" s="30" t="s">
        <v>91</v>
      </c>
      <c r="B84" s="35"/>
      <c r="C84" s="35"/>
      <c r="D84" s="10">
        <f>((B17*D23*0.5)*4.33*180)</f>
        <v>605204.1</v>
      </c>
      <c r="E84" s="35"/>
      <c r="F84" s="35"/>
      <c r="G84" s="35"/>
      <c r="H84" s="5">
        <f t="shared" si="22"/>
        <v>605204.1</v>
      </c>
      <c r="I84" s="58">
        <v>4.33</v>
      </c>
      <c r="J84" s="130"/>
      <c r="K84" s="10">
        <v>529212.6</v>
      </c>
      <c r="M84" s="5">
        <f t="shared" si="19"/>
        <v>75991.5</v>
      </c>
      <c r="N84" s="130"/>
    </row>
    <row r="85" spans="1:14" x14ac:dyDescent="0.25">
      <c r="A85" s="30" t="s">
        <v>5</v>
      </c>
      <c r="B85" s="35"/>
      <c r="C85" s="35"/>
      <c r="D85" s="35"/>
      <c r="E85" s="135"/>
      <c r="F85" s="135">
        <f>449515.49</f>
        <v>449515.49</v>
      </c>
      <c r="G85" s="135"/>
      <c r="H85" s="5">
        <f t="shared" si="22"/>
        <v>449515.49</v>
      </c>
      <c r="I85" s="6"/>
      <c r="J85" s="60"/>
      <c r="K85" s="10">
        <v>449515.49</v>
      </c>
      <c r="M85" s="5">
        <f t="shared" si="19"/>
        <v>0</v>
      </c>
      <c r="N85" s="60"/>
    </row>
    <row r="86" spans="1:14" x14ac:dyDescent="0.25">
      <c r="A86" s="30" t="s">
        <v>92</v>
      </c>
      <c r="B86" s="35"/>
      <c r="C86" s="35"/>
      <c r="D86" s="35"/>
      <c r="E86" s="135"/>
      <c r="F86" s="135"/>
      <c r="G86" s="135">
        <v>42068.59</v>
      </c>
      <c r="H86" s="5">
        <f t="shared" si="22"/>
        <v>42068.59</v>
      </c>
      <c r="I86" s="6"/>
      <c r="J86" s="60"/>
      <c r="K86" s="10">
        <v>42068.59</v>
      </c>
      <c r="M86" s="5">
        <f t="shared" si="19"/>
        <v>0</v>
      </c>
      <c r="N86" s="60"/>
    </row>
    <row r="87" spans="1:14" x14ac:dyDescent="0.25">
      <c r="A87" s="30" t="s">
        <v>93</v>
      </c>
      <c r="B87" s="35"/>
      <c r="C87" s="35"/>
      <c r="D87" s="35"/>
      <c r="E87" s="135"/>
      <c r="F87" s="135"/>
      <c r="G87" s="135">
        <f>44196.82</f>
        <v>44196.82</v>
      </c>
      <c r="H87" s="5">
        <f t="shared" si="22"/>
        <v>44196.82</v>
      </c>
      <c r="I87" s="6"/>
      <c r="J87" s="60"/>
      <c r="K87" s="10">
        <v>44196.82</v>
      </c>
      <c r="M87" s="5">
        <f t="shared" si="19"/>
        <v>0</v>
      </c>
      <c r="N87" s="60"/>
    </row>
    <row r="88" spans="1:14" x14ac:dyDescent="0.25">
      <c r="A88" s="30" t="s">
        <v>94</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233</v>
      </c>
      <c r="B89" s="35"/>
      <c r="C89" s="35"/>
      <c r="D89" s="35"/>
      <c r="E89" s="35">
        <v>0</v>
      </c>
      <c r="F89" s="35"/>
      <c r="G89" s="35"/>
      <c r="H89" s="5">
        <f t="shared" si="22"/>
        <v>0</v>
      </c>
      <c r="I89" s="6"/>
      <c r="J89" s="60"/>
      <c r="K89" s="10">
        <v>0</v>
      </c>
      <c r="M89" s="5">
        <f t="shared" si="19"/>
        <v>0</v>
      </c>
      <c r="N89" s="60"/>
    </row>
    <row r="90" spans="1:14" x14ac:dyDescent="0.25">
      <c r="A90" s="55" t="s">
        <v>96</v>
      </c>
      <c r="B90" s="56">
        <f t="shared" ref="B90:H90" si="23">SUM(B82:B89)</f>
        <v>0</v>
      </c>
      <c r="C90" s="56">
        <f t="shared" si="23"/>
        <v>132103.16132075471</v>
      </c>
      <c r="D90" s="56">
        <f t="shared" si="23"/>
        <v>923879.7</v>
      </c>
      <c r="E90" s="56">
        <f t="shared" si="23"/>
        <v>0</v>
      </c>
      <c r="F90" s="56">
        <f t="shared" si="23"/>
        <v>449515.49</v>
      </c>
      <c r="G90" s="56">
        <f t="shared" si="23"/>
        <v>116889.81</v>
      </c>
      <c r="H90" s="56">
        <f t="shared" si="23"/>
        <v>1622388.1613207546</v>
      </c>
      <c r="I90" s="7"/>
      <c r="J90" s="7"/>
      <c r="K90" s="56">
        <v>1489795.3358490565</v>
      </c>
      <c r="M90" s="56">
        <f t="shared" si="19"/>
        <v>132592.82547169807</v>
      </c>
      <c r="N90" s="7"/>
    </row>
    <row r="91" spans="1:14" x14ac:dyDescent="0.25">
      <c r="A91" s="57" t="s">
        <v>97</v>
      </c>
      <c r="B91" s="49"/>
      <c r="C91" s="49"/>
      <c r="D91" s="49"/>
      <c r="E91" s="49"/>
      <c r="F91" s="49"/>
      <c r="G91" s="49"/>
      <c r="H91" s="50"/>
      <c r="I91" s="7"/>
      <c r="J91" s="7"/>
      <c r="K91" s="50"/>
      <c r="M91" s="50">
        <f t="shared" si="19"/>
        <v>0</v>
      </c>
      <c r="N91" s="7"/>
    </row>
    <row r="92" spans="1:14" x14ac:dyDescent="0.25">
      <c r="A92" s="30" t="s">
        <v>98</v>
      </c>
      <c r="B92" s="5"/>
      <c r="C92" s="5"/>
      <c r="D92" s="5"/>
      <c r="E92" s="5"/>
      <c r="F92" s="5"/>
      <c r="G92" s="5"/>
      <c r="H92" s="5">
        <f>SUM(B92:G92)</f>
        <v>0</v>
      </c>
      <c r="I92" s="11"/>
      <c r="K92" s="10">
        <v>0</v>
      </c>
      <c r="M92" s="5">
        <f t="shared" si="19"/>
        <v>0</v>
      </c>
    </row>
    <row r="93" spans="1:14" x14ac:dyDescent="0.25">
      <c r="A93" s="30" t="s">
        <v>99</v>
      </c>
      <c r="B93" s="10"/>
      <c r="C93" s="10"/>
      <c r="D93" s="10"/>
      <c r="E93" s="10">
        <f>ROUND((((B17-'25-26'!B17)/'25-26'!B17)+1)*'25-26'!E93,-2)</f>
        <v>293000</v>
      </c>
      <c r="F93" s="10"/>
      <c r="G93" s="10"/>
      <c r="H93" s="5">
        <f>SUM(B93:G93)</f>
        <v>293000</v>
      </c>
      <c r="I93" s="11"/>
      <c r="K93" s="10">
        <v>256200</v>
      </c>
      <c r="M93" s="5">
        <f t="shared" si="19"/>
        <v>36800</v>
      </c>
    </row>
    <row r="94" spans="1:14" x14ac:dyDescent="0.25">
      <c r="A94" s="30" t="s">
        <v>100</v>
      </c>
      <c r="B94" s="35"/>
      <c r="C94" s="35"/>
      <c r="D94" s="35"/>
      <c r="E94" s="35"/>
      <c r="F94" s="35"/>
      <c r="G94" s="35"/>
      <c r="H94" s="35">
        <f>SUM(B94:G94)</f>
        <v>0</v>
      </c>
      <c r="I94" s="11"/>
      <c r="K94" s="10">
        <v>0</v>
      </c>
      <c r="M94" s="35">
        <f t="shared" si="19"/>
        <v>0</v>
      </c>
    </row>
    <row r="95" spans="1:14" x14ac:dyDescent="0.25">
      <c r="A95" s="30" t="s">
        <v>101</v>
      </c>
      <c r="B95" s="35"/>
      <c r="C95" s="35"/>
      <c r="D95" s="35"/>
      <c r="E95" s="35"/>
      <c r="F95" s="35"/>
      <c r="G95" s="35"/>
      <c r="H95" s="35">
        <f>SUM(B95:G95)</f>
        <v>0</v>
      </c>
      <c r="I95" s="11"/>
      <c r="K95" s="10">
        <v>0</v>
      </c>
      <c r="M95" s="35">
        <f t="shared" si="19"/>
        <v>0</v>
      </c>
    </row>
    <row r="96" spans="1:14" x14ac:dyDescent="0.25">
      <c r="A96" s="55" t="s">
        <v>102</v>
      </c>
      <c r="B96" s="56">
        <f>SUM(B92:B95)</f>
        <v>0</v>
      </c>
      <c r="C96" s="56">
        <f t="shared" ref="C96:G96" si="24">SUM(C92:C95)</f>
        <v>0</v>
      </c>
      <c r="D96" s="56">
        <f t="shared" si="24"/>
        <v>0</v>
      </c>
      <c r="E96" s="56">
        <f t="shared" si="24"/>
        <v>293000</v>
      </c>
      <c r="F96" s="56">
        <f t="shared" si="24"/>
        <v>0</v>
      </c>
      <c r="G96" s="56">
        <f t="shared" si="24"/>
        <v>0</v>
      </c>
      <c r="H96" s="56">
        <f>SUM(H92:H95)</f>
        <v>293000</v>
      </c>
      <c r="I96" s="7"/>
      <c r="J96" s="7"/>
      <c r="K96" s="56">
        <v>256200</v>
      </c>
      <c r="M96" s="56">
        <f t="shared" si="19"/>
        <v>36800</v>
      </c>
      <c r="N96" s="7"/>
    </row>
    <row r="97" spans="1:14" x14ac:dyDescent="0.25">
      <c r="A97" s="62" t="s">
        <v>103</v>
      </c>
      <c r="B97" s="63">
        <f>B80+B90+B96</f>
        <v>17017919.363899998</v>
      </c>
      <c r="C97" s="63">
        <f t="shared" ref="C97:H97" si="25">C80+C90+C96</f>
        <v>822941.25566037733</v>
      </c>
      <c r="D97" s="63">
        <f t="shared" si="25"/>
        <v>923879.7</v>
      </c>
      <c r="E97" s="63">
        <f t="shared" si="25"/>
        <v>293000</v>
      </c>
      <c r="F97" s="63">
        <f t="shared" si="25"/>
        <v>449515.49</v>
      </c>
      <c r="G97" s="63">
        <f t="shared" si="25"/>
        <v>116889.81</v>
      </c>
      <c r="H97" s="63">
        <f t="shared" si="25"/>
        <v>19624145.619560376</v>
      </c>
      <c r="I97" s="7"/>
      <c r="J97" s="7"/>
      <c r="K97" s="63">
        <v>17167893.827924527</v>
      </c>
      <c r="M97" s="63">
        <f t="shared" si="19"/>
        <v>2456251.7916358486</v>
      </c>
      <c r="N97" s="7"/>
    </row>
    <row r="98" spans="1:14" x14ac:dyDescent="0.25">
      <c r="A98" s="57" t="s">
        <v>104</v>
      </c>
      <c r="B98" s="49"/>
      <c r="C98" s="49"/>
      <c r="D98" s="49"/>
      <c r="E98" s="49"/>
      <c r="F98" s="49"/>
      <c r="G98" s="49"/>
      <c r="H98" s="50"/>
      <c r="I98" s="7"/>
      <c r="J98" s="7"/>
      <c r="K98" s="50"/>
      <c r="M98" s="50">
        <f t="shared" si="19"/>
        <v>0</v>
      </c>
      <c r="N98" s="7"/>
    </row>
    <row r="99" spans="1:14" x14ac:dyDescent="0.25">
      <c r="A99" s="30" t="s">
        <v>105</v>
      </c>
      <c r="B99" s="5">
        <v>0</v>
      </c>
      <c r="C99" s="5">
        <v>0</v>
      </c>
      <c r="D99" s="5">
        <v>0</v>
      </c>
      <c r="E99" s="5">
        <v>0</v>
      </c>
      <c r="F99" s="5">
        <v>0</v>
      </c>
      <c r="G99" s="5">
        <v>0</v>
      </c>
      <c r="H99" s="5">
        <f>SUM(B99:G99)</f>
        <v>0</v>
      </c>
      <c r="I99" s="11"/>
      <c r="J99" s="7"/>
      <c r="K99" s="10">
        <v>0</v>
      </c>
      <c r="M99" s="5">
        <f t="shared" si="19"/>
        <v>0</v>
      </c>
      <c r="N99" s="7"/>
    </row>
    <row r="100" spans="1:14" x14ac:dyDescent="0.25">
      <c r="A100" s="30" t="s">
        <v>106</v>
      </c>
      <c r="B100" s="10">
        <v>0</v>
      </c>
      <c r="C100" s="10">
        <v>0</v>
      </c>
      <c r="D100" s="10">
        <v>0</v>
      </c>
      <c r="E100" s="10">
        <v>150000</v>
      </c>
      <c r="F100" s="10">
        <v>0</v>
      </c>
      <c r="G100" s="10">
        <v>0</v>
      </c>
      <c r="H100" s="5">
        <f>SUM(B100:G100)</f>
        <v>150000</v>
      </c>
      <c r="I100" s="11" t="s">
        <v>107</v>
      </c>
      <c r="J100" s="7"/>
      <c r="K100" s="10">
        <v>300000</v>
      </c>
      <c r="M100" s="5">
        <f t="shared" si="19"/>
        <v>-150000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110</v>
      </c>
      <c r="B103" s="56">
        <f>SUM(B99:B102)</f>
        <v>0</v>
      </c>
      <c r="C103" s="56">
        <f t="shared" ref="C103:G103" si="26">SUM(C99:C102)</f>
        <v>0</v>
      </c>
      <c r="D103" s="56">
        <f t="shared" si="26"/>
        <v>0</v>
      </c>
      <c r="E103" s="56">
        <f t="shared" si="26"/>
        <v>150000</v>
      </c>
      <c r="F103" s="56">
        <f t="shared" si="26"/>
        <v>0</v>
      </c>
      <c r="G103" s="56">
        <f t="shared" si="26"/>
        <v>0</v>
      </c>
      <c r="H103" s="56">
        <f>SUM(H99:H102)</f>
        <v>150000</v>
      </c>
      <c r="I103" s="16"/>
      <c r="J103" s="7"/>
      <c r="K103" s="56">
        <v>300000</v>
      </c>
      <c r="M103" s="56">
        <f t="shared" si="19"/>
        <v>-150000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111</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(26-27)</v>
      </c>
      <c r="I105" s="7"/>
      <c r="J105" s="7"/>
      <c r="K105" s="65" t="s">
        <v>231</v>
      </c>
      <c r="M105" s="65" t="str">
        <f t="shared" ref="M105" si="28">M1</f>
        <v>Variance</v>
      </c>
      <c r="N105" s="7"/>
    </row>
    <row r="106" spans="1:14" x14ac:dyDescent="0.25">
      <c r="A106" s="48" t="s">
        <v>112</v>
      </c>
      <c r="B106" s="49"/>
      <c r="C106" s="49"/>
      <c r="D106" s="49"/>
      <c r="E106" s="49"/>
      <c r="F106" s="49"/>
      <c r="G106" s="49"/>
      <c r="H106" s="50"/>
      <c r="I106" s="7"/>
      <c r="J106" s="7"/>
      <c r="K106" s="50"/>
      <c r="M106" s="50">
        <f t="shared" si="19"/>
        <v>0</v>
      </c>
      <c r="N106" s="7"/>
    </row>
    <row r="107" spans="1:14" x14ac:dyDescent="0.25">
      <c r="A107" s="30" t="s">
        <v>49</v>
      </c>
      <c r="B107" s="10">
        <f>'25-26'!B107*1.015</f>
        <v>142100</v>
      </c>
      <c r="C107" s="10">
        <f>'25-26'!C107*1.015</f>
        <v>0</v>
      </c>
      <c r="D107" s="10">
        <f>'25-26'!D107*1.015</f>
        <v>0</v>
      </c>
      <c r="E107" s="10">
        <f>'25-26'!E107*1.015</f>
        <v>0</v>
      </c>
      <c r="F107" s="10">
        <f>'25-26'!F107*1.015</f>
        <v>0</v>
      </c>
      <c r="G107" s="10">
        <f>'25-26'!G107*1.015</f>
        <v>0</v>
      </c>
      <c r="H107" s="5">
        <f t="shared" ref="H107:H120" si="29">SUM(B107:G107)</f>
        <v>142100</v>
      </c>
      <c r="I107" s="11"/>
      <c r="K107" s="10">
        <v>140000</v>
      </c>
      <c r="M107" s="5">
        <f t="shared" si="19"/>
        <v>2100</v>
      </c>
    </row>
    <row r="108" spans="1:14" x14ac:dyDescent="0.25">
      <c r="A108" s="30" t="s">
        <v>113</v>
      </c>
      <c r="B108" s="10">
        <f>'25-26'!B108*1.015</f>
        <v>379305.49999999994</v>
      </c>
      <c r="C108" s="10">
        <f>'25-26'!C108*1.015</f>
        <v>0</v>
      </c>
      <c r="D108" s="10">
        <f>'25-26'!D108*1.015</f>
        <v>0</v>
      </c>
      <c r="E108" s="10">
        <f>'25-26'!E108*1.015</f>
        <v>0</v>
      </c>
      <c r="F108" s="10">
        <f>'25-26'!F108*1.015</f>
        <v>0</v>
      </c>
      <c r="G108" s="10">
        <f>'25-26'!G108*1.015</f>
        <v>0</v>
      </c>
      <c r="H108" s="5">
        <f t="shared" si="29"/>
        <v>379305.49999999994</v>
      </c>
      <c r="I108" s="11"/>
      <c r="K108" s="10">
        <v>373700</v>
      </c>
      <c r="M108" s="5">
        <f t="shared" si="19"/>
        <v>5605.4999999999418</v>
      </c>
    </row>
    <row r="109" spans="1:14" x14ac:dyDescent="0.25">
      <c r="A109" s="30" t="s">
        <v>114</v>
      </c>
      <c r="B109" s="10">
        <f>'25-26'!B109*1.015</f>
        <v>70400.399999999994</v>
      </c>
      <c r="C109" s="10">
        <f>'25-26'!C109*1.015</f>
        <v>0</v>
      </c>
      <c r="D109" s="10">
        <f>'25-26'!D109*1.015</f>
        <v>0</v>
      </c>
      <c r="E109" s="10">
        <f>'25-26'!E109*1.015</f>
        <v>0</v>
      </c>
      <c r="F109" s="10">
        <f>'25-26'!F109*1.015</f>
        <v>96424.999999999985</v>
      </c>
      <c r="G109" s="10">
        <f>'25-26'!G109*1.015</f>
        <v>0</v>
      </c>
      <c r="H109" s="5">
        <f t="shared" si="29"/>
        <v>166825.39999999997</v>
      </c>
      <c r="I109" s="11"/>
      <c r="K109" s="10">
        <v>164360</v>
      </c>
      <c r="M109" s="5">
        <f t="shared" si="19"/>
        <v>2465.3999999999651</v>
      </c>
    </row>
    <row r="110" spans="1:14" x14ac:dyDescent="0.25">
      <c r="A110" s="31" t="s">
        <v>52</v>
      </c>
      <c r="B110" s="10">
        <f>'25-26'!B110*1.015</f>
        <v>86965.2</v>
      </c>
      <c r="C110" s="10">
        <f>'25-26'!C110*1.015</f>
        <v>0</v>
      </c>
      <c r="D110" s="10">
        <f>'25-26'!D110*1.015</f>
        <v>0</v>
      </c>
      <c r="E110" s="10">
        <f>'25-26'!E110*1.015</f>
        <v>0</v>
      </c>
      <c r="F110" s="10">
        <f>'25-26'!F110*1.015</f>
        <v>72471</v>
      </c>
      <c r="G110" s="10">
        <f>'25-26'!G110*1.015</f>
        <v>0</v>
      </c>
      <c r="H110" s="5">
        <f t="shared" si="29"/>
        <v>159436.20000000001</v>
      </c>
      <c r="I110" s="11"/>
      <c r="K110" s="10">
        <v>157080</v>
      </c>
      <c r="M110" s="5">
        <f t="shared" si="19"/>
        <v>2356.2000000000116</v>
      </c>
    </row>
    <row r="111" spans="1:14" x14ac:dyDescent="0.25">
      <c r="A111" s="31" t="s">
        <v>53</v>
      </c>
      <c r="B111" s="10">
        <f>'25-26'!B111*1.015</f>
        <v>243153.39999999997</v>
      </c>
      <c r="C111" s="10">
        <f>'25-26'!C111*1.015</f>
        <v>0</v>
      </c>
      <c r="D111" s="10">
        <f>'25-26'!D111*1.015</f>
        <v>0</v>
      </c>
      <c r="E111" s="10">
        <f>'25-26'!E111*1.015</f>
        <v>0</v>
      </c>
      <c r="F111" s="10">
        <f>'25-26'!F111*1.015</f>
        <v>0</v>
      </c>
      <c r="G111" s="10">
        <f>'25-26'!G111*1.015</f>
        <v>0</v>
      </c>
      <c r="H111" s="5">
        <f t="shared" si="29"/>
        <v>243153.39999999997</v>
      </c>
      <c r="I111" s="11"/>
      <c r="K111" s="10">
        <v>239560</v>
      </c>
      <c r="M111" s="5">
        <f t="shared" si="19"/>
        <v>3593.3999999999651</v>
      </c>
    </row>
    <row r="112" spans="1:14" x14ac:dyDescent="0.25">
      <c r="A112" s="30" t="s">
        <v>115</v>
      </c>
      <c r="B112" s="10">
        <f>'25-26'!B112*1.015</f>
        <v>143521</v>
      </c>
      <c r="C112" s="10">
        <f>'25-26'!C112*1.015</f>
        <v>0</v>
      </c>
      <c r="D112" s="10">
        <f>'25-26'!D112*1.015</f>
        <v>0</v>
      </c>
      <c r="E112" s="10">
        <f>'25-26'!E112*1.015</f>
        <v>0</v>
      </c>
      <c r="F112" s="10">
        <f>'25-26'!F112*1.015</f>
        <v>60772.109999999993</v>
      </c>
      <c r="G112" s="10">
        <f>'25-26'!G112*1.015</f>
        <v>0</v>
      </c>
      <c r="H112" s="5">
        <f t="shared" si="29"/>
        <v>204293.11</v>
      </c>
      <c r="I112" s="11"/>
      <c r="K112" s="10">
        <v>201274</v>
      </c>
      <c r="M112" s="5">
        <f t="shared" si="19"/>
        <v>3019.109999999986</v>
      </c>
    </row>
    <row r="113" spans="1:17" x14ac:dyDescent="0.25">
      <c r="A113" s="30" t="s">
        <v>116</v>
      </c>
      <c r="B113" s="10">
        <f>'25-26'!B113*1.015</f>
        <v>0</v>
      </c>
      <c r="C113" s="10">
        <f>'25-26'!C113*1.015</f>
        <v>0</v>
      </c>
      <c r="D113" s="10">
        <f>'25-26'!D113*1.015</f>
        <v>0</v>
      </c>
      <c r="E113" s="10">
        <f>'25-26'!E113*1.015</f>
        <v>0</v>
      </c>
      <c r="F113" s="10">
        <f>'25-26'!F113*1.015</f>
        <v>0</v>
      </c>
      <c r="G113" s="10">
        <f>'25-26'!G113*1.015</f>
        <v>0</v>
      </c>
      <c r="H113" s="5">
        <f t="shared" si="29"/>
        <v>0</v>
      </c>
      <c r="I113" s="11"/>
      <c r="K113" s="10">
        <v>0</v>
      </c>
      <c r="M113" s="5">
        <f t="shared" si="19"/>
        <v>0</v>
      </c>
    </row>
    <row r="114" spans="1:17" x14ac:dyDescent="0.25">
      <c r="A114" s="30" t="s">
        <v>117</v>
      </c>
      <c r="B114" s="5">
        <f>62000*(B36)</f>
        <v>3906000</v>
      </c>
      <c r="C114" s="5"/>
      <c r="D114" s="5"/>
      <c r="E114" s="5"/>
      <c r="F114" s="5"/>
      <c r="G114" s="5"/>
      <c r="H114" s="5">
        <f t="shared" si="29"/>
        <v>3906000</v>
      </c>
      <c r="I114" s="11"/>
      <c r="K114" s="10">
        <v>3180000</v>
      </c>
      <c r="M114" s="5">
        <f t="shared" si="19"/>
        <v>726000</v>
      </c>
      <c r="Q114" s="7">
        <f>62000*1.015</f>
        <v>62929.999999999993</v>
      </c>
    </row>
    <row r="115" spans="1:17" x14ac:dyDescent="0.25">
      <c r="A115" s="30" t="s">
        <v>39</v>
      </c>
      <c r="B115" s="5"/>
      <c r="C115" s="5">
        <f>62000*H28</f>
        <v>372000</v>
      </c>
      <c r="D115" s="5"/>
      <c r="E115" s="5"/>
      <c r="F115" s="5"/>
      <c r="G115" s="5"/>
      <c r="H115" s="5">
        <f t="shared" si="29"/>
        <v>372000</v>
      </c>
      <c r="I115" s="11"/>
      <c r="K115" s="10">
        <v>360000</v>
      </c>
      <c r="M115" s="5">
        <f t="shared" si="19"/>
        <v>12000</v>
      </c>
    </row>
    <row r="116" spans="1:17" x14ac:dyDescent="0.25">
      <c r="A116" s="30" t="s">
        <v>118</v>
      </c>
      <c r="B116" s="10">
        <f>'25-26'!B116*1.015+45000</f>
        <v>285656.5</v>
      </c>
      <c r="C116" s="5"/>
      <c r="D116" s="5"/>
      <c r="E116" s="5"/>
      <c r="F116" s="5"/>
      <c r="G116" s="5"/>
      <c r="H116" s="5">
        <f t="shared" si="29"/>
        <v>285656.5</v>
      </c>
      <c r="I116" s="11"/>
      <c r="K116" s="10">
        <v>237100</v>
      </c>
      <c r="M116" s="5">
        <f t="shared" si="19"/>
        <v>48556.5</v>
      </c>
    </row>
    <row r="117" spans="1:17" x14ac:dyDescent="0.25">
      <c r="A117" s="30" t="s">
        <v>119</v>
      </c>
      <c r="B117" s="10">
        <f>(18.5*8*190)*(B49+B48)+17640*1.015</f>
        <v>270984.59999999998</v>
      </c>
      <c r="C117" s="5"/>
      <c r="D117" s="5"/>
      <c r="E117" s="5"/>
      <c r="F117" s="5"/>
      <c r="G117" s="5"/>
      <c r="H117" s="5">
        <f t="shared" si="29"/>
        <v>270984.59999999998</v>
      </c>
      <c r="I117" s="11"/>
      <c r="K117" s="10">
        <v>209160</v>
      </c>
      <c r="M117" s="5">
        <f t="shared" si="19"/>
        <v>61824.599999999977</v>
      </c>
    </row>
    <row r="118" spans="1:17" x14ac:dyDescent="0.25">
      <c r="A118" s="30" t="s">
        <v>120</v>
      </c>
      <c r="B118" s="5">
        <f>(17*8*180)*B50</f>
        <v>293760</v>
      </c>
      <c r="C118" s="5">
        <f>(17*8*180)*C50</f>
        <v>97920</v>
      </c>
      <c r="D118" s="5">
        <f t="shared" ref="D118" si="30">(20*8*180)*D50</f>
        <v>0</v>
      </c>
      <c r="E118" s="5"/>
      <c r="F118" s="5">
        <f>(21*8*180)*F50</f>
        <v>241920</v>
      </c>
      <c r="G118" s="5">
        <f>(21*8*180)*G50</f>
        <v>120960</v>
      </c>
      <c r="H118" s="5">
        <f t="shared" si="29"/>
        <v>754560</v>
      </c>
      <c r="I118" s="11"/>
      <c r="K118" s="10">
        <v>686880</v>
      </c>
      <c r="M118" s="5">
        <f t="shared" si="19"/>
        <v>67680</v>
      </c>
    </row>
    <row r="119" spans="1:17" x14ac:dyDescent="0.25">
      <c r="A119" s="30" t="s">
        <v>121</v>
      </c>
      <c r="B119" s="10">
        <f>(21*8*240)*B51+(20000+4000+10640)*1.015</f>
        <v>277079.59999999998</v>
      </c>
      <c r="C119" s="5"/>
      <c r="D119" s="5"/>
      <c r="E119" s="5"/>
      <c r="F119" s="5"/>
      <c r="G119" s="5"/>
      <c r="H119" s="5">
        <f t="shared" si="29"/>
        <v>277079.59999999998</v>
      </c>
      <c r="I119" s="11"/>
      <c r="K119" s="10">
        <v>270800</v>
      </c>
      <c r="M119" s="5">
        <f t="shared" si="19"/>
        <v>6279.5999999999767</v>
      </c>
    </row>
    <row r="120" spans="1:17" x14ac:dyDescent="0.25">
      <c r="A120" s="30" t="s">
        <v>62</v>
      </c>
      <c r="B120" s="5"/>
      <c r="C120" s="5"/>
      <c r="D120" s="5"/>
      <c r="E120" s="5"/>
      <c r="F120" s="5"/>
      <c r="G120" s="5"/>
      <c r="H120" s="5">
        <f t="shared" si="29"/>
        <v>0</v>
      </c>
      <c r="I120" s="11"/>
      <c r="K120" s="10">
        <v>0</v>
      </c>
      <c r="M120" s="5">
        <f t="shared" si="19"/>
        <v>0</v>
      </c>
    </row>
    <row r="121" spans="1:17" x14ac:dyDescent="0.25">
      <c r="A121" s="66" t="s">
        <v>122</v>
      </c>
      <c r="B121" s="67">
        <f>SUM(B107:B120)</f>
        <v>6098926.1999999993</v>
      </c>
      <c r="C121" s="67">
        <f t="shared" ref="C121:G121" si="31">SUM(C107:C120)</f>
        <v>469920</v>
      </c>
      <c r="D121" s="67">
        <f t="shared" si="31"/>
        <v>0</v>
      </c>
      <c r="E121" s="67">
        <f t="shared" si="31"/>
        <v>0</v>
      </c>
      <c r="F121" s="67">
        <f t="shared" si="31"/>
        <v>471588.11</v>
      </c>
      <c r="G121" s="67">
        <f t="shared" si="31"/>
        <v>120960</v>
      </c>
      <c r="H121" s="67">
        <f>SUM(H107:H120)</f>
        <v>7161394.3099999987</v>
      </c>
      <c r="I121" s="7"/>
      <c r="J121" s="7"/>
      <c r="K121" s="67">
        <v>6219914</v>
      </c>
      <c r="M121" s="67">
        <f t="shared" si="19"/>
        <v>941480.30999999866</v>
      </c>
      <c r="N121" s="7"/>
    </row>
    <row r="122" spans="1:17" x14ac:dyDescent="0.25">
      <c r="A122" s="68" t="s">
        <v>123</v>
      </c>
      <c r="B122" s="49"/>
      <c r="C122" s="49"/>
      <c r="D122" s="49"/>
      <c r="E122" s="49"/>
      <c r="F122" s="49"/>
      <c r="G122" s="49"/>
      <c r="H122" s="50"/>
      <c r="I122" s="7"/>
      <c r="J122" s="7"/>
      <c r="K122" s="50"/>
      <c r="M122" s="50">
        <f t="shared" si="19"/>
        <v>0</v>
      </c>
      <c r="N122" s="7"/>
    </row>
    <row r="123" spans="1:17" x14ac:dyDescent="0.25">
      <c r="A123" s="30" t="s">
        <v>64</v>
      </c>
      <c r="B123" s="5">
        <v>0</v>
      </c>
      <c r="C123" s="10">
        <f>'25-26'!C123*1.015</f>
        <v>89035.799999999988</v>
      </c>
      <c r="D123" s="5"/>
      <c r="E123" s="5"/>
      <c r="F123" s="5"/>
      <c r="G123" s="5"/>
      <c r="H123" s="5">
        <f t="shared" ref="H123:H130" si="32">SUM(B123:G123)</f>
        <v>89035.799999999988</v>
      </c>
      <c r="I123" s="11"/>
      <c r="K123" s="10">
        <v>87720</v>
      </c>
      <c r="M123" s="5">
        <f t="shared" si="19"/>
        <v>1315.7999999999884</v>
      </c>
    </row>
    <row r="124" spans="1:17" x14ac:dyDescent="0.25">
      <c r="A124" s="30" t="s">
        <v>65</v>
      </c>
      <c r="B124" s="5">
        <v>0</v>
      </c>
      <c r="C124" s="5">
        <v>0</v>
      </c>
      <c r="D124" s="5"/>
      <c r="E124" s="5"/>
      <c r="F124" s="5"/>
      <c r="G124" s="5"/>
      <c r="H124" s="23">
        <f t="shared" si="32"/>
        <v>0</v>
      </c>
      <c r="I124" s="11"/>
      <c r="K124" s="25">
        <v>0</v>
      </c>
      <c r="M124" s="23">
        <f t="shared" si="19"/>
        <v>0</v>
      </c>
    </row>
    <row r="125" spans="1:17" x14ac:dyDescent="0.25">
      <c r="A125" s="30" t="s">
        <v>66</v>
      </c>
      <c r="B125" s="5">
        <v>0</v>
      </c>
      <c r="C125" s="5">
        <v>0</v>
      </c>
      <c r="D125" s="5"/>
      <c r="E125" s="5"/>
      <c r="F125" s="5"/>
      <c r="G125" s="5"/>
      <c r="H125" s="5">
        <f t="shared" si="32"/>
        <v>0</v>
      </c>
      <c r="I125" s="11"/>
      <c r="K125" s="10">
        <v>0</v>
      </c>
      <c r="M125" s="5">
        <f t="shared" si="19"/>
        <v>0</v>
      </c>
    </row>
    <row r="126" spans="1:17" x14ac:dyDescent="0.25">
      <c r="A126" s="30" t="s">
        <v>124</v>
      </c>
      <c r="B126" s="5">
        <v>0</v>
      </c>
      <c r="C126" s="5"/>
      <c r="D126" s="5"/>
      <c r="E126" s="5"/>
      <c r="F126" s="5"/>
      <c r="G126" s="5"/>
      <c r="H126" s="23">
        <f t="shared" si="32"/>
        <v>0</v>
      </c>
      <c r="I126" s="11"/>
      <c r="K126" s="25">
        <v>0</v>
      </c>
      <c r="M126" s="23">
        <f t="shared" si="19"/>
        <v>0</v>
      </c>
    </row>
    <row r="127" spans="1:17" x14ac:dyDescent="0.25">
      <c r="A127" s="30" t="s">
        <v>68</v>
      </c>
      <c r="B127" s="5">
        <v>0</v>
      </c>
      <c r="C127" s="5"/>
      <c r="D127" s="5"/>
      <c r="E127" s="5"/>
      <c r="F127" s="5"/>
      <c r="G127" s="5"/>
      <c r="H127" s="23">
        <f t="shared" si="32"/>
        <v>0</v>
      </c>
      <c r="I127" s="11"/>
      <c r="K127" s="25">
        <v>0</v>
      </c>
      <c r="M127" s="23">
        <f t="shared" si="19"/>
        <v>0</v>
      </c>
    </row>
    <row r="128" spans="1:17" x14ac:dyDescent="0.25">
      <c r="A128" s="30" t="s">
        <v>125</v>
      </c>
      <c r="B128" s="5"/>
      <c r="C128" s="5"/>
      <c r="D128" s="5"/>
      <c r="E128" s="5"/>
      <c r="F128" s="5"/>
      <c r="G128" s="5"/>
      <c r="H128" s="23">
        <f t="shared" si="32"/>
        <v>0</v>
      </c>
      <c r="I128" s="11"/>
      <c r="K128" s="25">
        <v>0</v>
      </c>
      <c r="M128" s="23">
        <f t="shared" si="19"/>
        <v>0</v>
      </c>
    </row>
    <row r="129" spans="1:14" x14ac:dyDescent="0.25">
      <c r="A129" s="30" t="s">
        <v>126</v>
      </c>
      <c r="B129" s="5">
        <f>(12.5*6*185)*B52</f>
        <v>0</v>
      </c>
      <c r="C129" s="5">
        <f>(12.5*6*185)*C52</f>
        <v>0</v>
      </c>
      <c r="D129" s="5">
        <f>(17*8*180)*D52</f>
        <v>146880</v>
      </c>
      <c r="E129" s="5"/>
      <c r="F129" s="5"/>
      <c r="G129" s="5"/>
      <c r="H129" s="5">
        <f t="shared" si="32"/>
        <v>146880</v>
      </c>
      <c r="I129" s="11"/>
      <c r="K129" s="10">
        <v>118800</v>
      </c>
      <c r="M129" s="5">
        <f t="shared" si="19"/>
        <v>28080</v>
      </c>
    </row>
    <row r="130" spans="1:14" x14ac:dyDescent="0.25">
      <c r="A130" s="30" t="s">
        <v>69</v>
      </c>
      <c r="B130" s="35">
        <f>180*180*B59</f>
        <v>97200</v>
      </c>
      <c r="C130" s="5"/>
      <c r="D130" s="5"/>
      <c r="E130" s="5"/>
      <c r="F130" s="5"/>
      <c r="G130" s="5">
        <v>0</v>
      </c>
      <c r="H130" s="5">
        <f t="shared" si="32"/>
        <v>97200</v>
      </c>
      <c r="I130" s="11"/>
      <c r="K130" s="10">
        <v>63000</v>
      </c>
      <c r="M130" s="5">
        <f t="shared" ref="M130:M142" si="33">H130-K130</f>
        <v>34200</v>
      </c>
    </row>
    <row r="131" spans="1:14" x14ac:dyDescent="0.25">
      <c r="A131" s="69" t="s">
        <v>127</v>
      </c>
      <c r="B131" s="70">
        <f>SUM(B123:B130)</f>
        <v>97200</v>
      </c>
      <c r="C131" s="70">
        <f>SUM(C123:C130)</f>
        <v>89035.799999999988</v>
      </c>
      <c r="D131" s="70">
        <f>SUM(D123:D130)</f>
        <v>146880</v>
      </c>
      <c r="E131" s="70"/>
      <c r="F131" s="70"/>
      <c r="G131" s="70"/>
      <c r="H131" s="70">
        <f>SUM(H123:H130)</f>
        <v>333115.8</v>
      </c>
      <c r="I131" s="7"/>
      <c r="J131" s="7"/>
      <c r="K131" s="70">
        <v>269520</v>
      </c>
      <c r="M131" s="70">
        <f t="shared" si="33"/>
        <v>63595.799999999988</v>
      </c>
      <c r="N131" s="7"/>
    </row>
    <row r="132" spans="1:14" x14ac:dyDescent="0.25">
      <c r="A132" s="71" t="s">
        <v>128</v>
      </c>
      <c r="B132" s="72">
        <f>B121+B131</f>
        <v>6196126.1999999993</v>
      </c>
      <c r="C132" s="72">
        <f>C121+C131</f>
        <v>558955.80000000005</v>
      </c>
      <c r="D132" s="72">
        <f>D121+D131</f>
        <v>146880</v>
      </c>
      <c r="E132" s="72">
        <f t="shared" ref="E132:G132" si="34">E121+E131</f>
        <v>0</v>
      </c>
      <c r="F132" s="72">
        <f t="shared" si="34"/>
        <v>471588.11</v>
      </c>
      <c r="G132" s="72">
        <f t="shared" si="34"/>
        <v>120960</v>
      </c>
      <c r="H132" s="72">
        <f>H121+H131</f>
        <v>7494510.1099999985</v>
      </c>
      <c r="I132" s="16"/>
      <c r="J132" s="7"/>
      <c r="K132" s="72">
        <v>6489434</v>
      </c>
      <c r="M132" s="72">
        <f t="shared" si="33"/>
        <v>1005076.1099999985</v>
      </c>
      <c r="N132" s="7"/>
    </row>
    <row r="133" spans="1:14" x14ac:dyDescent="0.25">
      <c r="A133" s="30" t="s">
        <v>234</v>
      </c>
      <c r="B133" s="52">
        <f>B132*0.3675</f>
        <v>2277076.3784999996</v>
      </c>
      <c r="C133" s="52">
        <f t="shared" ref="C133:G133" si="35">C132*0.3675</f>
        <v>205416.25650000002</v>
      </c>
      <c r="D133" s="52">
        <f t="shared" si="35"/>
        <v>53978.400000000001</v>
      </c>
      <c r="E133" s="52">
        <f t="shared" si="35"/>
        <v>0</v>
      </c>
      <c r="F133" s="52">
        <f t="shared" si="35"/>
        <v>173308.63042499998</v>
      </c>
      <c r="G133" s="52">
        <f t="shared" si="35"/>
        <v>44452.799999999996</v>
      </c>
      <c r="H133" s="5">
        <f t="shared" ref="H133:H140" si="36">SUM(B133:G133)</f>
        <v>2754232.4654249996</v>
      </c>
      <c r="I133" s="111">
        <f>H133/H132</f>
        <v>0.36749999999999999</v>
      </c>
      <c r="J133" s="131"/>
      <c r="K133" s="10">
        <v>2384866.9950000001</v>
      </c>
      <c r="M133" s="5">
        <f t="shared" si="33"/>
        <v>369365.47042499948</v>
      </c>
      <c r="N133" s="131"/>
    </row>
    <row r="134" spans="1:14" x14ac:dyDescent="0.25">
      <c r="A134" s="123" t="s">
        <v>130</v>
      </c>
      <c r="B134" s="10">
        <f>B132*0.15</f>
        <v>929418.92999999982</v>
      </c>
      <c r="C134" s="10">
        <f t="shared" ref="C134:G134" si="37">C132*0.15</f>
        <v>83843.37000000001</v>
      </c>
      <c r="D134" s="10">
        <f t="shared" si="37"/>
        <v>22032</v>
      </c>
      <c r="E134" s="10">
        <f t="shared" si="37"/>
        <v>0</v>
      </c>
      <c r="F134" s="10">
        <f t="shared" si="37"/>
        <v>70738.216499999995</v>
      </c>
      <c r="G134" s="10">
        <f t="shared" si="37"/>
        <v>18144</v>
      </c>
      <c r="H134" s="5">
        <f t="shared" si="36"/>
        <v>1124176.5164999999</v>
      </c>
      <c r="I134" s="111">
        <f>H134/H132</f>
        <v>0.15000000000000002</v>
      </c>
      <c r="J134" s="131"/>
      <c r="K134" s="10">
        <v>957191.51500000001</v>
      </c>
      <c r="M134" s="5">
        <f t="shared" si="33"/>
        <v>166985.0014999999</v>
      </c>
      <c r="N134" s="131"/>
    </row>
    <row r="135" spans="1:14" x14ac:dyDescent="0.25">
      <c r="A135" s="30" t="s">
        <v>131</v>
      </c>
      <c r="B135" s="5">
        <f>(B36*1250)+(B39*2500)+(B40*2000)+(SUM(B41:B47)*1750)+(SUM(B48:B59)*500)</f>
        <v>123500</v>
      </c>
      <c r="C135" s="5">
        <f t="shared" ref="C135:G135" si="38">(C36*1250)+(C39*2500)+(C40*2000)+(SUM(C41:C47)*1750)+(SUM(C48:C59)*500)</f>
        <v>10000</v>
      </c>
      <c r="D135" s="5">
        <f t="shared" si="38"/>
        <v>3000</v>
      </c>
      <c r="E135" s="5">
        <f t="shared" si="38"/>
        <v>0</v>
      </c>
      <c r="F135" s="5">
        <f t="shared" si="38"/>
        <v>8000</v>
      </c>
      <c r="G135" s="5">
        <f t="shared" si="38"/>
        <v>2000</v>
      </c>
      <c r="H135" s="5">
        <f t="shared" si="36"/>
        <v>146500</v>
      </c>
      <c r="I135" s="11"/>
      <c r="K135" s="10">
        <v>131000</v>
      </c>
      <c r="M135" s="5">
        <f t="shared" si="33"/>
        <v>15500</v>
      </c>
    </row>
    <row r="136" spans="1:14" x14ac:dyDescent="0.25">
      <c r="A136" s="123" t="s">
        <v>132</v>
      </c>
      <c r="B136" s="82">
        <f>125*B65+125*6</f>
        <v>14375</v>
      </c>
      <c r="C136" s="124">
        <f>125*C65</f>
        <v>1375</v>
      </c>
      <c r="D136" s="124">
        <f>125*D65</f>
        <v>750</v>
      </c>
      <c r="E136" s="124">
        <f>125*E65</f>
        <v>0</v>
      </c>
      <c r="F136" s="124">
        <f>125*F65</f>
        <v>1375</v>
      </c>
      <c r="G136" s="124">
        <f>125*G65</f>
        <v>500</v>
      </c>
      <c r="H136" s="5">
        <f t="shared" si="36"/>
        <v>18375</v>
      </c>
      <c r="I136" s="11"/>
      <c r="K136" s="10">
        <v>16375</v>
      </c>
      <c r="M136" s="5">
        <f t="shared" si="33"/>
        <v>2000</v>
      </c>
    </row>
    <row r="137" spans="1:14" x14ac:dyDescent="0.25">
      <c r="A137" s="30" t="s">
        <v>133</v>
      </c>
      <c r="B137" s="5">
        <v>0</v>
      </c>
      <c r="C137" s="10"/>
      <c r="D137" s="10"/>
      <c r="E137" s="10">
        <v>0</v>
      </c>
      <c r="F137" s="10">
        <v>0</v>
      </c>
      <c r="G137" s="10">
        <v>0</v>
      </c>
      <c r="H137" s="5">
        <f t="shared" si="36"/>
        <v>0</v>
      </c>
      <c r="I137" s="11"/>
      <c r="K137" s="10">
        <v>0</v>
      </c>
      <c r="M137" s="5">
        <f t="shared" si="33"/>
        <v>0</v>
      </c>
    </row>
    <row r="138" spans="1:14" x14ac:dyDescent="0.25">
      <c r="A138" s="30" t="s">
        <v>134</v>
      </c>
      <c r="B138" s="5"/>
      <c r="C138" s="10"/>
      <c r="D138" s="10"/>
      <c r="E138" s="10"/>
      <c r="F138" s="10"/>
      <c r="G138" s="10"/>
      <c r="H138" s="5">
        <f t="shared" si="36"/>
        <v>0</v>
      </c>
      <c r="I138" s="11"/>
      <c r="K138" s="10">
        <v>0</v>
      </c>
      <c r="M138" s="5">
        <f t="shared" si="33"/>
        <v>0</v>
      </c>
    </row>
    <row r="139" spans="1:14" x14ac:dyDescent="0.25">
      <c r="A139" s="30" t="s">
        <v>135</v>
      </c>
      <c r="B139" s="10">
        <v>20000</v>
      </c>
      <c r="C139" s="10"/>
      <c r="D139" s="10"/>
      <c r="E139" s="10"/>
      <c r="F139" s="10"/>
      <c r="G139" s="10"/>
      <c r="H139" s="5">
        <f t="shared" si="36"/>
        <v>20000</v>
      </c>
      <c r="I139" s="11"/>
      <c r="K139" s="10">
        <v>20000</v>
      </c>
      <c r="M139" s="5">
        <f t="shared" si="33"/>
        <v>0</v>
      </c>
    </row>
    <row r="140" spans="1:14" x14ac:dyDescent="0.25">
      <c r="A140" s="30" t="s">
        <v>136</v>
      </c>
      <c r="B140" s="35">
        <f>(185*11*B36)-B130</f>
        <v>31005</v>
      </c>
      <c r="C140" s="35">
        <f t="shared" ref="C140:G140" si="39">(185*11*C36)-C130</f>
        <v>12210</v>
      </c>
      <c r="D140" s="35">
        <f t="shared" si="39"/>
        <v>0</v>
      </c>
      <c r="E140" s="35">
        <f t="shared" si="39"/>
        <v>0</v>
      </c>
      <c r="F140" s="35">
        <f t="shared" si="39"/>
        <v>0</v>
      </c>
      <c r="G140" s="35">
        <f t="shared" si="39"/>
        <v>0</v>
      </c>
      <c r="H140" s="5">
        <f t="shared" si="36"/>
        <v>43215</v>
      </c>
      <c r="I140" s="11" t="s">
        <v>137</v>
      </c>
      <c r="K140" s="10">
        <v>57065</v>
      </c>
      <c r="M140" s="5">
        <f t="shared" si="33"/>
        <v>-13850</v>
      </c>
    </row>
    <row r="141" spans="1:14" x14ac:dyDescent="0.25">
      <c r="A141" s="74" t="s">
        <v>138</v>
      </c>
      <c r="B141" s="75">
        <f>SUM(B133:B140)</f>
        <v>3395375.3084999993</v>
      </c>
      <c r="C141" s="75">
        <f t="shared" ref="C141:G141" si="40">SUM(C133:C140)</f>
        <v>312844.62650000001</v>
      </c>
      <c r="D141" s="75">
        <f t="shared" si="40"/>
        <v>79760.399999999994</v>
      </c>
      <c r="E141" s="75">
        <f t="shared" si="40"/>
        <v>0</v>
      </c>
      <c r="F141" s="75">
        <f t="shared" si="40"/>
        <v>253421.84692499996</v>
      </c>
      <c r="G141" s="75">
        <f t="shared" si="40"/>
        <v>65096.799999999996</v>
      </c>
      <c r="H141" s="75">
        <f>SUM(H133:H140)</f>
        <v>4106498.9819249995</v>
      </c>
      <c r="I141" s="7"/>
      <c r="J141" s="7"/>
      <c r="K141" s="75">
        <v>3566498.5100000002</v>
      </c>
      <c r="M141" s="75">
        <f t="shared" si="33"/>
        <v>540000.47192499926</v>
      </c>
      <c r="N141" s="7"/>
    </row>
    <row r="142" spans="1:14" x14ac:dyDescent="0.25">
      <c r="A142" s="71" t="s">
        <v>139</v>
      </c>
      <c r="B142" s="72">
        <f>B132+B141</f>
        <v>9591501.5084999986</v>
      </c>
      <c r="C142" s="72">
        <f>C132+C141</f>
        <v>871800.42650000006</v>
      </c>
      <c r="D142" s="72">
        <f>D132+D141</f>
        <v>226640.4</v>
      </c>
      <c r="E142" s="72">
        <f t="shared" ref="E142:G142" si="41">E132+E141</f>
        <v>0</v>
      </c>
      <c r="F142" s="72">
        <f t="shared" si="41"/>
        <v>725009.95692499995</v>
      </c>
      <c r="G142" s="72">
        <f t="shared" si="41"/>
        <v>186056.8</v>
      </c>
      <c r="H142" s="72">
        <f>H132+H141</f>
        <v>11601009.091924999</v>
      </c>
      <c r="I142" s="7"/>
      <c r="J142" s="7"/>
      <c r="K142" s="72">
        <v>10055932.51</v>
      </c>
      <c r="M142" s="72">
        <f t="shared" si="33"/>
        <v>1545076.5819249991</v>
      </c>
      <c r="N142" s="7"/>
    </row>
    <row r="143" spans="1:14" x14ac:dyDescent="0.25">
      <c r="A143" s="76" t="s">
        <v>140</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(26-27)</v>
      </c>
      <c r="I143" s="7"/>
      <c r="J143" s="7"/>
      <c r="K143" s="15" t="s">
        <v>231</v>
      </c>
      <c r="M143" s="15" t="str">
        <f>M1</f>
        <v>Variance</v>
      </c>
      <c r="N143" s="7"/>
    </row>
    <row r="144" spans="1:14" x14ac:dyDescent="0.25">
      <c r="A144" s="77" t="s">
        <v>141</v>
      </c>
      <c r="B144" s="10">
        <f>B17*210</f>
        <v>326130</v>
      </c>
      <c r="C144" s="10"/>
      <c r="D144" s="10"/>
      <c r="E144" s="10">
        <v>0</v>
      </c>
      <c r="F144" s="10">
        <v>0</v>
      </c>
      <c r="G144" s="10">
        <v>0</v>
      </c>
      <c r="H144" s="5">
        <f t="shared" ref="H144:H153" si="43">SUM(B144:G144)</f>
        <v>326130</v>
      </c>
      <c r="I144" s="6" t="s">
        <v>142</v>
      </c>
      <c r="K144" s="10">
        <v>285180</v>
      </c>
      <c r="M144" s="5">
        <f t="shared" ref="M144:M154" si="44">H144-K144</f>
        <v>40950</v>
      </c>
    </row>
    <row r="145" spans="1:14" x14ac:dyDescent="0.25">
      <c r="A145" s="78" t="s">
        <v>143</v>
      </c>
      <c r="B145" s="5">
        <v>0</v>
      </c>
      <c r="C145" s="10"/>
      <c r="D145" s="10"/>
      <c r="E145" s="10"/>
      <c r="F145" s="10"/>
      <c r="G145" s="10"/>
      <c r="H145" s="5">
        <f t="shared" si="43"/>
        <v>0</v>
      </c>
      <c r="I145" s="11"/>
      <c r="K145" s="10">
        <v>0</v>
      </c>
      <c r="M145" s="5">
        <f t="shared" si="44"/>
        <v>0</v>
      </c>
    </row>
    <row r="146" spans="1:14" x14ac:dyDescent="0.25">
      <c r="A146" s="30" t="s">
        <v>144</v>
      </c>
      <c r="B146" s="10">
        <v>0</v>
      </c>
      <c r="C146" s="10"/>
      <c r="D146" s="10"/>
      <c r="E146" s="10">
        <v>150000</v>
      </c>
      <c r="F146" s="10"/>
      <c r="G146" s="10"/>
      <c r="H146" s="5">
        <f t="shared" si="43"/>
        <v>150000</v>
      </c>
      <c r="I146" s="11"/>
      <c r="K146" s="10">
        <v>300000</v>
      </c>
      <c r="M146" s="5">
        <f t="shared" si="44"/>
        <v>-150000</v>
      </c>
    </row>
    <row r="147" spans="1:14" x14ac:dyDescent="0.25">
      <c r="A147" s="30" t="s">
        <v>145</v>
      </c>
      <c r="B147" s="5">
        <f>30*B17</f>
        <v>46590</v>
      </c>
      <c r="C147" s="10"/>
      <c r="D147" s="10"/>
      <c r="E147" s="10"/>
      <c r="F147" s="10"/>
      <c r="G147" s="10"/>
      <c r="H147" s="5">
        <f t="shared" si="43"/>
        <v>46590</v>
      </c>
      <c r="I147" s="6" t="s">
        <v>146</v>
      </c>
      <c r="K147" s="10">
        <v>40740</v>
      </c>
      <c r="M147" s="5">
        <f t="shared" si="44"/>
        <v>5850</v>
      </c>
    </row>
    <row r="148" spans="1:14" x14ac:dyDescent="0.25">
      <c r="A148" s="30" t="s">
        <v>147</v>
      </c>
      <c r="B148" s="5">
        <f>40*B17</f>
        <v>62120</v>
      </c>
      <c r="C148" s="10"/>
      <c r="D148" s="10"/>
      <c r="E148" s="10"/>
      <c r="F148" s="10"/>
      <c r="G148" s="10"/>
      <c r="H148" s="5">
        <f t="shared" si="43"/>
        <v>62120</v>
      </c>
      <c r="I148" s="6" t="s">
        <v>148</v>
      </c>
      <c r="K148" s="10">
        <v>54320</v>
      </c>
      <c r="M148" s="5">
        <f t="shared" si="44"/>
        <v>7800</v>
      </c>
    </row>
    <row r="149" spans="1:14" x14ac:dyDescent="0.25">
      <c r="A149" s="30" t="s">
        <v>149</v>
      </c>
      <c r="B149" s="5">
        <f>10*B17</f>
        <v>15530</v>
      </c>
      <c r="C149" s="10"/>
      <c r="D149" s="10"/>
      <c r="E149" s="10"/>
      <c r="F149" s="10"/>
      <c r="G149" s="10"/>
      <c r="H149" s="5">
        <f t="shared" si="43"/>
        <v>15530</v>
      </c>
      <c r="I149" s="6" t="s">
        <v>150</v>
      </c>
      <c r="K149" s="10">
        <v>13580</v>
      </c>
      <c r="M149" s="5">
        <f t="shared" si="44"/>
        <v>1950</v>
      </c>
    </row>
    <row r="150" spans="1:14" x14ac:dyDescent="0.25">
      <c r="A150" s="30" t="s">
        <v>151</v>
      </c>
      <c r="B150" s="5">
        <f>8*B17</f>
        <v>12424</v>
      </c>
      <c r="C150" s="10"/>
      <c r="D150" s="10"/>
      <c r="E150" s="10"/>
      <c r="F150" s="10"/>
      <c r="G150" s="10"/>
      <c r="H150" s="5">
        <f t="shared" si="43"/>
        <v>12424</v>
      </c>
      <c r="I150" s="6" t="s">
        <v>152</v>
      </c>
      <c r="K150" s="10">
        <v>10864</v>
      </c>
      <c r="M150" s="5">
        <f t="shared" si="44"/>
        <v>1560</v>
      </c>
    </row>
    <row r="151" spans="1:14" x14ac:dyDescent="0.25">
      <c r="A151" s="30" t="s">
        <v>153</v>
      </c>
      <c r="B151" s="5"/>
      <c r="C151" s="10">
        <f>150*(C20)</f>
        <v>16921.83962264151</v>
      </c>
      <c r="D151" s="10"/>
      <c r="E151" s="10"/>
      <c r="F151" s="10"/>
      <c r="G151" s="10"/>
      <c r="H151" s="5">
        <f t="shared" si="43"/>
        <v>16921.83962264151</v>
      </c>
      <c r="I151" s="6" t="s">
        <v>154</v>
      </c>
      <c r="K151" s="10">
        <v>14797.075471698112</v>
      </c>
      <c r="M151" s="5">
        <f t="shared" si="44"/>
        <v>2124.7641509433979</v>
      </c>
    </row>
    <row r="152" spans="1:14" x14ac:dyDescent="0.25">
      <c r="A152" s="30" t="s">
        <v>155</v>
      </c>
      <c r="B152" s="5">
        <v>80000</v>
      </c>
      <c r="C152" s="5"/>
      <c r="D152" s="5"/>
      <c r="E152" s="5"/>
      <c r="F152" s="5"/>
      <c r="G152" s="5"/>
      <c r="H152" s="5">
        <f t="shared" si="43"/>
        <v>80000</v>
      </c>
      <c r="I152" s="11"/>
      <c r="K152" s="10">
        <v>60000</v>
      </c>
      <c r="M152" s="5">
        <f t="shared" si="44"/>
        <v>20000</v>
      </c>
    </row>
    <row r="153" spans="1:14" x14ac:dyDescent="0.25">
      <c r="A153" s="79" t="s">
        <v>156</v>
      </c>
      <c r="B153" s="83">
        <f>B17*42</f>
        <v>65226</v>
      </c>
      <c r="C153" s="5"/>
      <c r="D153" s="5"/>
      <c r="E153" s="5"/>
      <c r="F153" s="5"/>
      <c r="G153" s="5"/>
      <c r="H153" s="5">
        <f t="shared" si="43"/>
        <v>65226</v>
      </c>
      <c r="I153" s="11" t="s">
        <v>157</v>
      </c>
      <c r="K153" s="10">
        <v>57036</v>
      </c>
      <c r="M153" s="5">
        <f t="shared" si="44"/>
        <v>8190</v>
      </c>
    </row>
    <row r="154" spans="1:14" x14ac:dyDescent="0.25">
      <c r="A154" s="71" t="s">
        <v>158</v>
      </c>
      <c r="B154" s="72">
        <f>SUM(B144:B153)</f>
        <v>608020</v>
      </c>
      <c r="C154" s="72">
        <f t="shared" ref="C154:H154" si="45">SUM(C144:C153)</f>
        <v>16921.83962264151</v>
      </c>
      <c r="D154" s="72">
        <f t="shared" si="45"/>
        <v>0</v>
      </c>
      <c r="E154" s="72">
        <f t="shared" si="45"/>
        <v>150000</v>
      </c>
      <c r="F154" s="72">
        <f t="shared" si="45"/>
        <v>0</v>
      </c>
      <c r="G154" s="72">
        <f t="shared" si="45"/>
        <v>0</v>
      </c>
      <c r="H154" s="72">
        <f t="shared" si="45"/>
        <v>774941.83962264156</v>
      </c>
      <c r="I154" s="7"/>
      <c r="J154" s="7"/>
      <c r="K154" s="72">
        <v>836517.07547169807</v>
      </c>
      <c r="M154" s="72">
        <f t="shared" si="44"/>
        <v>-61575.235849056509</v>
      </c>
      <c r="N154" s="7"/>
    </row>
    <row r="155" spans="1:14" x14ac:dyDescent="0.25">
      <c r="A155" s="76" t="s">
        <v>159</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(26-27)</v>
      </c>
      <c r="I155" s="7"/>
      <c r="J155" s="7"/>
      <c r="K155" s="15" t="s">
        <v>231</v>
      </c>
      <c r="M155" s="15" t="str">
        <f>M1</f>
        <v>Variance</v>
      </c>
      <c r="N155" s="7"/>
    </row>
    <row r="156" spans="1:14" x14ac:dyDescent="0.25">
      <c r="A156" s="30" t="s">
        <v>160</v>
      </c>
      <c r="B156" s="10">
        <f>'25-26'!B156*1.05</f>
        <v>0</v>
      </c>
      <c r="C156" s="10"/>
      <c r="D156" s="10"/>
      <c r="E156" s="10"/>
      <c r="F156" s="10"/>
      <c r="G156" s="10"/>
      <c r="H156" s="5">
        <f t="shared" ref="H156:H169" si="47">SUM(B156:G156)</f>
        <v>0</v>
      </c>
      <c r="I156" s="11"/>
      <c r="K156" s="10">
        <v>0</v>
      </c>
      <c r="M156" s="5">
        <f t="shared" ref="M156:M197" si="48">H156-K156</f>
        <v>0</v>
      </c>
    </row>
    <row r="157" spans="1:14" x14ac:dyDescent="0.25">
      <c r="A157" s="30" t="s">
        <v>161</v>
      </c>
      <c r="B157" s="10">
        <v>0</v>
      </c>
      <c r="C157" s="10">
        <f>230*B17</f>
        <v>357190</v>
      </c>
      <c r="D157" s="5"/>
      <c r="E157" s="10"/>
      <c r="F157" s="10"/>
      <c r="G157" s="10"/>
      <c r="H157" s="5">
        <f t="shared" si="47"/>
        <v>357190</v>
      </c>
      <c r="I157" s="11" t="s">
        <v>162</v>
      </c>
      <c r="K157" s="10">
        <v>312340</v>
      </c>
      <c r="M157" s="5">
        <f t="shared" si="48"/>
        <v>44850</v>
      </c>
    </row>
    <row r="158" spans="1:14" x14ac:dyDescent="0.25">
      <c r="A158" s="30" t="s">
        <v>163</v>
      </c>
      <c r="B158" s="10">
        <v>0</v>
      </c>
      <c r="C158" s="5"/>
      <c r="D158" s="5"/>
      <c r="E158" s="5"/>
      <c r="F158" s="5"/>
      <c r="G158" s="5"/>
      <c r="H158" s="5">
        <f t="shared" si="47"/>
        <v>0</v>
      </c>
      <c r="I158" s="11"/>
      <c r="K158" s="10">
        <v>0</v>
      </c>
      <c r="M158" s="5">
        <f t="shared" si="48"/>
        <v>0</v>
      </c>
    </row>
    <row r="159" spans="1:14" x14ac:dyDescent="0.25">
      <c r="A159" s="30" t="s">
        <v>164</v>
      </c>
      <c r="B159" s="10">
        <v>0</v>
      </c>
      <c r="C159" s="5"/>
      <c r="D159" s="5"/>
      <c r="E159" s="5"/>
      <c r="F159" s="5"/>
      <c r="G159" s="5"/>
      <c r="H159" s="5">
        <f t="shared" si="47"/>
        <v>0</v>
      </c>
      <c r="I159" s="11" t="s">
        <v>235</v>
      </c>
      <c r="K159" s="10">
        <v>0</v>
      </c>
      <c r="M159" s="5">
        <f t="shared" si="48"/>
        <v>0</v>
      </c>
    </row>
    <row r="160" spans="1:14" x14ac:dyDescent="0.25">
      <c r="A160" s="30" t="s">
        <v>165</v>
      </c>
      <c r="B160" s="10">
        <f>(495*1.03*1.015)*B17</f>
        <v>803674.00575000001</v>
      </c>
      <c r="C160" s="5"/>
      <c r="D160" s="5"/>
      <c r="E160" s="5"/>
      <c r="F160" s="5"/>
      <c r="G160" s="5"/>
      <c r="H160" s="5">
        <f t="shared" si="47"/>
        <v>803674.00575000001</v>
      </c>
      <c r="I160" s="11"/>
      <c r="K160" s="10">
        <v>692376.3</v>
      </c>
      <c r="M160" s="5">
        <f t="shared" si="48"/>
        <v>111297.70574999996</v>
      </c>
    </row>
    <row r="161" spans="1:14" x14ac:dyDescent="0.25">
      <c r="A161" s="30" t="s">
        <v>167</v>
      </c>
      <c r="B161" s="10">
        <f>250*H65</f>
        <v>35250</v>
      </c>
      <c r="C161" s="10"/>
      <c r="D161" s="10"/>
      <c r="E161" s="10"/>
      <c r="F161" s="10"/>
      <c r="G161" s="10"/>
      <c r="H161" s="5">
        <f t="shared" si="47"/>
        <v>35250</v>
      </c>
      <c r="I161" s="11"/>
      <c r="K161" s="10">
        <v>31250</v>
      </c>
      <c r="M161" s="5">
        <f t="shared" si="48"/>
        <v>4000</v>
      </c>
    </row>
    <row r="162" spans="1:14" x14ac:dyDescent="0.25">
      <c r="A162" s="30" t="s">
        <v>168</v>
      </c>
      <c r="B162" s="10">
        <f>'25-26'!B162*1.05</f>
        <v>110250</v>
      </c>
      <c r="C162" s="5"/>
      <c r="D162" s="5"/>
      <c r="E162" s="5"/>
      <c r="F162" s="5"/>
      <c r="G162" s="5"/>
      <c r="H162" s="5">
        <f t="shared" si="47"/>
        <v>110250</v>
      </c>
      <c r="I162" s="11"/>
      <c r="K162" s="10">
        <v>105000</v>
      </c>
      <c r="M162" s="5">
        <f t="shared" si="48"/>
        <v>5250</v>
      </c>
    </row>
    <row r="163" spans="1:14" x14ac:dyDescent="0.25">
      <c r="A163" s="30" t="s">
        <v>169</v>
      </c>
      <c r="B163" s="5">
        <f>10000</f>
        <v>10000</v>
      </c>
      <c r="C163" s="5"/>
      <c r="D163" s="5"/>
      <c r="E163" s="5"/>
      <c r="F163" s="5"/>
      <c r="G163" s="5"/>
      <c r="H163" s="5">
        <f t="shared" si="47"/>
        <v>10000</v>
      </c>
      <c r="I163" s="11"/>
      <c r="K163" s="10">
        <v>10000</v>
      </c>
      <c r="M163" s="5">
        <f t="shared" si="48"/>
        <v>0</v>
      </c>
    </row>
    <row r="164" spans="1:14" x14ac:dyDescent="0.25">
      <c r="A164" s="30" t="s">
        <v>170</v>
      </c>
      <c r="B164" s="10">
        <f>48*B17+(60*12)</f>
        <v>75264</v>
      </c>
      <c r="C164" s="5"/>
      <c r="D164" s="5"/>
      <c r="E164" s="5"/>
      <c r="F164" s="5"/>
      <c r="G164" s="5"/>
      <c r="H164" s="5">
        <f t="shared" si="47"/>
        <v>75264</v>
      </c>
      <c r="I164" s="11" t="s">
        <v>171</v>
      </c>
      <c r="K164" s="10">
        <v>65904</v>
      </c>
      <c r="M164" s="5">
        <f t="shared" si="48"/>
        <v>9360</v>
      </c>
    </row>
    <row r="165" spans="1:14" x14ac:dyDescent="0.25">
      <c r="A165" s="30" t="s">
        <v>172</v>
      </c>
      <c r="B165" s="10">
        <v>27500</v>
      </c>
      <c r="C165" s="5"/>
      <c r="D165" s="5"/>
      <c r="E165" s="5"/>
      <c r="F165" s="5"/>
      <c r="G165" s="5"/>
      <c r="H165" s="5">
        <f t="shared" si="47"/>
        <v>27500</v>
      </c>
      <c r="I165" s="11"/>
      <c r="K165" s="10">
        <v>27500</v>
      </c>
      <c r="M165" s="5">
        <f t="shared" si="48"/>
        <v>0</v>
      </c>
    </row>
    <row r="166" spans="1:14" x14ac:dyDescent="0.25">
      <c r="A166" s="30" t="s">
        <v>173</v>
      </c>
      <c r="B166" s="10">
        <f>(B74+B75+B76+B77)*0.0125</f>
        <v>212723.99204874999</v>
      </c>
      <c r="C166" s="5"/>
      <c r="D166" s="5"/>
      <c r="E166" s="5"/>
      <c r="F166" s="5"/>
      <c r="G166" s="5"/>
      <c r="H166" s="5">
        <f t="shared" si="47"/>
        <v>212723.99204874999</v>
      </c>
      <c r="I166" s="80">
        <v>1.2500000000000001E-2</v>
      </c>
      <c r="J166" s="132"/>
      <c r="K166" s="10">
        <v>184818.1795</v>
      </c>
      <c r="M166" s="5">
        <f t="shared" si="48"/>
        <v>27905.812548749993</v>
      </c>
      <c r="N166" s="132"/>
    </row>
    <row r="167" spans="1:14" x14ac:dyDescent="0.25">
      <c r="A167" s="30" t="s">
        <v>174</v>
      </c>
      <c r="B167" s="10">
        <f>B74*0.005</f>
        <v>76422.091819499998</v>
      </c>
      <c r="C167" s="5"/>
      <c r="D167" s="5"/>
      <c r="E167" s="5"/>
      <c r="F167" s="5"/>
      <c r="G167" s="5"/>
      <c r="H167" s="5">
        <f t="shared" si="47"/>
        <v>76422.091819499998</v>
      </c>
      <c r="I167" s="80" t="s">
        <v>175</v>
      </c>
      <c r="J167" s="132"/>
      <c r="K167" s="10">
        <v>65838.691800000001</v>
      </c>
      <c r="M167" s="5">
        <f t="shared" si="48"/>
        <v>10583.400019499997</v>
      </c>
      <c r="N167" s="132"/>
    </row>
    <row r="168" spans="1:14" x14ac:dyDescent="0.25">
      <c r="A168" s="30" t="s">
        <v>176</v>
      </c>
      <c r="B168" s="10">
        <f>B74*0.005</f>
        <v>76422.091819499998</v>
      </c>
      <c r="C168" s="5"/>
      <c r="D168" s="5"/>
      <c r="E168" s="5"/>
      <c r="F168" s="5"/>
      <c r="G168" s="5"/>
      <c r="H168" s="5">
        <f t="shared" si="47"/>
        <v>76422.091819499998</v>
      </c>
      <c r="I168" s="80" t="s">
        <v>175</v>
      </c>
      <c r="J168" s="132"/>
      <c r="K168" s="10">
        <v>65838.691800000001</v>
      </c>
      <c r="M168" s="5">
        <f t="shared" si="48"/>
        <v>10583.400019499997</v>
      </c>
      <c r="N168" s="132"/>
    </row>
    <row r="169" spans="1:14" x14ac:dyDescent="0.25">
      <c r="A169" s="79" t="s">
        <v>177</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178</v>
      </c>
      <c r="B170" s="72">
        <f>SUM(B156:B169)</f>
        <v>1427506.1814377501</v>
      </c>
      <c r="C170" s="72">
        <f t="shared" ref="C170:G170" si="49">SUM(C156:C169)</f>
        <v>357190</v>
      </c>
      <c r="D170" s="72">
        <f t="shared" si="49"/>
        <v>0</v>
      </c>
      <c r="E170" s="72">
        <f t="shared" si="49"/>
        <v>0</v>
      </c>
      <c r="F170" s="72">
        <f t="shared" si="49"/>
        <v>0</v>
      </c>
      <c r="G170" s="72">
        <f t="shared" si="49"/>
        <v>44196.82</v>
      </c>
      <c r="H170" s="72">
        <f>SUM(H156:H169)</f>
        <v>1828893.0014377502</v>
      </c>
      <c r="I170" s="7"/>
      <c r="J170" s="7"/>
      <c r="K170" s="72">
        <v>1605062.6831</v>
      </c>
      <c r="M170" s="72">
        <f t="shared" si="48"/>
        <v>223830.31833775016</v>
      </c>
      <c r="N170" s="7"/>
    </row>
    <row r="171" spans="1:14" x14ac:dyDescent="0.25">
      <c r="A171" s="76" t="s">
        <v>179</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(26-27)</v>
      </c>
      <c r="I171" s="7"/>
      <c r="J171" s="7"/>
      <c r="K171" s="15" t="s">
        <v>231</v>
      </c>
      <c r="M171" s="15" t="str">
        <f t="shared" ref="M171" si="51">M1</f>
        <v>Variance</v>
      </c>
      <c r="N171" s="7"/>
    </row>
    <row r="172" spans="1:14" x14ac:dyDescent="0.25">
      <c r="A172" s="81" t="s">
        <v>180</v>
      </c>
      <c r="B172" s="10">
        <f>'25-26'!B172*1.05</f>
        <v>5071.5</v>
      </c>
      <c r="C172" s="5"/>
      <c r="D172" s="5"/>
      <c r="E172" s="5"/>
      <c r="F172" s="5"/>
      <c r="G172" s="5"/>
      <c r="H172" s="5">
        <f t="shared" ref="H172:H196" si="52">SUM(B172:G172)</f>
        <v>5071.5</v>
      </c>
      <c r="I172" s="11" t="s">
        <v>181</v>
      </c>
      <c r="K172" s="10">
        <v>4830</v>
      </c>
      <c r="M172" s="5">
        <f t="shared" si="48"/>
        <v>241.5</v>
      </c>
    </row>
    <row r="173" spans="1:14" x14ac:dyDescent="0.25">
      <c r="A173" s="30" t="s">
        <v>182</v>
      </c>
      <c r="B173" s="10">
        <f>'25-26'!B173*1.05</f>
        <v>6659.1</v>
      </c>
      <c r="C173" s="23"/>
      <c r="D173" s="5"/>
      <c r="E173" s="5"/>
      <c r="F173" s="5"/>
      <c r="G173" s="5"/>
      <c r="H173" s="5">
        <f t="shared" si="52"/>
        <v>6659.1</v>
      </c>
      <c r="I173" s="11" t="s">
        <v>181</v>
      </c>
      <c r="K173" s="10">
        <v>6342</v>
      </c>
      <c r="M173" s="5">
        <f t="shared" si="48"/>
        <v>317.10000000000036</v>
      </c>
    </row>
    <row r="174" spans="1:14" x14ac:dyDescent="0.25">
      <c r="A174" s="30" t="s">
        <v>183</v>
      </c>
      <c r="B174" s="83"/>
      <c r="C174" s="5"/>
      <c r="D174" s="5"/>
      <c r="E174" s="5"/>
      <c r="F174" s="5"/>
      <c r="G174" s="5"/>
      <c r="H174" s="5">
        <f t="shared" si="52"/>
        <v>0</v>
      </c>
      <c r="I174" s="11"/>
      <c r="K174" s="10">
        <v>0</v>
      </c>
      <c r="M174" s="5">
        <f t="shared" si="48"/>
        <v>0</v>
      </c>
    </row>
    <row r="175" spans="1:14" x14ac:dyDescent="0.25">
      <c r="A175" s="30" t="s">
        <v>184</v>
      </c>
      <c r="B175" s="83">
        <v>1400</v>
      </c>
      <c r="C175" s="5"/>
      <c r="D175" s="5"/>
      <c r="E175" s="5"/>
      <c r="F175" s="5"/>
      <c r="G175" s="5"/>
      <c r="H175" s="5">
        <f t="shared" si="52"/>
        <v>1400</v>
      </c>
      <c r="I175" s="11"/>
      <c r="K175" s="10">
        <v>1400</v>
      </c>
      <c r="M175" s="5">
        <f t="shared" si="48"/>
        <v>0</v>
      </c>
    </row>
    <row r="176" spans="1:14" x14ac:dyDescent="0.25">
      <c r="A176" s="30" t="s">
        <v>185</v>
      </c>
      <c r="B176" s="10">
        <f>'25-26'!B176*1.05</f>
        <v>6063.75</v>
      </c>
      <c r="C176" s="5"/>
      <c r="D176" s="5"/>
      <c r="E176" s="5"/>
      <c r="F176" s="5"/>
      <c r="G176" s="5"/>
      <c r="H176" s="5">
        <f t="shared" si="52"/>
        <v>6063.75</v>
      </c>
      <c r="I176" s="11"/>
      <c r="K176" s="10">
        <v>5775</v>
      </c>
      <c r="M176" s="5">
        <f t="shared" si="48"/>
        <v>288.75</v>
      </c>
    </row>
    <row r="177" spans="1:14" x14ac:dyDescent="0.25">
      <c r="A177" s="30" t="s">
        <v>186</v>
      </c>
      <c r="B177" s="10">
        <f>'25-26'!B177*1.05</f>
        <v>63000</v>
      </c>
      <c r="C177" s="5"/>
      <c r="D177" s="5"/>
      <c r="E177" s="5"/>
      <c r="F177" s="5"/>
      <c r="G177" s="5"/>
      <c r="H177" s="5">
        <f t="shared" si="52"/>
        <v>63000</v>
      </c>
      <c r="I177" s="11"/>
      <c r="K177" s="10">
        <v>60000</v>
      </c>
      <c r="M177" s="5">
        <f t="shared" si="48"/>
        <v>3000</v>
      </c>
    </row>
    <row r="178" spans="1:14" x14ac:dyDescent="0.25">
      <c r="A178" s="30" t="s">
        <v>187</v>
      </c>
      <c r="B178" s="82">
        <f>(2.5*B17)+8500</f>
        <v>12382.5</v>
      </c>
      <c r="C178" s="5"/>
      <c r="D178" s="5"/>
      <c r="E178" s="5"/>
      <c r="F178" s="5"/>
      <c r="G178" s="5"/>
      <c r="H178" s="5">
        <f t="shared" si="52"/>
        <v>12382.5</v>
      </c>
      <c r="I178" s="11"/>
      <c r="K178" s="10">
        <v>11895</v>
      </c>
      <c r="M178" s="5">
        <f t="shared" si="48"/>
        <v>487.5</v>
      </c>
    </row>
    <row r="179" spans="1:14" x14ac:dyDescent="0.25">
      <c r="A179" s="30" t="s">
        <v>188</v>
      </c>
      <c r="B179" s="10">
        <f>'25-26'!B179*1.1</f>
        <v>25094.432000000004</v>
      </c>
      <c r="C179" s="5"/>
      <c r="D179" s="5"/>
      <c r="E179" s="5"/>
      <c r="F179" s="5"/>
      <c r="G179" s="5"/>
      <c r="H179" s="5">
        <f t="shared" si="52"/>
        <v>25094.432000000004</v>
      </c>
      <c r="I179" s="11"/>
      <c r="K179" s="10">
        <v>22813.120000000003</v>
      </c>
      <c r="M179" s="5">
        <f t="shared" si="48"/>
        <v>2281.3120000000017</v>
      </c>
    </row>
    <row r="180" spans="1:14" x14ac:dyDescent="0.25">
      <c r="A180" s="30" t="s">
        <v>189</v>
      </c>
      <c r="B180" s="10">
        <f>'25-26'!B180*1.1</f>
        <v>21957.628000000001</v>
      </c>
      <c r="C180" s="5"/>
      <c r="D180" s="5"/>
      <c r="E180" s="5"/>
      <c r="F180" s="5"/>
      <c r="G180" s="5"/>
      <c r="H180" s="5">
        <f t="shared" si="52"/>
        <v>21957.628000000001</v>
      </c>
      <c r="I180" s="11"/>
      <c r="K180" s="10">
        <v>19961.48</v>
      </c>
      <c r="M180" s="5">
        <f t="shared" si="48"/>
        <v>1996.148000000001</v>
      </c>
    </row>
    <row r="181" spans="1:14" x14ac:dyDescent="0.25">
      <c r="A181" s="30" t="s">
        <v>190</v>
      </c>
      <c r="B181" s="10">
        <f>'25-26'!B181*1.1</f>
        <v>31368.040000000005</v>
      </c>
      <c r="C181" s="5"/>
      <c r="D181" s="5"/>
      <c r="E181" s="5"/>
      <c r="F181" s="5"/>
      <c r="G181" s="5"/>
      <c r="H181" s="5">
        <f t="shared" si="52"/>
        <v>31368.040000000005</v>
      </c>
      <c r="I181" s="11"/>
      <c r="K181" s="10">
        <v>28516.400000000001</v>
      </c>
      <c r="M181" s="5">
        <f t="shared" si="48"/>
        <v>2851.6400000000031</v>
      </c>
    </row>
    <row r="182" spans="1:14" x14ac:dyDescent="0.25">
      <c r="A182" s="30" t="s">
        <v>191</v>
      </c>
      <c r="B182" s="5"/>
      <c r="C182" s="10"/>
      <c r="D182" s="10">
        <f>((B17*D23*0.5)*2.4*180)</f>
        <v>335448</v>
      </c>
      <c r="E182" s="10"/>
      <c r="F182" s="10"/>
      <c r="G182" s="10"/>
      <c r="H182" s="5">
        <f t="shared" si="52"/>
        <v>335448</v>
      </c>
      <c r="I182" s="58">
        <v>2.4</v>
      </c>
      <c r="J182" s="133"/>
      <c r="K182" s="10">
        <v>293328</v>
      </c>
      <c r="M182" s="5">
        <f t="shared" si="48"/>
        <v>42120</v>
      </c>
      <c r="N182" s="133"/>
    </row>
    <row r="183" spans="1:14" x14ac:dyDescent="0.25">
      <c r="A183" s="30" t="s">
        <v>192</v>
      </c>
      <c r="B183" s="5"/>
      <c r="C183" s="10"/>
      <c r="D183" s="10">
        <f>((B17*D23*0.5)*3.91*180)</f>
        <v>546500.70000000007</v>
      </c>
      <c r="E183" s="10"/>
      <c r="F183" s="10"/>
      <c r="G183" s="10"/>
      <c r="H183" s="5">
        <f t="shared" si="52"/>
        <v>546500.70000000007</v>
      </c>
      <c r="I183" s="58">
        <v>3.91</v>
      </c>
      <c r="J183" s="133"/>
      <c r="K183" s="10">
        <v>477880.19999999995</v>
      </c>
      <c r="M183" s="5">
        <f t="shared" si="48"/>
        <v>68620.500000000116</v>
      </c>
      <c r="N183" s="133"/>
    </row>
    <row r="184" spans="1:14" x14ac:dyDescent="0.25">
      <c r="A184" s="30" t="s">
        <v>193</v>
      </c>
      <c r="B184" s="5">
        <v>15000</v>
      </c>
      <c r="C184" s="5"/>
      <c r="D184" s="5"/>
      <c r="E184" s="5"/>
      <c r="F184" s="5"/>
      <c r="G184" s="5"/>
      <c r="H184" s="5">
        <f t="shared" si="52"/>
        <v>15000</v>
      </c>
      <c r="I184" s="11"/>
      <c r="K184" s="10">
        <v>15000</v>
      </c>
      <c r="M184" s="5">
        <f t="shared" si="48"/>
        <v>0</v>
      </c>
    </row>
    <row r="185" spans="1:14" x14ac:dyDescent="0.25">
      <c r="A185" s="30" t="s">
        <v>194</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195</v>
      </c>
      <c r="B186" s="5">
        <f>75*55</f>
        <v>4125</v>
      </c>
      <c r="C186" s="5">
        <v>0</v>
      </c>
      <c r="D186" s="5">
        <v>0</v>
      </c>
      <c r="E186" s="5"/>
      <c r="F186" s="5"/>
      <c r="G186" s="5"/>
      <c r="H186" s="5">
        <f t="shared" si="52"/>
        <v>4125</v>
      </c>
      <c r="I186" s="11"/>
      <c r="K186" s="10">
        <v>4125</v>
      </c>
      <c r="M186" s="5">
        <f t="shared" si="48"/>
        <v>0</v>
      </c>
    </row>
    <row r="187" spans="1:14" x14ac:dyDescent="0.25">
      <c r="A187" s="30" t="s">
        <v>196</v>
      </c>
      <c r="B187" s="10">
        <f>(5*B17)+14000</f>
        <v>21765</v>
      </c>
      <c r="C187" s="5"/>
      <c r="D187" s="5"/>
      <c r="E187" s="5"/>
      <c r="F187" s="5"/>
      <c r="G187" s="5"/>
      <c r="H187" s="5">
        <f t="shared" si="52"/>
        <v>21765</v>
      </c>
      <c r="I187" s="11" t="s">
        <v>197</v>
      </c>
      <c r="K187" s="10">
        <v>20790</v>
      </c>
      <c r="M187" s="5">
        <f t="shared" si="48"/>
        <v>975</v>
      </c>
    </row>
    <row r="188" spans="1:14" x14ac:dyDescent="0.25">
      <c r="A188" s="30" t="s">
        <v>198</v>
      </c>
      <c r="B188" s="10"/>
      <c r="C188" s="5"/>
      <c r="D188" s="5"/>
      <c r="E188" s="5"/>
      <c r="F188" s="5"/>
      <c r="G188" s="5"/>
      <c r="H188" s="5">
        <f t="shared" si="52"/>
        <v>0</v>
      </c>
      <c r="I188" s="11"/>
      <c r="K188" s="10">
        <v>0</v>
      </c>
      <c r="M188" s="5">
        <f t="shared" si="48"/>
        <v>0</v>
      </c>
    </row>
    <row r="189" spans="1:14" x14ac:dyDescent="0.25">
      <c r="A189" s="30" t="s">
        <v>199</v>
      </c>
      <c r="B189" s="10">
        <v>30000</v>
      </c>
      <c r="C189" s="5"/>
      <c r="D189" s="5"/>
      <c r="E189" s="5"/>
      <c r="F189" s="5"/>
      <c r="G189" s="5"/>
      <c r="H189" s="5">
        <f t="shared" si="52"/>
        <v>30000</v>
      </c>
      <c r="I189" s="11"/>
      <c r="K189" s="10">
        <v>0</v>
      </c>
      <c r="M189" s="5">
        <f t="shared" si="48"/>
        <v>30000</v>
      </c>
    </row>
    <row r="190" spans="1:14" x14ac:dyDescent="0.25">
      <c r="A190" s="30" t="s">
        <v>200</v>
      </c>
      <c r="B190" s="10">
        <v>0</v>
      </c>
      <c r="C190" s="5"/>
      <c r="D190" s="5"/>
      <c r="E190" s="5"/>
      <c r="F190" s="5"/>
      <c r="G190" s="5"/>
      <c r="H190" s="5">
        <f t="shared" si="52"/>
        <v>0</v>
      </c>
      <c r="I190" s="11"/>
      <c r="K190" s="10">
        <v>4000</v>
      </c>
      <c r="M190" s="5">
        <f t="shared" si="48"/>
        <v>-4000</v>
      </c>
    </row>
    <row r="191" spans="1:14" x14ac:dyDescent="0.25">
      <c r="A191" s="30" t="s">
        <v>202</v>
      </c>
      <c r="B191" s="10">
        <v>265000</v>
      </c>
      <c r="C191" s="10"/>
      <c r="D191" s="10"/>
      <c r="E191" s="10"/>
      <c r="F191" s="10"/>
      <c r="G191" s="10"/>
      <c r="H191" s="5">
        <f t="shared" si="52"/>
        <v>265000</v>
      </c>
      <c r="I191" s="11"/>
      <c r="K191" s="10">
        <v>285000</v>
      </c>
      <c r="M191" s="5">
        <f t="shared" si="48"/>
        <v>-20000</v>
      </c>
    </row>
    <row r="192" spans="1:14" x14ac:dyDescent="0.25">
      <c r="A192" s="30" t="s">
        <v>203</v>
      </c>
      <c r="B192" s="10"/>
      <c r="C192" s="10"/>
      <c r="D192" s="10"/>
      <c r="E192" s="10"/>
      <c r="F192" s="10"/>
      <c r="G192" s="10"/>
      <c r="H192" s="5">
        <f t="shared" si="52"/>
        <v>0</v>
      </c>
      <c r="I192" s="11"/>
      <c r="K192" s="10">
        <v>0</v>
      </c>
      <c r="M192" s="5">
        <f t="shared" si="48"/>
        <v>0</v>
      </c>
    </row>
    <row r="193" spans="1:14" x14ac:dyDescent="0.25">
      <c r="A193" s="30" t="s">
        <v>204</v>
      </c>
      <c r="B193" s="10"/>
      <c r="C193" s="10"/>
      <c r="D193" s="10"/>
      <c r="E193" s="10"/>
      <c r="F193" s="10"/>
      <c r="G193" s="10"/>
      <c r="H193" s="5">
        <f t="shared" si="52"/>
        <v>0</v>
      </c>
      <c r="I193" s="11"/>
      <c r="K193" s="10">
        <v>0</v>
      </c>
      <c r="M193" s="5">
        <f t="shared" si="48"/>
        <v>0</v>
      </c>
    </row>
    <row r="194" spans="1:14" x14ac:dyDescent="0.25">
      <c r="A194" s="30" t="s">
        <v>205</v>
      </c>
      <c r="B194" s="10"/>
      <c r="C194" s="10"/>
      <c r="D194" s="10"/>
      <c r="E194" s="10">
        <f>E93</f>
        <v>293000</v>
      </c>
      <c r="F194" s="10"/>
      <c r="G194" s="10"/>
      <c r="H194" s="5">
        <f t="shared" si="52"/>
        <v>293000</v>
      </c>
      <c r="I194" s="11"/>
      <c r="K194" s="10">
        <v>256200</v>
      </c>
      <c r="M194" s="5"/>
    </row>
    <row r="195" spans="1:14" x14ac:dyDescent="0.25">
      <c r="A195" s="30" t="s">
        <v>206</v>
      </c>
      <c r="B195" s="10">
        <v>5000</v>
      </c>
      <c r="C195" s="10"/>
      <c r="D195" s="10"/>
      <c r="E195" s="10"/>
      <c r="F195" s="10"/>
      <c r="G195" s="10"/>
      <c r="H195" s="5">
        <f t="shared" si="52"/>
        <v>5000</v>
      </c>
      <c r="I195" s="11"/>
      <c r="K195" s="10">
        <v>5000</v>
      </c>
      <c r="M195" s="5">
        <f t="shared" si="48"/>
        <v>0</v>
      </c>
    </row>
    <row r="196" spans="1:14" x14ac:dyDescent="0.25">
      <c r="A196" s="79" t="s">
        <v>207</v>
      </c>
      <c r="B196" s="5">
        <f>B74*0.02</f>
        <v>305688.36727799999</v>
      </c>
      <c r="C196" s="5"/>
      <c r="D196" s="5"/>
      <c r="E196" s="5"/>
      <c r="F196" s="5"/>
      <c r="G196" s="5"/>
      <c r="H196" s="5">
        <f t="shared" si="52"/>
        <v>305688.36727799999</v>
      </c>
      <c r="I196" s="54" t="s">
        <v>208</v>
      </c>
      <c r="J196" s="129"/>
      <c r="K196" s="10">
        <v>263354.7672</v>
      </c>
      <c r="M196" s="5">
        <f t="shared" si="48"/>
        <v>42333.600077999989</v>
      </c>
      <c r="N196" s="129"/>
    </row>
    <row r="197" spans="1:14" x14ac:dyDescent="0.25">
      <c r="A197" s="71" t="s">
        <v>209</v>
      </c>
      <c r="B197" s="72">
        <f>SUM(B172:B196)</f>
        <v>827075.31727800006</v>
      </c>
      <c r="C197" s="72">
        <f t="shared" ref="C197:H197" si="53">SUM(C172:C196)</f>
        <v>0</v>
      </c>
      <c r="D197" s="72">
        <f t="shared" si="53"/>
        <v>881948.70000000007</v>
      </c>
      <c r="E197" s="72">
        <f t="shared" si="53"/>
        <v>293000</v>
      </c>
      <c r="F197" s="72">
        <f t="shared" si="53"/>
        <v>0</v>
      </c>
      <c r="G197" s="72">
        <f t="shared" si="53"/>
        <v>30624.400000000001</v>
      </c>
      <c r="H197" s="72">
        <f t="shared" si="53"/>
        <v>2032648.4172780002</v>
      </c>
      <c r="I197" s="7"/>
      <c r="J197" s="7"/>
      <c r="K197" s="72">
        <v>1824335.3672000002</v>
      </c>
      <c r="M197" s="72">
        <f t="shared" si="48"/>
        <v>208313.05007799994</v>
      </c>
      <c r="N197" s="7"/>
    </row>
    <row r="198" spans="1:14" x14ac:dyDescent="0.25">
      <c r="A198" s="76" t="s">
        <v>210</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(26-27)</v>
      </c>
      <c r="I198" s="7"/>
      <c r="J198" s="7"/>
      <c r="K198" s="15" t="s">
        <v>231</v>
      </c>
      <c r="M198" s="15" t="str">
        <f t="shared" ref="M198" si="55">M1</f>
        <v>Variance</v>
      </c>
      <c r="N198" s="7"/>
    </row>
    <row r="199" spans="1:14" x14ac:dyDescent="0.25">
      <c r="A199" s="81" t="s">
        <v>211</v>
      </c>
      <c r="B199" s="10">
        <f>'25-26'!B199*1.1</f>
        <v>143000</v>
      </c>
      <c r="C199" s="5"/>
      <c r="D199" s="5"/>
      <c r="E199" s="5"/>
      <c r="F199" s="5"/>
      <c r="G199" s="5"/>
      <c r="H199" s="5">
        <f t="shared" ref="H199:H208" si="56">SUM(B199:G199)</f>
        <v>143000</v>
      </c>
      <c r="I199" s="6"/>
      <c r="J199" s="60"/>
      <c r="K199" s="10">
        <v>130000</v>
      </c>
      <c r="M199" s="5">
        <f t="shared" ref="M199:M220" si="57">H199-K199</f>
        <v>13000</v>
      </c>
      <c r="N199" s="60"/>
    </row>
    <row r="200" spans="1:14" x14ac:dyDescent="0.25">
      <c r="A200" s="30" t="s">
        <v>212</v>
      </c>
      <c r="B200" s="82">
        <f>0</f>
        <v>0</v>
      </c>
      <c r="C200" s="5"/>
      <c r="D200" s="5"/>
      <c r="E200" s="5"/>
      <c r="F200" s="5"/>
      <c r="G200" s="5"/>
      <c r="H200" s="5">
        <f t="shared" si="56"/>
        <v>0</v>
      </c>
      <c r="I200" s="11"/>
      <c r="K200" s="10">
        <v>0</v>
      </c>
      <c r="M200" s="5">
        <f t="shared" si="57"/>
        <v>0</v>
      </c>
    </row>
    <row r="201" spans="1:14" x14ac:dyDescent="0.25">
      <c r="A201" s="30" t="s">
        <v>213</v>
      </c>
      <c r="B201" s="10">
        <f>'25-26'!B201*1.1</f>
        <v>85800</v>
      </c>
      <c r="C201" s="5"/>
      <c r="D201" s="5"/>
      <c r="E201" s="5"/>
      <c r="F201" s="5"/>
      <c r="G201" s="5"/>
      <c r="H201" s="5">
        <f t="shared" si="56"/>
        <v>85800</v>
      </c>
      <c r="I201" s="11"/>
      <c r="K201" s="10">
        <v>78000</v>
      </c>
      <c r="M201" s="5">
        <f t="shared" si="57"/>
        <v>7800</v>
      </c>
    </row>
    <row r="202" spans="1:14" x14ac:dyDescent="0.25">
      <c r="A202" s="30" t="s">
        <v>214</v>
      </c>
      <c r="B202" s="10">
        <f>'25-26'!B202*1.1</f>
        <v>14300.000000000002</v>
      </c>
      <c r="C202" s="5"/>
      <c r="D202" s="5"/>
      <c r="E202" s="5"/>
      <c r="F202" s="5"/>
      <c r="G202" s="5"/>
      <c r="H202" s="5">
        <f t="shared" si="56"/>
        <v>14300.000000000002</v>
      </c>
      <c r="I202" s="11"/>
      <c r="K202" s="10">
        <v>13000</v>
      </c>
      <c r="M202" s="5">
        <f t="shared" si="57"/>
        <v>1300.0000000000018</v>
      </c>
    </row>
    <row r="203" spans="1:14" x14ac:dyDescent="0.25">
      <c r="A203" s="30" t="s">
        <v>215</v>
      </c>
      <c r="B203" s="83">
        <v>9000</v>
      </c>
      <c r="C203" s="5"/>
      <c r="D203" s="5"/>
      <c r="E203" s="5"/>
      <c r="F203" s="5"/>
      <c r="G203" s="5"/>
      <c r="H203" s="5">
        <f t="shared" si="56"/>
        <v>9000</v>
      </c>
      <c r="I203" s="11"/>
      <c r="K203" s="10">
        <v>9000</v>
      </c>
      <c r="M203" s="5">
        <f t="shared" si="57"/>
        <v>0</v>
      </c>
    </row>
    <row r="204" spans="1:14" x14ac:dyDescent="0.25">
      <c r="A204" s="30" t="s">
        <v>216</v>
      </c>
      <c r="B204" s="10">
        <f>'25-26'!B204*1.1</f>
        <v>136636.5</v>
      </c>
      <c r="C204" s="5"/>
      <c r="D204" s="5"/>
      <c r="E204" s="5"/>
      <c r="F204" s="5"/>
      <c r="G204" s="5"/>
      <c r="H204" s="5">
        <f t="shared" si="56"/>
        <v>136636.5</v>
      </c>
      <c r="I204" s="11"/>
      <c r="K204" s="10">
        <v>124215</v>
      </c>
      <c r="M204" s="5">
        <f t="shared" si="57"/>
        <v>12421.5</v>
      </c>
    </row>
    <row r="205" spans="1:14" x14ac:dyDescent="0.25">
      <c r="A205" s="30" t="s">
        <v>218</v>
      </c>
      <c r="B205" s="10">
        <v>125000</v>
      </c>
      <c r="C205" s="5"/>
      <c r="D205" s="5"/>
      <c r="E205" s="5"/>
      <c r="F205" s="5"/>
      <c r="G205" s="5"/>
      <c r="H205" s="5">
        <f t="shared" si="56"/>
        <v>125000</v>
      </c>
      <c r="I205" s="11"/>
      <c r="K205" s="10">
        <v>100000</v>
      </c>
      <c r="M205" s="5">
        <f t="shared" si="57"/>
        <v>25000</v>
      </c>
    </row>
    <row r="206" spans="1:14" x14ac:dyDescent="0.25">
      <c r="A206" s="30" t="s">
        <v>219</v>
      </c>
      <c r="B206" s="10">
        <v>0</v>
      </c>
      <c r="C206" s="5"/>
      <c r="D206" s="5"/>
      <c r="E206" s="5"/>
      <c r="F206" s="5"/>
      <c r="G206" s="5"/>
      <c r="H206" s="5">
        <f t="shared" si="56"/>
        <v>0</v>
      </c>
      <c r="I206" s="11"/>
      <c r="K206" s="10">
        <v>0</v>
      </c>
      <c r="M206" s="5">
        <f t="shared" si="57"/>
        <v>0</v>
      </c>
    </row>
    <row r="207" spans="1:14" x14ac:dyDescent="0.25">
      <c r="A207" s="30" t="s">
        <v>220</v>
      </c>
      <c r="B207" s="10">
        <f>'25-26'!B207*1.05</f>
        <v>13781.25</v>
      </c>
      <c r="C207" s="5"/>
      <c r="D207" s="5"/>
      <c r="E207" s="5"/>
      <c r="F207" s="5"/>
      <c r="G207" s="5"/>
      <c r="H207" s="5">
        <f t="shared" si="56"/>
        <v>13781.25</v>
      </c>
      <c r="I207" s="11"/>
      <c r="K207" s="10">
        <v>13125</v>
      </c>
      <c r="M207" s="5">
        <f t="shared" si="57"/>
        <v>656.25</v>
      </c>
    </row>
    <row r="208" spans="1:14" x14ac:dyDescent="0.25">
      <c r="A208" s="79" t="s">
        <v>221</v>
      </c>
      <c r="B208" s="10">
        <f>'25-26'!B208*1.1</f>
        <v>27500.000000000004</v>
      </c>
      <c r="C208" s="5"/>
      <c r="D208" s="5"/>
      <c r="E208" s="5"/>
      <c r="F208" s="5"/>
      <c r="G208" s="5"/>
      <c r="H208" s="5">
        <f t="shared" si="56"/>
        <v>27500.000000000004</v>
      </c>
      <c r="I208" s="11"/>
      <c r="K208" s="10">
        <v>25000</v>
      </c>
      <c r="M208" s="5">
        <f t="shared" si="57"/>
        <v>2500.0000000000036</v>
      </c>
    </row>
    <row r="209" spans="1:14" x14ac:dyDescent="0.25">
      <c r="A209" s="71" t="s">
        <v>222</v>
      </c>
      <c r="B209" s="72">
        <f t="shared" ref="B209:H209" si="58">SUM(B199:B208)</f>
        <v>555017.75</v>
      </c>
      <c r="C209" s="72">
        <f t="shared" si="58"/>
        <v>0</v>
      </c>
      <c r="D209" s="72">
        <f t="shared" si="58"/>
        <v>0</v>
      </c>
      <c r="E209" s="72">
        <f t="shared" si="58"/>
        <v>0</v>
      </c>
      <c r="F209" s="72">
        <f t="shared" si="58"/>
        <v>0</v>
      </c>
      <c r="G209" s="72">
        <f t="shared" si="58"/>
        <v>0</v>
      </c>
      <c r="H209" s="72">
        <f t="shared" si="58"/>
        <v>555017.75</v>
      </c>
      <c r="I209" s="7"/>
      <c r="J209" s="7"/>
      <c r="K209" s="72">
        <v>492340</v>
      </c>
      <c r="M209" s="72">
        <f t="shared" si="57"/>
        <v>62677.75</v>
      </c>
      <c r="N209" s="7"/>
    </row>
    <row r="210" spans="1:14" x14ac:dyDescent="0.25">
      <c r="A210" s="86"/>
      <c r="B210" s="5"/>
      <c r="C210" s="5"/>
      <c r="D210" s="5"/>
      <c r="E210" s="5"/>
      <c r="F210" s="5"/>
      <c r="G210" s="5"/>
      <c r="H210" s="5"/>
      <c r="I210" s="7"/>
      <c r="J210" s="7"/>
      <c r="K210" s="5"/>
      <c r="M210" s="5">
        <f t="shared" si="57"/>
        <v>0</v>
      </c>
      <c r="N210" s="7"/>
    </row>
    <row r="211" spans="1:14" x14ac:dyDescent="0.25">
      <c r="A211" s="71" t="s">
        <v>223</v>
      </c>
      <c r="B211" s="72">
        <f>B142+B154+B170+B197+B209</f>
        <v>13009120.757215748</v>
      </c>
      <c r="C211" s="72">
        <f t="shared" ref="C211:H211" si="59">C142+C154+C170+C197+C209</f>
        <v>1245912.2661226415</v>
      </c>
      <c r="D211" s="72">
        <f t="shared" si="59"/>
        <v>1108589.1000000001</v>
      </c>
      <c r="E211" s="72">
        <f t="shared" si="59"/>
        <v>443000</v>
      </c>
      <c r="F211" s="72">
        <f t="shared" si="59"/>
        <v>725009.95692499995</v>
      </c>
      <c r="G211" s="72">
        <f t="shared" si="59"/>
        <v>260878.02</v>
      </c>
      <c r="H211" s="72">
        <f t="shared" si="59"/>
        <v>16792510.100263391</v>
      </c>
      <c r="I211" s="7"/>
      <c r="J211" s="7"/>
      <c r="K211" s="72">
        <v>14814187.635771697</v>
      </c>
      <c r="M211" s="72">
        <f t="shared" si="57"/>
        <v>1978322.4644916933</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224</v>
      </c>
      <c r="B213" s="9">
        <f>1301668+346340+1207324</f>
        <v>2855332</v>
      </c>
      <c r="C213" s="9"/>
      <c r="D213" s="9"/>
      <c r="E213" s="9"/>
      <c r="F213" s="9"/>
      <c r="G213" s="9"/>
      <c r="H213" s="9">
        <f t="shared" ref="H213:H218" si="60">SUM(B213:G213)</f>
        <v>2855332</v>
      </c>
      <c r="I213" s="11"/>
      <c r="K213" s="265">
        <v>2546902</v>
      </c>
      <c r="M213" s="9">
        <f t="shared" si="57"/>
        <v>308430</v>
      </c>
    </row>
    <row r="214" spans="1:14" x14ac:dyDescent="0.25">
      <c r="A214" s="43" t="s">
        <v>225</v>
      </c>
      <c r="B214" s="9">
        <v>0</v>
      </c>
      <c r="C214" s="9"/>
      <c r="D214" s="9"/>
      <c r="E214" s="9"/>
      <c r="F214" s="9"/>
      <c r="G214" s="9"/>
      <c r="H214" s="9">
        <f t="shared" si="60"/>
        <v>0</v>
      </c>
      <c r="I214" s="11"/>
      <c r="K214" s="265">
        <v>0</v>
      </c>
      <c r="M214" s="9">
        <f t="shared" si="57"/>
        <v>0</v>
      </c>
    </row>
    <row r="215" spans="1:14" x14ac:dyDescent="0.25">
      <c r="A215" s="43" t="s">
        <v>226</v>
      </c>
      <c r="B215" s="9">
        <v>0</v>
      </c>
      <c r="C215" s="9"/>
      <c r="D215" s="9"/>
      <c r="E215" s="9"/>
      <c r="F215" s="9"/>
      <c r="G215" s="9"/>
      <c r="H215" s="9">
        <f t="shared" si="60"/>
        <v>0</v>
      </c>
      <c r="I215" s="11"/>
      <c r="K215" s="265">
        <v>0</v>
      </c>
      <c r="M215" s="9">
        <f t="shared" si="57"/>
        <v>0</v>
      </c>
    </row>
    <row r="216" spans="1:14" x14ac:dyDescent="0.25">
      <c r="A216" s="43" t="s">
        <v>227</v>
      </c>
      <c r="B216" s="9">
        <f>325*12</f>
        <v>3900</v>
      </c>
      <c r="C216" s="9"/>
      <c r="D216" s="9"/>
      <c r="E216" s="9"/>
      <c r="F216" s="9"/>
      <c r="G216" s="9"/>
      <c r="H216" s="9">
        <f t="shared" si="60"/>
        <v>3900</v>
      </c>
      <c r="I216" s="11" t="s">
        <v>240</v>
      </c>
      <c r="K216" s="265">
        <v>46100</v>
      </c>
      <c r="M216" s="9">
        <f t="shared" si="57"/>
        <v>-42200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229</v>
      </c>
      <c r="B219" s="89">
        <f>(B97+B103)-B211-B213-B214-B216-B215</f>
        <v>1149566.6066842508</v>
      </c>
      <c r="C219" s="89">
        <f t="shared" ref="C219:G219" si="61">(C97+C103)-C211-C213-C214-C216-C215</f>
        <v>-422971.01046226418</v>
      </c>
      <c r="D219" s="89">
        <f t="shared" si="61"/>
        <v>-184709.40000000014</v>
      </c>
      <c r="E219" s="89">
        <f t="shared" si="61"/>
        <v>0</v>
      </c>
      <c r="F219" s="89">
        <f t="shared" si="61"/>
        <v>-275494.46692499996</v>
      </c>
      <c r="G219" s="89">
        <f t="shared" si="61"/>
        <v>-143988.21</v>
      </c>
      <c r="H219" s="89">
        <f>(H97+H103)-H211-H213-H214-H216-H215</f>
        <v>122403.51929698512</v>
      </c>
      <c r="I219" s="16"/>
      <c r="J219" s="7"/>
      <c r="K219" s="89">
        <v>60704.192152829841</v>
      </c>
      <c r="M219" s="89">
        <f t="shared" si="57"/>
        <v>61699.327144155279</v>
      </c>
      <c r="N219" s="7"/>
    </row>
    <row r="220" spans="1:14" x14ac:dyDescent="0.25">
      <c r="A220" s="90"/>
      <c r="B220" s="91">
        <f t="shared" ref="B220:H220" si="62">B219/(B97)</f>
        <v>6.7550361598423064E-2</v>
      </c>
      <c r="C220" s="91">
        <f t="shared" si="62"/>
        <v>-0.51397473094582791</v>
      </c>
      <c r="D220" s="91">
        <f t="shared" si="62"/>
        <v>-0.19992797763604953</v>
      </c>
      <c r="E220" s="91">
        <f t="shared" si="62"/>
        <v>0</v>
      </c>
      <c r="F220" s="91">
        <f t="shared" si="62"/>
        <v>-0.61286979660033514</v>
      </c>
      <c r="G220" s="91">
        <f t="shared" si="62"/>
        <v>-1.2318285913887617</v>
      </c>
      <c r="H220" s="91">
        <f t="shared" si="62"/>
        <v>6.2373935492498261E-3</v>
      </c>
      <c r="I220" s="7"/>
      <c r="J220" s="7"/>
      <c r="K220" s="91">
        <v>3.5359137679481173E-3</v>
      </c>
      <c r="M220" s="91">
        <f t="shared" si="57"/>
        <v>2.7014797813017088E-3</v>
      </c>
      <c r="N220" s="7"/>
    </row>
    <row r="221" spans="1:14" x14ac:dyDescent="0.25">
      <c r="B221" s="92"/>
      <c r="C221" s="92"/>
      <c r="D221" s="92"/>
      <c r="E221" s="92"/>
      <c r="F221" s="92"/>
      <c r="G221" s="92"/>
      <c r="H221" s="92"/>
      <c r="K221" s="92"/>
      <c r="L221" s="92"/>
    </row>
    <row r="222" spans="1:14" x14ac:dyDescent="0.25">
      <c r="A222" s="1" t="str">
        <f t="shared" ref="A222:H222" si="63">A1</f>
        <v>CIVICA Nevada - FY27</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(26-27)</v>
      </c>
      <c r="I222" s="2"/>
      <c r="J222" s="2"/>
      <c r="K222" s="1" t="s">
        <v>231</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3F5F-13D4-4575-8C19-E759794D5A08}">
  <dimension ref="A1:Q224"/>
  <sheetViews>
    <sheetView topLeftCell="A14" zoomScale="75" zoomScaleNormal="75" workbookViewId="0">
      <selection activeCell="H14" sqref="H1:H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241</v>
      </c>
      <c r="B1" s="1" t="s">
        <v>1</v>
      </c>
      <c r="C1" s="1" t="s">
        <v>2</v>
      </c>
      <c r="D1" s="1" t="s">
        <v>3</v>
      </c>
      <c r="E1" s="1" t="s">
        <v>4</v>
      </c>
      <c r="F1" s="1" t="s">
        <v>5</v>
      </c>
      <c r="G1" s="1" t="s">
        <v>6</v>
      </c>
      <c r="H1" s="1" t="s">
        <v>242</v>
      </c>
      <c r="I1" s="2"/>
      <c r="J1" s="2"/>
      <c r="K1" s="1" t="s">
        <v>239</v>
      </c>
      <c r="M1" s="1" t="s">
        <v>9</v>
      </c>
      <c r="N1" s="2"/>
    </row>
    <row r="2" spans="1:14" x14ac:dyDescent="0.25">
      <c r="A2" s="4" t="s">
        <v>14</v>
      </c>
      <c r="B2" s="5">
        <f>9414*1.03*1.015*1.015</f>
        <v>9989.4942944999984</v>
      </c>
      <c r="C2" s="5"/>
      <c r="D2" s="5"/>
      <c r="E2" s="5"/>
      <c r="F2" s="5"/>
      <c r="G2" s="5"/>
      <c r="H2" s="5">
        <f t="shared" ref="H2:H16" si="0">SUM(B2:G2)</f>
        <v>9989.4942944999984</v>
      </c>
      <c r="I2" s="6"/>
      <c r="J2" s="60"/>
      <c r="K2" s="10">
        <v>9841.8662999999997</v>
      </c>
      <c r="M2" s="5">
        <f t="shared" ref="M2:M65" si="1">H2-K2</f>
        <v>147.62799449999875</v>
      </c>
      <c r="N2" s="60"/>
    </row>
    <row r="3" spans="1:14" x14ac:dyDescent="0.25">
      <c r="A3" s="8" t="s">
        <v>15</v>
      </c>
      <c r="B3" s="9">
        <f t="shared" ref="B3" si="2">B4+B5+B6+B7+B8+B9+B10+B11+B12+B13+B14+B15+B16</f>
        <v>1680</v>
      </c>
      <c r="C3" s="9"/>
      <c r="D3" s="9"/>
      <c r="E3" s="9"/>
      <c r="F3" s="9"/>
      <c r="G3" s="9"/>
      <c r="H3" s="9">
        <f t="shared" si="0"/>
        <v>1680</v>
      </c>
      <c r="I3" s="6"/>
      <c r="J3" s="60"/>
      <c r="K3" s="9">
        <v>1553</v>
      </c>
      <c r="M3" s="9">
        <f t="shared" si="1"/>
        <v>127</v>
      </c>
      <c r="N3" s="60"/>
    </row>
    <row r="4" spans="1:14" x14ac:dyDescent="0.25">
      <c r="A4" s="99" t="s">
        <v>16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17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18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19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20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21</v>
      </c>
      <c r="B9" s="5">
        <f t="shared" si="3"/>
        <v>135</v>
      </c>
      <c r="C9" s="10"/>
      <c r="D9" s="10"/>
      <c r="E9" s="10"/>
      <c r="F9" s="10"/>
      <c r="G9" s="10"/>
      <c r="H9" s="10">
        <f t="shared" si="0"/>
        <v>135</v>
      </c>
      <c r="I9" s="122">
        <f t="shared" si="4"/>
        <v>5</v>
      </c>
      <c r="J9" s="125"/>
      <c r="K9" s="10">
        <v>135</v>
      </c>
      <c r="L9" s="125">
        <v>5</v>
      </c>
      <c r="M9" s="10">
        <f t="shared" si="1"/>
        <v>0</v>
      </c>
      <c r="N9" s="125"/>
    </row>
    <row r="10" spans="1:14" x14ac:dyDescent="0.25">
      <c r="A10" s="12" t="s">
        <v>22</v>
      </c>
      <c r="B10" s="5">
        <f>31*5</f>
        <v>155</v>
      </c>
      <c r="C10" s="5"/>
      <c r="D10" s="5"/>
      <c r="E10" s="5"/>
      <c r="F10" s="5"/>
      <c r="G10" s="5"/>
      <c r="H10" s="10">
        <f t="shared" si="0"/>
        <v>155</v>
      </c>
      <c r="I10" s="122">
        <f>H10/31</f>
        <v>5</v>
      </c>
      <c r="J10" s="125"/>
      <c r="K10" s="10">
        <v>155</v>
      </c>
      <c r="L10" s="125">
        <v>5</v>
      </c>
      <c r="M10" s="10">
        <f t="shared" si="1"/>
        <v>0</v>
      </c>
      <c r="N10" s="125"/>
    </row>
    <row r="11" spans="1:14" x14ac:dyDescent="0.25">
      <c r="A11" s="12" t="s">
        <v>23</v>
      </c>
      <c r="B11" s="5">
        <f>31*5</f>
        <v>155</v>
      </c>
      <c r="C11" s="5"/>
      <c r="D11" s="5"/>
      <c r="E11" s="5"/>
      <c r="F11" s="5"/>
      <c r="G11" s="5"/>
      <c r="H11" s="10">
        <f t="shared" si="0"/>
        <v>155</v>
      </c>
      <c r="I11" s="122">
        <f t="shared" ref="I11" si="5">H11/31</f>
        <v>5</v>
      </c>
      <c r="J11" s="125"/>
      <c r="K11" s="10">
        <v>105</v>
      </c>
      <c r="L11" s="125">
        <v>5</v>
      </c>
      <c r="M11" s="10">
        <f t="shared" si="1"/>
        <v>50</v>
      </c>
      <c r="N11" s="125"/>
    </row>
    <row r="12" spans="1:14" x14ac:dyDescent="0.25">
      <c r="A12" s="12" t="s">
        <v>24</v>
      </c>
      <c r="B12" s="5">
        <f>30*4</f>
        <v>120</v>
      </c>
      <c r="C12" s="5"/>
      <c r="D12" s="5"/>
      <c r="E12" s="5"/>
      <c r="F12" s="5"/>
      <c r="G12" s="5"/>
      <c r="H12" s="10">
        <f t="shared" si="0"/>
        <v>120</v>
      </c>
      <c r="I12" s="122">
        <f>H12/30</f>
        <v>4</v>
      </c>
      <c r="J12" s="125"/>
      <c r="K12" s="10">
        <v>135</v>
      </c>
      <c r="L12" s="125">
        <v>4</v>
      </c>
      <c r="M12" s="10">
        <f t="shared" si="1"/>
        <v>-15</v>
      </c>
      <c r="N12" s="125"/>
    </row>
    <row r="13" spans="1:14" x14ac:dyDescent="0.25">
      <c r="A13" s="12" t="s">
        <v>25</v>
      </c>
      <c r="B13" s="5">
        <f>27*5</f>
        <v>135</v>
      </c>
      <c r="C13" s="5"/>
      <c r="D13" s="5"/>
      <c r="E13" s="5"/>
      <c r="F13" s="5"/>
      <c r="G13" s="5"/>
      <c r="H13" s="10">
        <f t="shared" si="0"/>
        <v>135</v>
      </c>
      <c r="I13" s="122">
        <f>H13/27</f>
        <v>5</v>
      </c>
      <c r="K13" s="10">
        <v>100</v>
      </c>
      <c r="L13" s="125">
        <v>2</v>
      </c>
      <c r="M13" s="10">
        <f t="shared" si="1"/>
        <v>35</v>
      </c>
    </row>
    <row r="14" spans="1:14" x14ac:dyDescent="0.25">
      <c r="A14" s="12" t="s">
        <v>26</v>
      </c>
      <c r="B14" s="5">
        <f>35*2+30</f>
        <v>100</v>
      </c>
      <c r="C14" s="5"/>
      <c r="D14" s="5"/>
      <c r="E14" s="5"/>
      <c r="F14" s="5"/>
      <c r="G14" s="5"/>
      <c r="H14" s="10">
        <f t="shared" si="0"/>
        <v>100</v>
      </c>
      <c r="I14" s="122">
        <v>3</v>
      </c>
      <c r="K14" s="10">
        <v>135</v>
      </c>
      <c r="L14" s="125">
        <v>2</v>
      </c>
      <c r="M14" s="10">
        <f t="shared" si="1"/>
        <v>-35</v>
      </c>
    </row>
    <row r="15" spans="1:14" x14ac:dyDescent="0.25">
      <c r="A15" s="12" t="s">
        <v>27</v>
      </c>
      <c r="B15" s="5">
        <f>27*5</f>
        <v>135</v>
      </c>
      <c r="C15" s="5"/>
      <c r="D15" s="5"/>
      <c r="E15" s="5"/>
      <c r="F15" s="5"/>
      <c r="G15" s="5"/>
      <c r="H15" s="10">
        <f t="shared" si="0"/>
        <v>135</v>
      </c>
      <c r="I15" s="122">
        <f t="shared" ref="I15" si="6">H15/27</f>
        <v>5</v>
      </c>
      <c r="K15" s="10">
        <v>70</v>
      </c>
      <c r="L15" s="125">
        <v>2</v>
      </c>
      <c r="M15" s="10">
        <f t="shared" si="1"/>
        <v>65</v>
      </c>
    </row>
    <row r="16" spans="1:14" x14ac:dyDescent="0.25">
      <c r="A16" s="12" t="s">
        <v>28</v>
      </c>
      <c r="B16" s="5">
        <f>35*2</f>
        <v>70</v>
      </c>
      <c r="C16" s="5"/>
      <c r="D16" s="5"/>
      <c r="E16" s="5"/>
      <c r="F16" s="5"/>
      <c r="G16" s="5"/>
      <c r="H16" s="10">
        <f t="shared" si="0"/>
        <v>70</v>
      </c>
      <c r="I16" s="122">
        <f>H16/35</f>
        <v>2</v>
      </c>
      <c r="K16" s="10">
        <v>43</v>
      </c>
      <c r="L16" s="125">
        <v>2</v>
      </c>
      <c r="M16" s="10">
        <f t="shared" si="1"/>
        <v>27</v>
      </c>
    </row>
    <row r="17" spans="1:14" x14ac:dyDescent="0.25">
      <c r="A17" s="100" t="s">
        <v>15</v>
      </c>
      <c r="B17" s="9">
        <f t="shared" ref="B17:G17" si="7">SUM(B4:B16)</f>
        <v>1680</v>
      </c>
      <c r="C17" s="9">
        <f t="shared" si="7"/>
        <v>0</v>
      </c>
      <c r="D17" s="9">
        <f t="shared" si="7"/>
        <v>0</v>
      </c>
      <c r="E17" s="9">
        <f t="shared" si="7"/>
        <v>0</v>
      </c>
      <c r="F17" s="9">
        <f t="shared" si="7"/>
        <v>0</v>
      </c>
      <c r="G17" s="9">
        <f t="shared" si="7"/>
        <v>0</v>
      </c>
      <c r="H17" s="9">
        <f>SUM(H4:H16)</f>
        <v>1680</v>
      </c>
      <c r="I17" s="122">
        <f>SUM(I4:I16)</f>
        <v>59</v>
      </c>
      <c r="J17" s="126"/>
      <c r="K17" s="9">
        <v>1553</v>
      </c>
      <c r="L17" s="125">
        <f>SUM(L4:L16)</f>
        <v>52</v>
      </c>
      <c r="M17" s="9">
        <f t="shared" si="1"/>
        <v>127</v>
      </c>
      <c r="N17" s="126"/>
    </row>
    <row r="18" spans="1:14" x14ac:dyDescent="0.25">
      <c r="A18" s="12"/>
      <c r="B18" s="5"/>
      <c r="C18" s="13"/>
      <c r="D18" s="13"/>
      <c r="E18" s="13"/>
      <c r="F18" s="13"/>
      <c r="G18" s="13"/>
      <c r="H18" s="13"/>
      <c r="I18" s="18"/>
      <c r="J18" s="7"/>
      <c r="K18" s="13"/>
      <c r="M18" s="13">
        <f t="shared" si="1"/>
        <v>0</v>
      </c>
      <c r="N18" s="7"/>
    </row>
    <row r="19" spans="1:14" x14ac:dyDescent="0.25">
      <c r="A19" s="14" t="s">
        <v>29</v>
      </c>
      <c r="B19" s="15" t="str">
        <f>B1</f>
        <v>Operating</v>
      </c>
      <c r="C19" s="15" t="str">
        <f>C1</f>
        <v>SPED</v>
      </c>
      <c r="D19" s="15" t="str">
        <f>D1</f>
        <v>NSLP</v>
      </c>
      <c r="E19" s="15" t="str">
        <f t="shared" ref="E19:G19" si="8">E1</f>
        <v>Other</v>
      </c>
      <c r="F19" s="15" t="str">
        <f t="shared" si="8"/>
        <v>Title I</v>
      </c>
      <c r="G19" s="15" t="str">
        <f t="shared" si="8"/>
        <v>Title II/III/IV</v>
      </c>
      <c r="H19" s="15" t="str">
        <f>H1</f>
        <v>Total (27-28)</v>
      </c>
      <c r="I19" s="16"/>
      <c r="J19" s="16"/>
      <c r="K19" s="15" t="s">
        <v>239</v>
      </c>
      <c r="M19" s="15" t="str">
        <f>M1</f>
        <v>Variance</v>
      </c>
      <c r="N19" s="16"/>
    </row>
    <row r="20" spans="1:14" x14ac:dyDescent="0.25">
      <c r="A20" s="12" t="s">
        <v>31</v>
      </c>
      <c r="B20" s="5"/>
      <c r="C20" s="5">
        <f>('26-27'!C20/'26-27'!B17)*'27-28'!B17</f>
        <v>122.0377358490566</v>
      </c>
      <c r="D20" s="5"/>
      <c r="E20" s="5"/>
      <c r="F20" s="5"/>
      <c r="G20" s="5"/>
      <c r="H20" s="5">
        <f>SUM(B20:G20)</f>
        <v>122.0377358490566</v>
      </c>
      <c r="I20" s="17" t="s">
        <v>32</v>
      </c>
      <c r="J20" s="127"/>
      <c r="K20" s="10">
        <v>112.81226415094339</v>
      </c>
      <c r="M20" s="5">
        <f t="shared" si="1"/>
        <v>9.2254716981132106</v>
      </c>
      <c r="N20" s="127"/>
    </row>
    <row r="21" spans="1:14" x14ac:dyDescent="0.25">
      <c r="A21" s="12" t="s">
        <v>33</v>
      </c>
      <c r="B21" s="5">
        <f>('26-27'!B21+25)</f>
        <v>351</v>
      </c>
      <c r="C21" s="5"/>
      <c r="D21" s="5"/>
      <c r="E21" s="5"/>
      <c r="F21" s="5"/>
      <c r="G21" s="5"/>
      <c r="H21" s="5">
        <f>SUM(B21:G21)</f>
        <v>351</v>
      </c>
      <c r="I21" s="17"/>
      <c r="J21" s="127"/>
      <c r="K21" s="10">
        <v>326</v>
      </c>
      <c r="M21" s="5">
        <f t="shared" si="1"/>
        <v>25</v>
      </c>
      <c r="N21" s="127"/>
    </row>
    <row r="22" spans="1:14" x14ac:dyDescent="0.25">
      <c r="A22" s="12" t="s">
        <v>34</v>
      </c>
      <c r="B22" s="10">
        <v>0</v>
      </c>
      <c r="C22" s="10"/>
      <c r="D22" s="10"/>
      <c r="E22" s="10"/>
      <c r="F22" s="10"/>
      <c r="G22" s="10"/>
      <c r="H22" s="5">
        <f>SUM(B22:G22)</f>
        <v>0</v>
      </c>
      <c r="I22" s="11"/>
      <c r="K22" s="10">
        <v>0</v>
      </c>
      <c r="M22" s="5">
        <f t="shared" si="1"/>
        <v>0</v>
      </c>
    </row>
    <row r="23" spans="1:14" x14ac:dyDescent="0.25">
      <c r="A23" s="12" t="s">
        <v>35</v>
      </c>
      <c r="B23" s="10">
        <f>('26-27'!B23/'26-27'!B17)*'27-28'!B17</f>
        <v>874.86792452830184</v>
      </c>
      <c r="C23" s="19"/>
      <c r="D23" s="19">
        <v>1</v>
      </c>
      <c r="E23" s="19"/>
      <c r="F23" s="19"/>
      <c r="G23" s="19"/>
      <c r="H23" s="19">
        <f>SUM(C23:G23)</f>
        <v>1</v>
      </c>
      <c r="I23" s="20"/>
      <c r="J23" s="128"/>
      <c r="K23" s="19">
        <v>1</v>
      </c>
      <c r="M23" s="19">
        <f t="shared" si="1"/>
        <v>0</v>
      </c>
      <c r="N23" s="128"/>
    </row>
    <row r="24" spans="1:14" x14ac:dyDescent="0.25">
      <c r="A24" s="12" t="s">
        <v>36</v>
      </c>
      <c r="B24" s="5">
        <f>('26-27'!B24+3)</f>
        <v>110</v>
      </c>
      <c r="C24" s="5"/>
      <c r="D24" s="5"/>
      <c r="E24" s="5"/>
      <c r="F24" s="5"/>
      <c r="G24" s="5"/>
      <c r="H24" s="5">
        <f>SUM(B24:G24)</f>
        <v>110</v>
      </c>
      <c r="I24" s="20"/>
      <c r="J24" s="128"/>
      <c r="K24" s="10">
        <v>107</v>
      </c>
      <c r="M24" s="5">
        <f t="shared" si="1"/>
        <v>3</v>
      </c>
      <c r="N24" s="128"/>
    </row>
    <row r="25" spans="1:14" x14ac:dyDescent="0.25">
      <c r="A25" s="12"/>
      <c r="B25" s="5"/>
      <c r="C25" s="5"/>
      <c r="D25" s="5"/>
      <c r="E25" s="5"/>
      <c r="F25" s="5"/>
      <c r="G25" s="5"/>
      <c r="H25" s="5"/>
      <c r="I25" s="7"/>
      <c r="J25" s="7"/>
      <c r="K25" s="10"/>
      <c r="M25" s="5">
        <f t="shared" si="1"/>
        <v>0</v>
      </c>
      <c r="N25" s="7"/>
    </row>
    <row r="26" spans="1:14" x14ac:dyDescent="0.25">
      <c r="A26" s="21" t="s">
        <v>37</v>
      </c>
      <c r="B26" s="15" t="str">
        <f>B1</f>
        <v>Operating</v>
      </c>
      <c r="C26" s="15" t="str">
        <f>C1</f>
        <v>SPED</v>
      </c>
      <c r="D26" s="15" t="str">
        <f>D1</f>
        <v>NSLP</v>
      </c>
      <c r="E26" s="15" t="str">
        <f t="shared" ref="E26:G26" si="9">E1</f>
        <v>Other</v>
      </c>
      <c r="F26" s="15" t="str">
        <f t="shared" si="9"/>
        <v>Title I</v>
      </c>
      <c r="G26" s="15" t="str">
        <f t="shared" si="9"/>
        <v>Title II/III/IV</v>
      </c>
      <c r="H26" s="15" t="str">
        <f>H1</f>
        <v>Total (27-28)</v>
      </c>
      <c r="I26" s="16"/>
      <c r="J26" s="16"/>
      <c r="K26" s="15" t="s">
        <v>239</v>
      </c>
      <c r="M26" s="15" t="str">
        <f>M1</f>
        <v>Variance</v>
      </c>
      <c r="N26" s="16"/>
    </row>
    <row r="27" spans="1:14" x14ac:dyDescent="0.25">
      <c r="A27" s="29" t="s">
        <v>38</v>
      </c>
      <c r="B27" s="23">
        <v>59</v>
      </c>
      <c r="C27" s="23"/>
      <c r="D27" s="23"/>
      <c r="E27" s="23"/>
      <c r="F27" s="23"/>
      <c r="G27" s="23"/>
      <c r="H27" s="23">
        <f t="shared" ref="H27:H35" si="10">SUM(B27:G27)</f>
        <v>59</v>
      </c>
      <c r="I27" s="122">
        <f>H27/6</f>
        <v>9.8333333333333339</v>
      </c>
      <c r="J27" s="125"/>
      <c r="K27" s="25">
        <v>55</v>
      </c>
      <c r="M27" s="23">
        <f t="shared" si="1"/>
        <v>4</v>
      </c>
      <c r="N27" s="125"/>
    </row>
    <row r="28" spans="1:14" x14ac:dyDescent="0.25">
      <c r="A28" s="29" t="s">
        <v>39</v>
      </c>
      <c r="B28" s="25">
        <v>0</v>
      </c>
      <c r="C28" s="25">
        <v>7</v>
      </c>
      <c r="D28" s="25"/>
      <c r="E28" s="25"/>
      <c r="F28" s="25"/>
      <c r="G28" s="25"/>
      <c r="H28" s="23">
        <f t="shared" si="10"/>
        <v>7</v>
      </c>
      <c r="I28" s="122">
        <f>H20/21</f>
        <v>5.8113207547169807</v>
      </c>
      <c r="J28" s="125"/>
      <c r="K28" s="25">
        <v>6</v>
      </c>
      <c r="M28" s="23">
        <f t="shared" si="1"/>
        <v>1</v>
      </c>
      <c r="N28" s="125"/>
    </row>
    <row r="29" spans="1:14" x14ac:dyDescent="0.25">
      <c r="A29" s="29" t="s">
        <v>40</v>
      </c>
      <c r="B29" s="23">
        <v>2</v>
      </c>
      <c r="C29" s="23"/>
      <c r="D29" s="23"/>
      <c r="E29" s="23"/>
      <c r="F29" s="23"/>
      <c r="G29" s="23"/>
      <c r="H29" s="23">
        <f t="shared" si="10"/>
        <v>2</v>
      </c>
      <c r="I29" s="11"/>
      <c r="K29" s="25">
        <v>2</v>
      </c>
      <c r="M29" s="23">
        <f t="shared" si="1"/>
        <v>0</v>
      </c>
    </row>
    <row r="30" spans="1:14" x14ac:dyDescent="0.25">
      <c r="A30" s="29" t="s">
        <v>41</v>
      </c>
      <c r="B30" s="23">
        <v>1</v>
      </c>
      <c r="C30" s="23"/>
      <c r="D30" s="23"/>
      <c r="E30" s="23"/>
      <c r="F30" s="23"/>
      <c r="G30" s="23"/>
      <c r="H30" s="23">
        <f t="shared" si="10"/>
        <v>1</v>
      </c>
      <c r="I30" s="11"/>
      <c r="K30" s="25">
        <v>1</v>
      </c>
      <c r="M30" s="23">
        <f t="shared" si="1"/>
        <v>0</v>
      </c>
    </row>
    <row r="31" spans="1:14" x14ac:dyDescent="0.25">
      <c r="A31" s="29" t="s">
        <v>42</v>
      </c>
      <c r="B31" s="23">
        <v>1</v>
      </c>
      <c r="C31" s="23"/>
      <c r="D31" s="23"/>
      <c r="E31" s="23"/>
      <c r="F31" s="23"/>
      <c r="G31" s="23"/>
      <c r="H31" s="23">
        <f t="shared" si="10"/>
        <v>1</v>
      </c>
      <c r="I31" s="11"/>
      <c r="K31" s="25">
        <v>1</v>
      </c>
      <c r="M31" s="23">
        <f t="shared" si="1"/>
        <v>0</v>
      </c>
    </row>
    <row r="32" spans="1:14" x14ac:dyDescent="0.25">
      <c r="A32" s="97" t="s">
        <v>43</v>
      </c>
      <c r="B32" s="23">
        <v>1</v>
      </c>
      <c r="C32" s="23"/>
      <c r="D32" s="23"/>
      <c r="E32" s="23"/>
      <c r="F32" s="23"/>
      <c r="G32" s="23"/>
      <c r="H32" s="23">
        <f t="shared" si="10"/>
        <v>1</v>
      </c>
      <c r="I32" s="11"/>
      <c r="K32" s="25">
        <v>1</v>
      </c>
      <c r="M32" s="23">
        <f t="shared" si="1"/>
        <v>0</v>
      </c>
    </row>
    <row r="33" spans="1:14" x14ac:dyDescent="0.25">
      <c r="A33" s="97" t="s">
        <v>44</v>
      </c>
      <c r="B33" s="23">
        <v>1</v>
      </c>
      <c r="C33" s="23"/>
      <c r="D33" s="23"/>
      <c r="E33" s="23"/>
      <c r="F33" s="23"/>
      <c r="G33" s="23"/>
      <c r="H33" s="23">
        <f t="shared" si="10"/>
        <v>1</v>
      </c>
      <c r="I33" s="11"/>
      <c r="K33" s="25">
        <v>1</v>
      </c>
      <c r="M33" s="23">
        <f t="shared" si="1"/>
        <v>0</v>
      </c>
    </row>
    <row r="34" spans="1:14" x14ac:dyDescent="0.25">
      <c r="A34" s="97" t="s">
        <v>45</v>
      </c>
      <c r="B34" s="23">
        <v>2</v>
      </c>
      <c r="C34" s="23"/>
      <c r="D34" s="23"/>
      <c r="E34" s="23"/>
      <c r="F34" s="23"/>
      <c r="G34" s="23"/>
      <c r="H34" s="23">
        <f t="shared" si="10"/>
        <v>2</v>
      </c>
      <c r="I34" s="11"/>
      <c r="K34" s="25">
        <v>2</v>
      </c>
      <c r="M34" s="23">
        <f t="shared" si="1"/>
        <v>0</v>
      </c>
    </row>
    <row r="35" spans="1:14" x14ac:dyDescent="0.25">
      <c r="A35" s="30" t="s">
        <v>46</v>
      </c>
      <c r="B35" s="23">
        <v>0</v>
      </c>
      <c r="C35" s="23"/>
      <c r="D35" s="23"/>
      <c r="E35" s="23"/>
      <c r="F35" s="23"/>
      <c r="G35" s="23"/>
      <c r="H35" s="23">
        <f t="shared" si="10"/>
        <v>0</v>
      </c>
      <c r="I35" s="11"/>
      <c r="K35" s="25">
        <v>0</v>
      </c>
      <c r="M35" s="23">
        <f t="shared" si="1"/>
        <v>0</v>
      </c>
    </row>
    <row r="36" spans="1:14" x14ac:dyDescent="0.25">
      <c r="A36" s="21" t="s">
        <v>47</v>
      </c>
      <c r="B36" s="28">
        <f>SUM(B27:B35)</f>
        <v>67</v>
      </c>
      <c r="C36" s="28">
        <f t="shared" ref="C36:G36" si="11">SUM(C27:C35)</f>
        <v>7</v>
      </c>
      <c r="D36" s="28">
        <f t="shared" si="11"/>
        <v>0</v>
      </c>
      <c r="E36" s="28">
        <f t="shared" si="11"/>
        <v>0</v>
      </c>
      <c r="F36" s="28">
        <f t="shared" si="11"/>
        <v>0</v>
      </c>
      <c r="G36" s="28">
        <f t="shared" si="11"/>
        <v>0</v>
      </c>
      <c r="H36" s="28">
        <f>SUM(H27:H35)</f>
        <v>74</v>
      </c>
      <c r="I36" s="7"/>
      <c r="J36" s="7"/>
      <c r="K36" s="28">
        <v>69</v>
      </c>
      <c r="M36" s="28">
        <f t="shared" si="1"/>
        <v>5</v>
      </c>
      <c r="N36" s="7"/>
    </row>
    <row r="37" spans="1:14" x14ac:dyDescent="0.25">
      <c r="A37" s="27"/>
      <c r="B37" s="5"/>
      <c r="C37" s="5"/>
      <c r="D37" s="5"/>
      <c r="E37" s="5"/>
      <c r="F37" s="5"/>
      <c r="G37" s="5"/>
      <c r="H37" s="5"/>
      <c r="I37" s="7"/>
      <c r="J37" s="7"/>
      <c r="K37" s="5"/>
      <c r="M37" s="5">
        <f t="shared" si="1"/>
        <v>0</v>
      </c>
      <c r="N37" s="7"/>
    </row>
    <row r="38" spans="1:14" x14ac:dyDescent="0.25">
      <c r="A38" s="21" t="s">
        <v>48</v>
      </c>
      <c r="B38" s="15" t="str">
        <f>B1</f>
        <v>Operating</v>
      </c>
      <c r="C38" s="15" t="str">
        <f>C1</f>
        <v>SPED</v>
      </c>
      <c r="D38" s="15" t="str">
        <f>D1</f>
        <v>NSLP</v>
      </c>
      <c r="E38" s="15" t="str">
        <f t="shared" ref="E38:G38" si="12">E1</f>
        <v>Other</v>
      </c>
      <c r="F38" s="15" t="str">
        <f t="shared" si="12"/>
        <v>Title I</v>
      </c>
      <c r="G38" s="15" t="str">
        <f t="shared" si="12"/>
        <v>Title II/III/IV</v>
      </c>
      <c r="H38" s="15" t="str">
        <f>H1</f>
        <v>Total (27-28)</v>
      </c>
      <c r="I38" s="16"/>
      <c r="J38" s="16"/>
      <c r="K38" s="15" t="s">
        <v>239</v>
      </c>
      <c r="M38" s="15" t="str">
        <f>M1</f>
        <v>Variance</v>
      </c>
      <c r="N38" s="16"/>
    </row>
    <row r="39" spans="1:14" x14ac:dyDescent="0.25">
      <c r="A39" s="29" t="s">
        <v>49</v>
      </c>
      <c r="B39" s="25">
        <v>1</v>
      </c>
      <c r="C39" s="25"/>
      <c r="D39" s="25"/>
      <c r="E39" s="25"/>
      <c r="F39" s="25"/>
      <c r="G39" s="25"/>
      <c r="H39" s="23">
        <f t="shared" ref="H39:H44" si="13">SUM(B39:G39)</f>
        <v>1</v>
      </c>
      <c r="I39" s="11"/>
      <c r="K39" s="25">
        <v>1</v>
      </c>
      <c r="M39" s="23">
        <f t="shared" si="1"/>
        <v>0</v>
      </c>
    </row>
    <row r="40" spans="1:14" x14ac:dyDescent="0.25">
      <c r="A40" s="29" t="s">
        <v>50</v>
      </c>
      <c r="B40" s="25">
        <v>4</v>
      </c>
      <c r="C40" s="25"/>
      <c r="D40" s="25"/>
      <c r="E40" s="25"/>
      <c r="F40" s="25">
        <v>0</v>
      </c>
      <c r="G40" s="25"/>
      <c r="H40" s="23">
        <f t="shared" si="13"/>
        <v>4</v>
      </c>
      <c r="I40" s="11"/>
      <c r="K40" s="25">
        <v>4</v>
      </c>
      <c r="M40" s="23">
        <f t="shared" si="1"/>
        <v>0</v>
      </c>
    </row>
    <row r="41" spans="1:14" x14ac:dyDescent="0.25">
      <c r="A41" s="30" t="s">
        <v>51</v>
      </c>
      <c r="B41" s="25">
        <v>1</v>
      </c>
      <c r="C41" s="25"/>
      <c r="D41" s="25"/>
      <c r="E41" s="25"/>
      <c r="F41" s="25"/>
      <c r="G41" s="25"/>
      <c r="H41" s="23">
        <f t="shared" si="13"/>
        <v>1</v>
      </c>
      <c r="I41" s="11"/>
      <c r="K41" s="25">
        <v>1</v>
      </c>
      <c r="M41" s="23">
        <f t="shared" si="1"/>
        <v>0</v>
      </c>
    </row>
    <row r="42" spans="1:14" x14ac:dyDescent="0.25">
      <c r="A42" s="31" t="s">
        <v>52</v>
      </c>
      <c r="B42" s="25">
        <v>1</v>
      </c>
      <c r="C42" s="25"/>
      <c r="D42" s="25"/>
      <c r="E42" s="25"/>
      <c r="F42" s="25">
        <v>1</v>
      </c>
      <c r="G42" s="25"/>
      <c r="H42" s="23">
        <f t="shared" si="13"/>
        <v>2</v>
      </c>
      <c r="I42" s="11"/>
      <c r="K42" s="25">
        <v>2</v>
      </c>
      <c r="M42" s="23">
        <f t="shared" si="1"/>
        <v>0</v>
      </c>
    </row>
    <row r="43" spans="1:14" x14ac:dyDescent="0.25">
      <c r="A43" s="31" t="s">
        <v>53</v>
      </c>
      <c r="B43" s="25">
        <v>3</v>
      </c>
      <c r="C43" s="25"/>
      <c r="D43" s="25"/>
      <c r="E43" s="25"/>
      <c r="F43" s="25"/>
      <c r="G43" s="25"/>
      <c r="H43" s="23">
        <f t="shared" si="13"/>
        <v>3</v>
      </c>
      <c r="I43" s="11"/>
      <c r="K43" s="25">
        <v>3</v>
      </c>
      <c r="M43" s="23">
        <f t="shared" si="1"/>
        <v>0</v>
      </c>
    </row>
    <row r="44" spans="1:14" x14ac:dyDescent="0.25">
      <c r="A44" s="31" t="s">
        <v>54</v>
      </c>
      <c r="B44" s="25">
        <v>2</v>
      </c>
      <c r="C44" s="25"/>
      <c r="D44" s="25"/>
      <c r="E44" s="25"/>
      <c r="F44" s="25">
        <v>1</v>
      </c>
      <c r="G44" s="25">
        <v>0</v>
      </c>
      <c r="H44" s="23">
        <f t="shared" si="13"/>
        <v>3</v>
      </c>
      <c r="I44" s="11"/>
      <c r="K44" s="25">
        <v>3</v>
      </c>
      <c r="M44" s="23">
        <f t="shared" si="1"/>
        <v>0</v>
      </c>
    </row>
    <row r="45" spans="1:14" x14ac:dyDescent="0.25">
      <c r="A45" s="31" t="s">
        <v>55</v>
      </c>
      <c r="B45" s="25">
        <v>0</v>
      </c>
      <c r="C45" s="25"/>
      <c r="D45" s="25"/>
      <c r="E45" s="25"/>
      <c r="F45" s="25"/>
      <c r="G45" s="25"/>
      <c r="H45" s="23"/>
      <c r="I45" s="11"/>
      <c r="K45" s="25"/>
      <c r="M45" s="23">
        <f t="shared" si="1"/>
        <v>0</v>
      </c>
    </row>
    <row r="46" spans="1:14" x14ac:dyDescent="0.25">
      <c r="A46" s="29" t="s">
        <v>56</v>
      </c>
      <c r="B46" s="25">
        <v>2</v>
      </c>
      <c r="C46" s="25"/>
      <c r="D46" s="25"/>
      <c r="E46" s="25"/>
      <c r="F46" s="25"/>
      <c r="G46" s="25"/>
      <c r="H46" s="23">
        <f t="shared" ref="H46:H60" si="14">SUM(B46:G46)</f>
        <v>2</v>
      </c>
      <c r="I46" s="11"/>
      <c r="K46" s="25">
        <v>2</v>
      </c>
      <c r="M46" s="23">
        <f t="shared" si="1"/>
        <v>0</v>
      </c>
    </row>
    <row r="47" spans="1:14" x14ac:dyDescent="0.25">
      <c r="A47" s="29" t="s">
        <v>57</v>
      </c>
      <c r="B47" s="25">
        <v>2</v>
      </c>
      <c r="C47" s="25"/>
      <c r="D47" s="25"/>
      <c r="E47" s="25"/>
      <c r="F47" s="25"/>
      <c r="G47" s="25"/>
      <c r="H47" s="23">
        <f t="shared" si="14"/>
        <v>2</v>
      </c>
      <c r="I47" s="11"/>
      <c r="K47" s="25">
        <v>2</v>
      </c>
      <c r="M47" s="23">
        <f t="shared" si="1"/>
        <v>0</v>
      </c>
    </row>
    <row r="48" spans="1:14" x14ac:dyDescent="0.25">
      <c r="A48" s="29" t="s">
        <v>58</v>
      </c>
      <c r="B48" s="25">
        <v>5</v>
      </c>
      <c r="C48" s="25"/>
      <c r="D48" s="25"/>
      <c r="E48" s="25"/>
      <c r="F48" s="25"/>
      <c r="G48" s="25"/>
      <c r="H48" s="23">
        <f t="shared" si="14"/>
        <v>5</v>
      </c>
      <c r="I48" s="11"/>
      <c r="K48" s="25">
        <v>5</v>
      </c>
      <c r="M48" s="23">
        <f t="shared" si="1"/>
        <v>0</v>
      </c>
    </row>
    <row r="49" spans="1:14" x14ac:dyDescent="0.25">
      <c r="A49" s="29" t="s">
        <v>59</v>
      </c>
      <c r="B49" s="25">
        <v>4</v>
      </c>
      <c r="C49" s="25"/>
      <c r="D49" s="25"/>
      <c r="E49" s="25"/>
      <c r="F49" s="25"/>
      <c r="G49" s="25"/>
      <c r="H49" s="23">
        <f t="shared" si="14"/>
        <v>4</v>
      </c>
      <c r="I49" s="11"/>
      <c r="K49" s="25">
        <v>4</v>
      </c>
      <c r="M49" s="23">
        <f t="shared" si="1"/>
        <v>0</v>
      </c>
    </row>
    <row r="50" spans="1:14" x14ac:dyDescent="0.25">
      <c r="A50" s="29" t="s">
        <v>60</v>
      </c>
      <c r="B50" s="25">
        <v>12</v>
      </c>
      <c r="C50" s="25">
        <v>5</v>
      </c>
      <c r="D50" s="25"/>
      <c r="E50" s="25"/>
      <c r="F50" s="25">
        <v>8</v>
      </c>
      <c r="G50" s="25">
        <v>4</v>
      </c>
      <c r="H50" s="23">
        <f t="shared" si="14"/>
        <v>29</v>
      </c>
      <c r="I50" s="11"/>
      <c r="K50" s="25">
        <v>28</v>
      </c>
      <c r="M50" s="23">
        <f t="shared" si="1"/>
        <v>1</v>
      </c>
    </row>
    <row r="51" spans="1:14" x14ac:dyDescent="0.25">
      <c r="A51" s="29" t="s">
        <v>61</v>
      </c>
      <c r="B51" s="25">
        <v>6</v>
      </c>
      <c r="C51" s="25"/>
      <c r="D51" s="25"/>
      <c r="E51" s="25"/>
      <c r="F51" s="25"/>
      <c r="G51" s="25"/>
      <c r="H51" s="23">
        <f t="shared" si="14"/>
        <v>6</v>
      </c>
      <c r="I51" s="11"/>
      <c r="K51" s="25">
        <v>6</v>
      </c>
      <c r="M51" s="23">
        <f t="shared" si="1"/>
        <v>0</v>
      </c>
    </row>
    <row r="52" spans="1:14" x14ac:dyDescent="0.25">
      <c r="A52" s="29" t="s">
        <v>62</v>
      </c>
      <c r="B52" s="25"/>
      <c r="C52" s="25"/>
      <c r="D52" s="25">
        <v>6</v>
      </c>
      <c r="E52" s="25"/>
      <c r="F52" s="25"/>
      <c r="G52" s="25"/>
      <c r="H52" s="23">
        <f t="shared" si="14"/>
        <v>6</v>
      </c>
      <c r="I52" s="11"/>
      <c r="K52" s="25">
        <v>6</v>
      </c>
      <c r="M52" s="23">
        <f t="shared" si="1"/>
        <v>0</v>
      </c>
    </row>
    <row r="53" spans="1:14" x14ac:dyDescent="0.25">
      <c r="A53" s="29" t="s">
        <v>63</v>
      </c>
      <c r="B53" s="25">
        <v>0</v>
      </c>
      <c r="C53" s="25"/>
      <c r="D53" s="25"/>
      <c r="E53" s="25"/>
      <c r="F53" s="25">
        <v>1</v>
      </c>
      <c r="G53" s="25"/>
      <c r="H53" s="23">
        <f t="shared" si="14"/>
        <v>1</v>
      </c>
      <c r="I53" s="6"/>
      <c r="J53" s="60"/>
      <c r="K53" s="25">
        <v>1</v>
      </c>
      <c r="M53" s="23">
        <f t="shared" si="1"/>
        <v>0</v>
      </c>
      <c r="N53" s="60"/>
    </row>
    <row r="54" spans="1:14" x14ac:dyDescent="0.25">
      <c r="A54" s="30" t="s">
        <v>64</v>
      </c>
      <c r="B54" s="25">
        <v>0</v>
      </c>
      <c r="C54" s="25">
        <v>1</v>
      </c>
      <c r="D54" s="25"/>
      <c r="E54" s="25"/>
      <c r="F54" s="25"/>
      <c r="G54" s="25"/>
      <c r="H54" s="23">
        <f t="shared" si="14"/>
        <v>1</v>
      </c>
      <c r="I54" s="6"/>
      <c r="J54" s="60"/>
      <c r="K54" s="25">
        <v>1</v>
      </c>
      <c r="M54" s="23">
        <f t="shared" si="1"/>
        <v>0</v>
      </c>
      <c r="N54" s="60"/>
    </row>
    <row r="55" spans="1:14" x14ac:dyDescent="0.25">
      <c r="A55" s="30" t="s">
        <v>65</v>
      </c>
      <c r="B55" s="25"/>
      <c r="C55" s="25">
        <v>0</v>
      </c>
      <c r="D55" s="25"/>
      <c r="E55" s="25"/>
      <c r="F55" s="25"/>
      <c r="G55" s="25"/>
      <c r="H55" s="23">
        <f t="shared" si="14"/>
        <v>0</v>
      </c>
      <c r="I55" s="6"/>
      <c r="J55" s="60"/>
      <c r="K55" s="25">
        <v>0</v>
      </c>
      <c r="M55" s="23">
        <f t="shared" si="1"/>
        <v>0</v>
      </c>
      <c r="N55" s="60"/>
    </row>
    <row r="56" spans="1:14" x14ac:dyDescent="0.25">
      <c r="A56" s="30" t="s">
        <v>66</v>
      </c>
      <c r="B56" s="25"/>
      <c r="C56" s="25">
        <v>0</v>
      </c>
      <c r="D56" s="25"/>
      <c r="E56" s="25"/>
      <c r="F56" s="25"/>
      <c r="G56" s="25"/>
      <c r="H56" s="23">
        <f t="shared" si="14"/>
        <v>0</v>
      </c>
      <c r="I56" s="6"/>
      <c r="J56" s="60"/>
      <c r="K56" s="25">
        <v>0</v>
      </c>
      <c r="M56" s="23">
        <f t="shared" si="1"/>
        <v>0</v>
      </c>
      <c r="N56" s="60"/>
    </row>
    <row r="57" spans="1:14" x14ac:dyDescent="0.25">
      <c r="A57" s="30" t="s">
        <v>67</v>
      </c>
      <c r="B57" s="25"/>
      <c r="C57" s="25"/>
      <c r="D57" s="25"/>
      <c r="E57" s="25"/>
      <c r="F57" s="25"/>
      <c r="G57" s="25"/>
      <c r="H57" s="23">
        <f t="shared" si="14"/>
        <v>0</v>
      </c>
      <c r="I57" s="6"/>
      <c r="J57" s="60"/>
      <c r="K57" s="25">
        <v>0</v>
      </c>
      <c r="M57" s="23">
        <f t="shared" si="1"/>
        <v>0</v>
      </c>
      <c r="N57" s="60"/>
    </row>
    <row r="58" spans="1:14" x14ac:dyDescent="0.25">
      <c r="A58" s="30" t="s">
        <v>68</v>
      </c>
      <c r="B58" s="25"/>
      <c r="C58" s="25"/>
      <c r="D58" s="25"/>
      <c r="E58" s="25"/>
      <c r="F58" s="25"/>
      <c r="G58" s="25"/>
      <c r="H58" s="23">
        <f t="shared" si="14"/>
        <v>0</v>
      </c>
      <c r="I58" s="6"/>
      <c r="J58" s="60"/>
      <c r="K58" s="25">
        <v>0</v>
      </c>
      <c r="M58" s="23">
        <f t="shared" si="1"/>
        <v>0</v>
      </c>
      <c r="N58" s="60"/>
    </row>
    <row r="59" spans="1:14" x14ac:dyDescent="0.25">
      <c r="A59" s="30" t="s">
        <v>69</v>
      </c>
      <c r="B59" s="25">
        <v>3</v>
      </c>
      <c r="C59" s="25"/>
      <c r="D59" s="25"/>
      <c r="E59" s="25"/>
      <c r="F59" s="25"/>
      <c r="G59" s="25"/>
      <c r="H59" s="23">
        <f t="shared" si="14"/>
        <v>3</v>
      </c>
      <c r="I59" s="6"/>
      <c r="J59" s="60"/>
      <c r="K59" s="25">
        <v>3</v>
      </c>
      <c r="M59" s="23">
        <f t="shared" si="1"/>
        <v>0</v>
      </c>
      <c r="N59" s="60"/>
    </row>
    <row r="60" spans="1:14" x14ac:dyDescent="0.25">
      <c r="A60" s="29" t="s">
        <v>70</v>
      </c>
      <c r="B60" s="23"/>
      <c r="C60" s="23"/>
      <c r="D60" s="23"/>
      <c r="E60" s="23"/>
      <c r="F60" s="23"/>
      <c r="G60" s="23"/>
      <c r="H60" s="23">
        <f t="shared" si="14"/>
        <v>0</v>
      </c>
      <c r="I60" s="6"/>
      <c r="J60" s="60"/>
      <c r="K60" s="25">
        <v>0</v>
      </c>
      <c r="M60" s="23">
        <f t="shared" si="1"/>
        <v>0</v>
      </c>
      <c r="N60" s="60"/>
    </row>
    <row r="61" spans="1:14" x14ac:dyDescent="0.25">
      <c r="A61" s="21" t="s">
        <v>71</v>
      </c>
      <c r="B61" s="33">
        <f>SUM(B39:B60)</f>
        <v>46</v>
      </c>
      <c r="C61" s="33">
        <f>SUM(C39:C60)</f>
        <v>6</v>
      </c>
      <c r="D61" s="33">
        <f>SUM(D39:D60)</f>
        <v>6</v>
      </c>
      <c r="E61" s="33">
        <f t="shared" ref="E61:G61" si="15">SUM(E39:E60)</f>
        <v>0</v>
      </c>
      <c r="F61" s="33">
        <f t="shared" si="15"/>
        <v>11</v>
      </c>
      <c r="G61" s="33">
        <f t="shared" si="15"/>
        <v>4</v>
      </c>
      <c r="H61" s="33">
        <f>SUM(H39:H60)</f>
        <v>73</v>
      </c>
      <c r="I61" s="7"/>
      <c r="J61" s="7"/>
      <c r="K61" s="33">
        <v>72</v>
      </c>
      <c r="M61" s="33">
        <f t="shared" si="1"/>
        <v>1</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72</v>
      </c>
      <c r="B63" s="37">
        <f>B36</f>
        <v>67</v>
      </c>
      <c r="C63" s="37">
        <f>C36</f>
        <v>7</v>
      </c>
      <c r="D63" s="37">
        <f>D36</f>
        <v>0</v>
      </c>
      <c r="E63" s="37">
        <f t="shared" ref="E63:G63" si="16">E36</f>
        <v>0</v>
      </c>
      <c r="F63" s="37">
        <f t="shared" si="16"/>
        <v>0</v>
      </c>
      <c r="G63" s="37">
        <f t="shared" si="16"/>
        <v>0</v>
      </c>
      <c r="H63" s="37">
        <f>H36</f>
        <v>74</v>
      </c>
      <c r="I63" s="7"/>
      <c r="J63" s="7"/>
      <c r="K63" s="37">
        <v>69</v>
      </c>
      <c r="M63" s="37">
        <f t="shared" si="1"/>
        <v>5</v>
      </c>
      <c r="N63" s="7"/>
    </row>
    <row r="64" spans="1:14" x14ac:dyDescent="0.25">
      <c r="A64" s="38" t="s">
        <v>73</v>
      </c>
      <c r="B64" s="39">
        <f>B61</f>
        <v>46</v>
      </c>
      <c r="C64" s="39">
        <f t="shared" ref="C64:H64" si="17">C61</f>
        <v>6</v>
      </c>
      <c r="D64" s="39">
        <f t="shared" si="17"/>
        <v>6</v>
      </c>
      <c r="E64" s="39">
        <f t="shared" si="17"/>
        <v>0</v>
      </c>
      <c r="F64" s="39">
        <f t="shared" si="17"/>
        <v>11</v>
      </c>
      <c r="G64" s="39">
        <f t="shared" si="17"/>
        <v>4</v>
      </c>
      <c r="H64" s="39">
        <f t="shared" si="17"/>
        <v>73</v>
      </c>
      <c r="I64" s="7"/>
      <c r="J64" s="7"/>
      <c r="K64" s="39">
        <v>72</v>
      </c>
      <c r="M64" s="39">
        <f t="shared" si="1"/>
        <v>1</v>
      </c>
      <c r="N64" s="7"/>
    </row>
    <row r="65" spans="1:14" ht="15.75" thickBot="1" x14ac:dyDescent="0.3">
      <c r="A65" s="40" t="s">
        <v>74</v>
      </c>
      <c r="B65" s="41">
        <f>SUM(B63:B64)</f>
        <v>113</v>
      </c>
      <c r="C65" s="41">
        <f t="shared" ref="C65:H65" si="18">SUM(C63:C64)</f>
        <v>13</v>
      </c>
      <c r="D65" s="41">
        <f t="shared" si="18"/>
        <v>6</v>
      </c>
      <c r="E65" s="41">
        <f t="shared" si="18"/>
        <v>0</v>
      </c>
      <c r="F65" s="41">
        <f t="shared" si="18"/>
        <v>11</v>
      </c>
      <c r="G65" s="41">
        <f t="shared" si="18"/>
        <v>4</v>
      </c>
      <c r="H65" s="41">
        <f t="shared" si="18"/>
        <v>147</v>
      </c>
      <c r="I65" s="7"/>
      <c r="J65" s="7"/>
      <c r="K65" s="41">
        <v>141</v>
      </c>
      <c r="M65" s="41">
        <f t="shared" si="1"/>
        <v>6</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75</v>
      </c>
      <c r="B67" s="44"/>
      <c r="C67" s="44"/>
      <c r="D67" s="44"/>
      <c r="E67" s="44"/>
      <c r="F67" s="44"/>
      <c r="G67" s="44"/>
      <c r="H67" s="45">
        <f>H142/(H211+H213+H214+H215+H216+H217)</f>
        <v>0.59351502709971637</v>
      </c>
      <c r="I67" s="7"/>
      <c r="J67" s="7"/>
      <c r="K67" s="45">
        <v>0.59032980550714187</v>
      </c>
      <c r="M67" s="45">
        <f t="shared" si="19"/>
        <v>3.1852215925745053E-3</v>
      </c>
      <c r="N67" s="7"/>
    </row>
    <row r="68" spans="1:14" x14ac:dyDescent="0.25">
      <c r="A68" s="43" t="s">
        <v>76</v>
      </c>
      <c r="B68" s="44"/>
      <c r="C68" s="44"/>
      <c r="D68" s="44"/>
      <c r="E68" s="44"/>
      <c r="F68" s="44"/>
      <c r="G68" s="44"/>
      <c r="H68" s="45">
        <f>(H114+H115+H118+H128)/H132</f>
        <v>0.68826192931990493</v>
      </c>
      <c r="I68" s="7"/>
      <c r="J68" s="7"/>
      <c r="K68" s="45">
        <v>0.67149952780569422</v>
      </c>
      <c r="M68" s="45">
        <f t="shared" si="19"/>
        <v>1.6762401514210712E-2</v>
      </c>
      <c r="N68" s="7"/>
    </row>
    <row r="69" spans="1:14" x14ac:dyDescent="0.25">
      <c r="A69" s="43" t="s">
        <v>77</v>
      </c>
      <c r="B69" s="44"/>
      <c r="C69" s="44"/>
      <c r="D69" s="44"/>
      <c r="E69" s="44"/>
      <c r="F69" s="44"/>
      <c r="G69" s="44"/>
      <c r="H69" s="45">
        <f>(H107+H108+H109+H112+H116+H117+H119+H120++H123+H124+H125+H126+H127+H129+H130)/H132</f>
        <v>0.26093469901966088</v>
      </c>
      <c r="I69" s="7"/>
      <c r="J69" s="7"/>
      <c r="K69" s="45">
        <v>0.27478253812109416</v>
      </c>
      <c r="M69" s="45">
        <f t="shared" si="19"/>
        <v>-1.3847839101433279E-2</v>
      </c>
      <c r="N69" s="7"/>
    </row>
    <row r="70" spans="1:14" x14ac:dyDescent="0.25">
      <c r="A70" s="43" t="s">
        <v>78</v>
      </c>
      <c r="B70" s="44"/>
      <c r="C70" s="44"/>
      <c r="D70" s="44"/>
      <c r="E70" s="44"/>
      <c r="F70" s="44"/>
      <c r="G70" s="44"/>
      <c r="H70" s="45">
        <f>(H213+H214+H215+H216)/(H97)</f>
        <v>0.13571410120313795</v>
      </c>
      <c r="I70" s="7"/>
      <c r="J70" s="7"/>
      <c r="K70" s="45">
        <v>0.14569969339964839</v>
      </c>
      <c r="M70" s="45">
        <f t="shared" si="19"/>
        <v>-9.9855921965104344E-3</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79</v>
      </c>
      <c r="B72" s="47" t="str">
        <f>B1</f>
        <v>Operating</v>
      </c>
      <c r="C72" s="47" t="str">
        <f>C1</f>
        <v>SPED</v>
      </c>
      <c r="D72" s="47" t="str">
        <f>D1</f>
        <v>NSLP</v>
      </c>
      <c r="E72" s="47" t="str">
        <f t="shared" ref="E72:G72" si="20">E1</f>
        <v>Other</v>
      </c>
      <c r="F72" s="47" t="str">
        <f t="shared" si="20"/>
        <v>Title I</v>
      </c>
      <c r="G72" s="47" t="str">
        <f t="shared" si="20"/>
        <v>Title II/III/IV</v>
      </c>
      <c r="H72" s="47" t="str">
        <f>H1</f>
        <v>Total (27-28)</v>
      </c>
      <c r="I72" s="18"/>
      <c r="J72" s="7"/>
      <c r="K72" s="47" t="s">
        <v>239</v>
      </c>
      <c r="M72" s="47" t="str">
        <f>M1</f>
        <v>Variance</v>
      </c>
      <c r="N72" s="7"/>
    </row>
    <row r="73" spans="1:14" x14ac:dyDescent="0.25">
      <c r="A73" s="48" t="s">
        <v>80</v>
      </c>
      <c r="B73" s="49"/>
      <c r="C73" s="49"/>
      <c r="D73" s="49"/>
      <c r="E73" s="49"/>
      <c r="F73" s="49"/>
      <c r="G73" s="49"/>
      <c r="H73" s="50"/>
      <c r="I73" s="16"/>
      <c r="J73" s="7"/>
      <c r="K73" s="50"/>
      <c r="M73" s="50">
        <f t="shared" si="19"/>
        <v>0</v>
      </c>
      <c r="N73" s="7"/>
    </row>
    <row r="74" spans="1:14" x14ac:dyDescent="0.25">
      <c r="A74" s="30" t="s">
        <v>81</v>
      </c>
      <c r="B74" s="51">
        <f>(B2*B3)</f>
        <v>16782350.414759997</v>
      </c>
      <c r="C74" s="51"/>
      <c r="D74" s="51"/>
      <c r="E74" s="51"/>
      <c r="F74" s="51"/>
      <c r="G74" s="51"/>
      <c r="H74" s="52">
        <f t="shared" ref="H74:H79" si="21">SUM(B74:G74)</f>
        <v>16782350.414759997</v>
      </c>
      <c r="I74" s="11"/>
      <c r="K74" s="10">
        <v>15284418.3639</v>
      </c>
      <c r="M74" s="52">
        <f t="shared" si="19"/>
        <v>1497932.050859997</v>
      </c>
    </row>
    <row r="75" spans="1:14" x14ac:dyDescent="0.25">
      <c r="A75" s="30" t="s">
        <v>82</v>
      </c>
      <c r="B75" s="35">
        <f>4236*B21</f>
        <v>1486836</v>
      </c>
      <c r="C75" s="35"/>
      <c r="D75" s="35"/>
      <c r="E75" s="35"/>
      <c r="F75" s="35"/>
      <c r="G75" s="35"/>
      <c r="H75" s="5">
        <f t="shared" si="21"/>
        <v>1486836</v>
      </c>
      <c r="I75" s="6">
        <v>4236</v>
      </c>
      <c r="J75" s="60"/>
      <c r="K75" s="10">
        <v>1380936</v>
      </c>
      <c r="M75" s="5">
        <f t="shared" si="19"/>
        <v>105900</v>
      </c>
      <c r="N75" s="60"/>
    </row>
    <row r="76" spans="1:14" x14ac:dyDescent="0.25">
      <c r="A76" s="30" t="s">
        <v>83</v>
      </c>
      <c r="B76" s="5">
        <f>1075*B22</f>
        <v>0</v>
      </c>
      <c r="C76" s="5"/>
      <c r="D76" s="5"/>
      <c r="E76" s="5"/>
      <c r="F76" s="5"/>
      <c r="G76" s="5"/>
      <c r="H76" s="5">
        <f t="shared" si="21"/>
        <v>0</v>
      </c>
      <c r="I76" s="6">
        <v>1129</v>
      </c>
      <c r="J76" s="60"/>
      <c r="K76" s="10">
        <v>0</v>
      </c>
      <c r="M76" s="5">
        <f t="shared" si="19"/>
        <v>0</v>
      </c>
      <c r="N76" s="60"/>
    </row>
    <row r="77" spans="1:14" x14ac:dyDescent="0.25">
      <c r="A77" s="30" t="s">
        <v>84</v>
      </c>
      <c r="B77" s="10">
        <f>3295*B24</f>
        <v>362450</v>
      </c>
      <c r="C77" s="5"/>
      <c r="D77" s="35"/>
      <c r="E77" s="5"/>
      <c r="F77" s="5"/>
      <c r="G77" s="5"/>
      <c r="H77" s="5">
        <f t="shared" si="21"/>
        <v>362450</v>
      </c>
      <c r="I77" s="6">
        <v>3295</v>
      </c>
      <c r="K77" s="10">
        <v>352565</v>
      </c>
      <c r="M77" s="5">
        <f t="shared" si="19"/>
        <v>9885</v>
      </c>
    </row>
    <row r="78" spans="1:14" x14ac:dyDescent="0.25">
      <c r="A78" s="30" t="s">
        <v>85</v>
      </c>
      <c r="B78" s="35"/>
      <c r="C78" s="35">
        <v>257639</v>
      </c>
      <c r="D78" s="35"/>
      <c r="E78" s="35"/>
      <c r="F78" s="35"/>
      <c r="G78" s="35"/>
      <c r="H78" s="35">
        <f t="shared" si="21"/>
        <v>257639</v>
      </c>
      <c r="I78" s="6" t="s">
        <v>232</v>
      </c>
      <c r="J78" s="129"/>
      <c r="K78" s="10">
        <v>257639</v>
      </c>
      <c r="M78" s="35">
        <f t="shared" si="19"/>
        <v>0</v>
      </c>
      <c r="N78" s="129"/>
    </row>
    <row r="79" spans="1:14" x14ac:dyDescent="0.25">
      <c r="A79" s="30" t="s">
        <v>86</v>
      </c>
      <c r="B79" s="35">
        <v>0</v>
      </c>
      <c r="C79" s="35">
        <f>3840*C20</f>
        <v>468624.90566037735</v>
      </c>
      <c r="D79" s="35">
        <f>B79/12</f>
        <v>0</v>
      </c>
      <c r="E79" s="35"/>
      <c r="F79" s="35"/>
      <c r="G79" s="35"/>
      <c r="H79" s="35">
        <f t="shared" si="21"/>
        <v>468624.90566037735</v>
      </c>
      <c r="I79" s="6">
        <v>3840</v>
      </c>
      <c r="J79" s="129"/>
      <c r="K79" s="10">
        <v>433199.09433962265</v>
      </c>
      <c r="M79" s="35">
        <f t="shared" si="19"/>
        <v>35425.811320754699</v>
      </c>
      <c r="N79" s="129"/>
    </row>
    <row r="80" spans="1:14" x14ac:dyDescent="0.25">
      <c r="A80" s="55" t="s">
        <v>87</v>
      </c>
      <c r="B80" s="56">
        <f>SUM(B74:B79)</f>
        <v>18631636.414759997</v>
      </c>
      <c r="C80" s="56">
        <f>SUM(C74:C79)</f>
        <v>726263.90566037735</v>
      </c>
      <c r="D80" s="56">
        <f>SUM(D74:D79)</f>
        <v>0</v>
      </c>
      <c r="E80" s="56"/>
      <c r="F80" s="56"/>
      <c r="G80" s="56"/>
      <c r="H80" s="56">
        <f>SUM(H74:H79)</f>
        <v>19357900.320420373</v>
      </c>
      <c r="I80" s="7"/>
      <c r="J80" s="7"/>
      <c r="K80" s="56">
        <v>17708757.458239622</v>
      </c>
      <c r="M80" s="56">
        <f t="shared" si="19"/>
        <v>1649142.8621807508</v>
      </c>
      <c r="N80" s="7"/>
    </row>
    <row r="81" spans="1:14" x14ac:dyDescent="0.25">
      <c r="A81" s="57" t="s">
        <v>88</v>
      </c>
      <c r="B81" s="49"/>
      <c r="C81" s="49"/>
      <c r="D81" s="49"/>
      <c r="E81" s="49"/>
      <c r="F81" s="49"/>
      <c r="G81" s="49"/>
      <c r="H81" s="50"/>
      <c r="I81" s="7"/>
      <c r="J81" s="7"/>
      <c r="K81" s="50"/>
      <c r="M81" s="50">
        <f t="shared" si="19"/>
        <v>0</v>
      </c>
      <c r="N81" s="7"/>
    </row>
    <row r="82" spans="1:14" x14ac:dyDescent="0.25">
      <c r="A82" s="30" t="s">
        <v>89</v>
      </c>
      <c r="B82" s="5"/>
      <c r="C82" s="5">
        <f>C20*1171</f>
        <v>142906.18867924527</v>
      </c>
      <c r="D82" s="5"/>
      <c r="E82" s="5"/>
      <c r="F82" s="5"/>
      <c r="G82" s="5"/>
      <c r="H82" s="5">
        <f t="shared" ref="H82:H89" si="22">SUM(B82:G82)</f>
        <v>142906.18867924527</v>
      </c>
      <c r="I82" s="6">
        <f>H82/H20</f>
        <v>1171</v>
      </c>
      <c r="J82" s="60"/>
      <c r="K82" s="10">
        <v>132103.16132075471</v>
      </c>
      <c r="M82" s="5">
        <f t="shared" si="19"/>
        <v>10803.027358490566</v>
      </c>
      <c r="N82" s="60"/>
    </row>
    <row r="83" spans="1:14" x14ac:dyDescent="0.25">
      <c r="A83" s="30" t="s">
        <v>90</v>
      </c>
      <c r="B83" s="5"/>
      <c r="C83" s="5"/>
      <c r="D83" s="10">
        <f>((B17*D23*0.5)*2.28*180)</f>
        <v>344735.99999999994</v>
      </c>
      <c r="E83" s="5"/>
      <c r="F83" s="5"/>
      <c r="G83" s="5"/>
      <c r="H83" s="5">
        <f t="shared" si="22"/>
        <v>344735.99999999994</v>
      </c>
      <c r="I83" s="58">
        <v>2.2799999999999998</v>
      </c>
      <c r="J83" s="130"/>
      <c r="K83" s="10">
        <v>318675.59999999998</v>
      </c>
      <c r="M83" s="5">
        <f t="shared" si="19"/>
        <v>26060.399999999965</v>
      </c>
      <c r="N83" s="130"/>
    </row>
    <row r="84" spans="1:14" x14ac:dyDescent="0.25">
      <c r="A84" s="30" t="s">
        <v>91</v>
      </c>
      <c r="B84" s="35"/>
      <c r="C84" s="35"/>
      <c r="D84" s="10">
        <f>((B17*D23*0.5)*4.33*180)</f>
        <v>654696</v>
      </c>
      <c r="E84" s="35"/>
      <c r="F84" s="35"/>
      <c r="G84" s="35"/>
      <c r="H84" s="5">
        <f t="shared" si="22"/>
        <v>654696</v>
      </c>
      <c r="I84" s="58">
        <v>4.33</v>
      </c>
      <c r="J84" s="130"/>
      <c r="K84" s="10">
        <v>605204.1</v>
      </c>
      <c r="M84" s="5">
        <f t="shared" si="19"/>
        <v>49491.900000000023</v>
      </c>
      <c r="N84" s="130"/>
    </row>
    <row r="85" spans="1:14" x14ac:dyDescent="0.25">
      <c r="A85" s="30" t="s">
        <v>5</v>
      </c>
      <c r="B85" s="35"/>
      <c r="C85" s="35"/>
      <c r="D85" s="35"/>
      <c r="E85" s="135"/>
      <c r="F85" s="135">
        <f>449515.49</f>
        <v>449515.49</v>
      </c>
      <c r="G85" s="135"/>
      <c r="H85" s="5">
        <f t="shared" si="22"/>
        <v>449515.49</v>
      </c>
      <c r="I85" s="6"/>
      <c r="J85" s="60"/>
      <c r="K85" s="10">
        <v>449515.49</v>
      </c>
      <c r="M85" s="5">
        <f t="shared" si="19"/>
        <v>0</v>
      </c>
      <c r="N85" s="60"/>
    </row>
    <row r="86" spans="1:14" x14ac:dyDescent="0.25">
      <c r="A86" s="30" t="s">
        <v>92</v>
      </c>
      <c r="B86" s="35"/>
      <c r="C86" s="35"/>
      <c r="D86" s="35"/>
      <c r="E86" s="135"/>
      <c r="F86" s="135"/>
      <c r="G86" s="135">
        <v>42068.59</v>
      </c>
      <c r="H86" s="5">
        <f t="shared" si="22"/>
        <v>42068.59</v>
      </c>
      <c r="I86" s="6"/>
      <c r="J86" s="60"/>
      <c r="K86" s="10">
        <v>42068.59</v>
      </c>
      <c r="M86" s="5">
        <f t="shared" si="19"/>
        <v>0</v>
      </c>
      <c r="N86" s="60"/>
    </row>
    <row r="87" spans="1:14" x14ac:dyDescent="0.25">
      <c r="A87" s="30" t="s">
        <v>93</v>
      </c>
      <c r="B87" s="35"/>
      <c r="C87" s="35"/>
      <c r="D87" s="35"/>
      <c r="E87" s="135"/>
      <c r="F87" s="135"/>
      <c r="G87" s="135">
        <f>44196.82</f>
        <v>44196.82</v>
      </c>
      <c r="H87" s="5">
        <f t="shared" si="22"/>
        <v>44196.82</v>
      </c>
      <c r="I87" s="6"/>
      <c r="J87" s="60"/>
      <c r="K87" s="10">
        <v>44196.82</v>
      </c>
      <c r="M87" s="5">
        <f t="shared" si="19"/>
        <v>0</v>
      </c>
      <c r="N87" s="60"/>
    </row>
    <row r="88" spans="1:14" x14ac:dyDescent="0.25">
      <c r="A88" s="30" t="s">
        <v>94</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233</v>
      </c>
      <c r="B89" s="35"/>
      <c r="C89" s="35"/>
      <c r="D89" s="35"/>
      <c r="E89" s="35">
        <v>0</v>
      </c>
      <c r="F89" s="35"/>
      <c r="G89" s="35"/>
      <c r="H89" s="5">
        <f t="shared" si="22"/>
        <v>0</v>
      </c>
      <c r="I89" s="6"/>
      <c r="J89" s="60"/>
      <c r="K89" s="10">
        <v>0</v>
      </c>
      <c r="M89" s="5">
        <f t="shared" si="19"/>
        <v>0</v>
      </c>
      <c r="N89" s="60"/>
    </row>
    <row r="90" spans="1:14" x14ac:dyDescent="0.25">
      <c r="A90" s="55" t="s">
        <v>96</v>
      </c>
      <c r="B90" s="56">
        <f t="shared" ref="B90:H90" si="23">SUM(B82:B89)</f>
        <v>0</v>
      </c>
      <c r="C90" s="56">
        <f t="shared" si="23"/>
        <v>142906.18867924527</v>
      </c>
      <c r="D90" s="56">
        <f t="shared" si="23"/>
        <v>999432</v>
      </c>
      <c r="E90" s="56">
        <f t="shared" si="23"/>
        <v>0</v>
      </c>
      <c r="F90" s="56">
        <f t="shared" si="23"/>
        <v>449515.49</v>
      </c>
      <c r="G90" s="56">
        <f t="shared" si="23"/>
        <v>116889.81</v>
      </c>
      <c r="H90" s="56">
        <f t="shared" si="23"/>
        <v>1708743.4886792453</v>
      </c>
      <c r="I90" s="7"/>
      <c r="J90" s="7"/>
      <c r="K90" s="56">
        <v>1622388.1613207546</v>
      </c>
      <c r="M90" s="56">
        <f t="shared" si="19"/>
        <v>86355.327358490787</v>
      </c>
      <c r="N90" s="7"/>
    </row>
    <row r="91" spans="1:14" x14ac:dyDescent="0.25">
      <c r="A91" s="57" t="s">
        <v>97</v>
      </c>
      <c r="B91" s="49"/>
      <c r="C91" s="49"/>
      <c r="D91" s="49"/>
      <c r="E91" s="49"/>
      <c r="F91" s="49"/>
      <c r="G91" s="49"/>
      <c r="H91" s="50"/>
      <c r="I91" s="7"/>
      <c r="J91" s="7"/>
      <c r="K91" s="50"/>
      <c r="M91" s="50">
        <f t="shared" si="19"/>
        <v>0</v>
      </c>
      <c r="N91" s="7"/>
    </row>
    <row r="92" spans="1:14" x14ac:dyDescent="0.25">
      <c r="A92" s="30" t="s">
        <v>98</v>
      </c>
      <c r="B92" s="5"/>
      <c r="C92" s="5"/>
      <c r="D92" s="5"/>
      <c r="E92" s="5"/>
      <c r="F92" s="5"/>
      <c r="G92" s="5"/>
      <c r="H92" s="5">
        <f>SUM(B92:G92)</f>
        <v>0</v>
      </c>
      <c r="I92" s="11"/>
      <c r="K92" s="10">
        <v>0</v>
      </c>
      <c r="M92" s="5">
        <f t="shared" si="19"/>
        <v>0</v>
      </c>
    </row>
    <row r="93" spans="1:14" x14ac:dyDescent="0.25">
      <c r="A93" s="30" t="s">
        <v>99</v>
      </c>
      <c r="B93" s="10"/>
      <c r="C93" s="10"/>
      <c r="D93" s="10"/>
      <c r="E93" s="10">
        <f>ROUND((((B17-'26-27'!B17)/'26-27'!B17)+1)*'26-27'!E93,-2)</f>
        <v>317000</v>
      </c>
      <c r="F93" s="10"/>
      <c r="G93" s="10"/>
      <c r="H93" s="5">
        <f>SUM(B93:G93)</f>
        <v>317000</v>
      </c>
      <c r="I93" s="11"/>
      <c r="K93" s="10">
        <v>293000</v>
      </c>
      <c r="M93" s="5">
        <f t="shared" si="19"/>
        <v>24000</v>
      </c>
    </row>
    <row r="94" spans="1:14" x14ac:dyDescent="0.25">
      <c r="A94" s="30" t="s">
        <v>100</v>
      </c>
      <c r="B94" s="35"/>
      <c r="C94" s="35"/>
      <c r="D94" s="35"/>
      <c r="E94" s="35"/>
      <c r="F94" s="35"/>
      <c r="G94" s="35"/>
      <c r="H94" s="35">
        <f>SUM(B94:G94)</f>
        <v>0</v>
      </c>
      <c r="I94" s="11"/>
      <c r="K94" s="10">
        <v>0</v>
      </c>
      <c r="M94" s="35">
        <f t="shared" si="19"/>
        <v>0</v>
      </c>
    </row>
    <row r="95" spans="1:14" x14ac:dyDescent="0.25">
      <c r="A95" s="30" t="s">
        <v>101</v>
      </c>
      <c r="B95" s="35"/>
      <c r="C95" s="35"/>
      <c r="D95" s="35"/>
      <c r="E95" s="35"/>
      <c r="F95" s="35"/>
      <c r="G95" s="35"/>
      <c r="H95" s="35">
        <f>SUM(B95:G95)</f>
        <v>0</v>
      </c>
      <c r="I95" s="11"/>
      <c r="K95" s="10">
        <v>0</v>
      </c>
      <c r="M95" s="35">
        <f t="shared" si="19"/>
        <v>0</v>
      </c>
    </row>
    <row r="96" spans="1:14" x14ac:dyDescent="0.25">
      <c r="A96" s="55" t="s">
        <v>102</v>
      </c>
      <c r="B96" s="56">
        <f>SUM(B92:B95)</f>
        <v>0</v>
      </c>
      <c r="C96" s="56">
        <f t="shared" ref="C96:G96" si="24">SUM(C92:C95)</f>
        <v>0</v>
      </c>
      <c r="D96" s="56">
        <f t="shared" si="24"/>
        <v>0</v>
      </c>
      <c r="E96" s="56">
        <f t="shared" si="24"/>
        <v>317000</v>
      </c>
      <c r="F96" s="56">
        <f t="shared" si="24"/>
        <v>0</v>
      </c>
      <c r="G96" s="56">
        <f t="shared" si="24"/>
        <v>0</v>
      </c>
      <c r="H96" s="56">
        <f>SUM(H92:H95)</f>
        <v>317000</v>
      </c>
      <c r="I96" s="7"/>
      <c r="J96" s="7"/>
      <c r="K96" s="56">
        <v>293000</v>
      </c>
      <c r="M96" s="56">
        <f t="shared" si="19"/>
        <v>24000</v>
      </c>
      <c r="N96" s="7"/>
    </row>
    <row r="97" spans="1:14" x14ac:dyDescent="0.25">
      <c r="A97" s="62" t="s">
        <v>103</v>
      </c>
      <c r="B97" s="63">
        <f>B80+B90+B96</f>
        <v>18631636.414759997</v>
      </c>
      <c r="C97" s="63">
        <f t="shared" ref="C97:H97" si="25">C80+C90+C96</f>
        <v>869170.09433962265</v>
      </c>
      <c r="D97" s="63">
        <f t="shared" si="25"/>
        <v>999432</v>
      </c>
      <c r="E97" s="63">
        <f t="shared" si="25"/>
        <v>317000</v>
      </c>
      <c r="F97" s="63">
        <f t="shared" si="25"/>
        <v>449515.49</v>
      </c>
      <c r="G97" s="63">
        <f t="shared" si="25"/>
        <v>116889.81</v>
      </c>
      <c r="H97" s="63">
        <f t="shared" si="25"/>
        <v>21383643.809099618</v>
      </c>
      <c r="I97" s="7"/>
      <c r="J97" s="7"/>
      <c r="K97" s="63">
        <v>19624145.619560376</v>
      </c>
      <c r="M97" s="63">
        <f t="shared" si="19"/>
        <v>1759498.1895392425</v>
      </c>
      <c r="N97" s="7"/>
    </row>
    <row r="98" spans="1:14" x14ac:dyDescent="0.25">
      <c r="A98" s="57" t="s">
        <v>104</v>
      </c>
      <c r="B98" s="49"/>
      <c r="C98" s="49"/>
      <c r="D98" s="49"/>
      <c r="E98" s="49"/>
      <c r="F98" s="49"/>
      <c r="G98" s="49"/>
      <c r="H98" s="50"/>
      <c r="I98" s="7"/>
      <c r="J98" s="7"/>
      <c r="K98" s="50"/>
      <c r="M98" s="50">
        <f t="shared" si="19"/>
        <v>0</v>
      </c>
      <c r="N98" s="7"/>
    </row>
    <row r="99" spans="1:14" x14ac:dyDescent="0.25">
      <c r="A99" s="30" t="s">
        <v>105</v>
      </c>
      <c r="B99" s="5">
        <v>0</v>
      </c>
      <c r="C99" s="5">
        <v>0</v>
      </c>
      <c r="D99" s="5">
        <v>0</v>
      </c>
      <c r="E99" s="5">
        <v>0</v>
      </c>
      <c r="F99" s="5">
        <v>0</v>
      </c>
      <c r="G99" s="5">
        <v>0</v>
      </c>
      <c r="H99" s="5">
        <f>SUM(B99:G99)</f>
        <v>0</v>
      </c>
      <c r="I99" s="11"/>
      <c r="J99" s="7"/>
      <c r="K99" s="10">
        <v>0</v>
      </c>
      <c r="M99" s="5">
        <f t="shared" si="19"/>
        <v>0</v>
      </c>
      <c r="N99" s="7"/>
    </row>
    <row r="100" spans="1:14" x14ac:dyDescent="0.25">
      <c r="A100" s="30" t="s">
        <v>106</v>
      </c>
      <c r="B100" s="10">
        <v>0</v>
      </c>
      <c r="C100" s="10">
        <v>0</v>
      </c>
      <c r="D100" s="10">
        <v>0</v>
      </c>
      <c r="E100" s="10">
        <v>150000</v>
      </c>
      <c r="F100" s="10">
        <v>0</v>
      </c>
      <c r="G100" s="10">
        <v>0</v>
      </c>
      <c r="H100" s="5">
        <f>SUM(B100:G100)</f>
        <v>150000</v>
      </c>
      <c r="I100" s="11" t="s">
        <v>107</v>
      </c>
      <c r="J100" s="7"/>
      <c r="K100" s="10">
        <v>150000</v>
      </c>
      <c r="M100" s="5">
        <f t="shared" si="19"/>
        <v>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110</v>
      </c>
      <c r="B103" s="56">
        <f>SUM(B99:B102)</f>
        <v>0</v>
      </c>
      <c r="C103" s="56">
        <f t="shared" ref="C103:G103" si="26">SUM(C99:C102)</f>
        <v>0</v>
      </c>
      <c r="D103" s="56">
        <f t="shared" si="26"/>
        <v>0</v>
      </c>
      <c r="E103" s="56">
        <f t="shared" si="26"/>
        <v>150000</v>
      </c>
      <c r="F103" s="56">
        <f t="shared" si="26"/>
        <v>0</v>
      </c>
      <c r="G103" s="56">
        <f t="shared" si="26"/>
        <v>0</v>
      </c>
      <c r="H103" s="56">
        <f>SUM(H99:H102)</f>
        <v>150000</v>
      </c>
      <c r="I103" s="16"/>
      <c r="J103" s="7"/>
      <c r="K103" s="56">
        <v>150000</v>
      </c>
      <c r="M103" s="56">
        <f t="shared" si="19"/>
        <v>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111</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(27-28)</v>
      </c>
      <c r="I105" s="7"/>
      <c r="J105" s="7"/>
      <c r="K105" s="65" t="s">
        <v>239</v>
      </c>
      <c r="M105" s="65" t="str">
        <f t="shared" ref="M105" si="28">M1</f>
        <v>Variance</v>
      </c>
      <c r="N105" s="7"/>
    </row>
    <row r="106" spans="1:14" x14ac:dyDescent="0.25">
      <c r="A106" s="48" t="s">
        <v>112</v>
      </c>
      <c r="B106" s="49"/>
      <c r="C106" s="49"/>
      <c r="D106" s="49"/>
      <c r="E106" s="49"/>
      <c r="F106" s="49"/>
      <c r="G106" s="49"/>
      <c r="H106" s="50"/>
      <c r="I106" s="7"/>
      <c r="J106" s="7"/>
      <c r="K106" s="50"/>
      <c r="M106" s="50">
        <f t="shared" si="19"/>
        <v>0</v>
      </c>
      <c r="N106" s="7"/>
    </row>
    <row r="107" spans="1:14" x14ac:dyDescent="0.25">
      <c r="A107" s="30" t="s">
        <v>49</v>
      </c>
      <c r="B107" s="10">
        <f>'26-27'!B107*1.015</f>
        <v>144231.5</v>
      </c>
      <c r="C107" s="10">
        <f>'26-27'!C107*1.015</f>
        <v>0</v>
      </c>
      <c r="D107" s="10">
        <f>'26-27'!D107*1.015</f>
        <v>0</v>
      </c>
      <c r="E107" s="10">
        <f>'26-27'!E107*1.015</f>
        <v>0</v>
      </c>
      <c r="F107" s="10">
        <f>'26-27'!F107*1.015</f>
        <v>0</v>
      </c>
      <c r="G107" s="10">
        <f>'26-27'!G107*1.015</f>
        <v>0</v>
      </c>
      <c r="H107" s="5">
        <f t="shared" ref="H107:H120" si="29">SUM(B107:G107)</f>
        <v>144231.5</v>
      </c>
      <c r="I107" s="11"/>
      <c r="K107" s="10">
        <v>142100</v>
      </c>
      <c r="M107" s="5">
        <f t="shared" si="19"/>
        <v>2131.5</v>
      </c>
    </row>
    <row r="108" spans="1:14" x14ac:dyDescent="0.25">
      <c r="A108" s="30" t="s">
        <v>113</v>
      </c>
      <c r="B108" s="10">
        <f>'26-27'!B108*1.015</f>
        <v>384995.0824999999</v>
      </c>
      <c r="C108" s="10">
        <f>'26-27'!C108*1.015</f>
        <v>0</v>
      </c>
      <c r="D108" s="10">
        <f>'26-27'!D108*1.015</f>
        <v>0</v>
      </c>
      <c r="E108" s="10">
        <f>'26-27'!E108*1.015</f>
        <v>0</v>
      </c>
      <c r="F108" s="10">
        <f>'26-27'!F108*1.015</f>
        <v>0</v>
      </c>
      <c r="G108" s="10">
        <f>'26-27'!G108*1.015</f>
        <v>0</v>
      </c>
      <c r="H108" s="5">
        <f t="shared" si="29"/>
        <v>384995.0824999999</v>
      </c>
      <c r="I108" s="11"/>
      <c r="K108" s="10">
        <v>379305.49999999994</v>
      </c>
      <c r="M108" s="5">
        <f t="shared" si="19"/>
        <v>5689.5824999999604</v>
      </c>
    </row>
    <row r="109" spans="1:14" x14ac:dyDescent="0.25">
      <c r="A109" s="30" t="s">
        <v>114</v>
      </c>
      <c r="B109" s="10">
        <f>'26-27'!B109*1.015</f>
        <v>71456.405999999988</v>
      </c>
      <c r="C109" s="10">
        <f>'26-27'!C109*1.015</f>
        <v>0</v>
      </c>
      <c r="D109" s="10">
        <f>'26-27'!D109*1.015</f>
        <v>0</v>
      </c>
      <c r="E109" s="10">
        <f>'26-27'!E109*1.015</f>
        <v>0</v>
      </c>
      <c r="F109" s="10">
        <f>'26-27'!F109*1.015</f>
        <v>97871.374999999971</v>
      </c>
      <c r="G109" s="10">
        <f>'26-27'!G109*1.015</f>
        <v>0</v>
      </c>
      <c r="H109" s="5">
        <f t="shared" si="29"/>
        <v>169327.78099999996</v>
      </c>
      <c r="I109" s="11"/>
      <c r="K109" s="10">
        <v>166825.39999999997</v>
      </c>
      <c r="M109" s="5">
        <f t="shared" si="19"/>
        <v>2502.3809999999939</v>
      </c>
    </row>
    <row r="110" spans="1:14" x14ac:dyDescent="0.25">
      <c r="A110" s="31" t="s">
        <v>52</v>
      </c>
      <c r="B110" s="10">
        <f>'26-27'!B110*1.015</f>
        <v>88269.677999999985</v>
      </c>
      <c r="C110" s="10">
        <f>'26-27'!C110*1.015</f>
        <v>0</v>
      </c>
      <c r="D110" s="10">
        <f>'26-27'!D110*1.015</f>
        <v>0</v>
      </c>
      <c r="E110" s="10">
        <f>'26-27'!E110*1.015</f>
        <v>0</v>
      </c>
      <c r="F110" s="10">
        <f>'26-27'!F110*1.015</f>
        <v>73558.064999999988</v>
      </c>
      <c r="G110" s="10">
        <f>'26-27'!G110*1.015</f>
        <v>0</v>
      </c>
      <c r="H110" s="5">
        <f t="shared" si="29"/>
        <v>161827.74299999996</v>
      </c>
      <c r="I110" s="11"/>
      <c r="K110" s="10">
        <v>159436.20000000001</v>
      </c>
      <c r="M110" s="5">
        <f t="shared" si="19"/>
        <v>2391.5429999999469</v>
      </c>
    </row>
    <row r="111" spans="1:14" x14ac:dyDescent="0.25">
      <c r="A111" s="31" t="s">
        <v>53</v>
      </c>
      <c r="B111" s="10">
        <f>'26-27'!B111*1.015</f>
        <v>246800.70099999994</v>
      </c>
      <c r="C111" s="10">
        <f>'26-27'!C111*1.015</f>
        <v>0</v>
      </c>
      <c r="D111" s="10">
        <f>'26-27'!D111*1.015</f>
        <v>0</v>
      </c>
      <c r="E111" s="10">
        <f>'26-27'!E111*1.015</f>
        <v>0</v>
      </c>
      <c r="F111" s="10">
        <f>'26-27'!F111*1.015</f>
        <v>0</v>
      </c>
      <c r="G111" s="10">
        <f>'26-27'!G111*1.015</f>
        <v>0</v>
      </c>
      <c r="H111" s="5">
        <f t="shared" si="29"/>
        <v>246800.70099999994</v>
      </c>
      <c r="I111" s="11"/>
      <c r="K111" s="10">
        <v>243153.39999999997</v>
      </c>
      <c r="M111" s="5">
        <f t="shared" si="19"/>
        <v>3647.3009999999776</v>
      </c>
    </row>
    <row r="112" spans="1:14" x14ac:dyDescent="0.25">
      <c r="A112" s="30" t="s">
        <v>115</v>
      </c>
      <c r="B112" s="10">
        <f>'26-27'!B112*1.015</f>
        <v>145673.81499999997</v>
      </c>
      <c r="C112" s="10">
        <f>'26-27'!C112*1.015</f>
        <v>0</v>
      </c>
      <c r="D112" s="10">
        <f>'26-27'!D112*1.015</f>
        <v>0</v>
      </c>
      <c r="E112" s="10">
        <f>'26-27'!E112*1.015</f>
        <v>0</v>
      </c>
      <c r="F112" s="10">
        <f>'26-27'!F112*1.015</f>
        <v>61683.691649999986</v>
      </c>
      <c r="G112" s="10">
        <f>'26-27'!G112*1.015</f>
        <v>0</v>
      </c>
      <c r="H112" s="5">
        <f t="shared" si="29"/>
        <v>207357.50664999997</v>
      </c>
      <c r="I112" s="11"/>
      <c r="K112" s="10">
        <v>204293.11</v>
      </c>
      <c r="M112" s="5">
        <f t="shared" si="19"/>
        <v>3064.3966499999806</v>
      </c>
    </row>
    <row r="113" spans="1:17" x14ac:dyDescent="0.25">
      <c r="A113" s="30" t="s">
        <v>116</v>
      </c>
      <c r="B113" s="10">
        <f>'26-27'!B113*1.015</f>
        <v>0</v>
      </c>
      <c r="C113" s="10">
        <f>'26-27'!C113*1.015</f>
        <v>0</v>
      </c>
      <c r="D113" s="10">
        <f>'26-27'!D113*1.015</f>
        <v>0</v>
      </c>
      <c r="E113" s="10">
        <f>'26-27'!E113*1.015</f>
        <v>0</v>
      </c>
      <c r="F113" s="10">
        <f>'26-27'!F113*1.015</f>
        <v>0</v>
      </c>
      <c r="G113" s="10">
        <f>'26-27'!G113*1.015</f>
        <v>0</v>
      </c>
      <c r="H113" s="5">
        <f t="shared" si="29"/>
        <v>0</v>
      </c>
      <c r="I113" s="11"/>
      <c r="K113" s="10">
        <v>0</v>
      </c>
      <c r="M113" s="5">
        <f t="shared" si="19"/>
        <v>0</v>
      </c>
    </row>
    <row r="114" spans="1:17" x14ac:dyDescent="0.25">
      <c r="A114" s="30" t="s">
        <v>117</v>
      </c>
      <c r="B114" s="5">
        <f>64000*(B36)</f>
        <v>4288000</v>
      </c>
      <c r="C114" s="5"/>
      <c r="D114" s="5"/>
      <c r="E114" s="5"/>
      <c r="F114" s="5"/>
      <c r="G114" s="5"/>
      <c r="H114" s="5">
        <f t="shared" si="29"/>
        <v>4288000</v>
      </c>
      <c r="I114" s="11"/>
      <c r="K114" s="10">
        <v>3906000</v>
      </c>
      <c r="M114" s="5">
        <f t="shared" si="19"/>
        <v>382000</v>
      </c>
      <c r="Q114" s="7">
        <f>62000*1.015</f>
        <v>62929.999999999993</v>
      </c>
    </row>
    <row r="115" spans="1:17" x14ac:dyDescent="0.25">
      <c r="A115" s="30" t="s">
        <v>39</v>
      </c>
      <c r="B115" s="5"/>
      <c r="C115" s="5">
        <f>64000*H28</f>
        <v>448000</v>
      </c>
      <c r="D115" s="5"/>
      <c r="E115" s="5"/>
      <c r="F115" s="5"/>
      <c r="G115" s="5"/>
      <c r="H115" s="5">
        <f t="shared" si="29"/>
        <v>448000</v>
      </c>
      <c r="I115" s="11"/>
      <c r="K115" s="10">
        <v>372000</v>
      </c>
      <c r="M115" s="5">
        <f t="shared" si="19"/>
        <v>76000</v>
      </c>
    </row>
    <row r="116" spans="1:17" x14ac:dyDescent="0.25">
      <c r="A116" s="30" t="s">
        <v>118</v>
      </c>
      <c r="B116" s="10">
        <f>'26-27'!B116*1.015</f>
        <v>289941.34749999997</v>
      </c>
      <c r="C116" s="5"/>
      <c r="D116" s="5"/>
      <c r="E116" s="5"/>
      <c r="F116" s="5"/>
      <c r="G116" s="5"/>
      <c r="H116" s="5">
        <f t="shared" si="29"/>
        <v>289941.34749999997</v>
      </c>
      <c r="I116" s="11"/>
      <c r="K116" s="10">
        <v>285656.5</v>
      </c>
      <c r="M116" s="5">
        <f t="shared" si="19"/>
        <v>4284.8474999999744</v>
      </c>
    </row>
    <row r="117" spans="1:17" x14ac:dyDescent="0.25">
      <c r="A117" s="30" t="s">
        <v>119</v>
      </c>
      <c r="B117" s="10">
        <f>(19*8*190)*(B49+B48)+17640*1.015*1.015</f>
        <v>278093.16899999999</v>
      </c>
      <c r="C117" s="5"/>
      <c r="D117" s="5"/>
      <c r="E117" s="5"/>
      <c r="F117" s="5"/>
      <c r="G117" s="5"/>
      <c r="H117" s="5">
        <f t="shared" si="29"/>
        <v>278093.16899999999</v>
      </c>
      <c r="I117" s="11"/>
      <c r="K117" s="10">
        <v>270984.59999999998</v>
      </c>
      <c r="M117" s="5">
        <f t="shared" si="19"/>
        <v>7108.5690000000177</v>
      </c>
    </row>
    <row r="118" spans="1:17" x14ac:dyDescent="0.25">
      <c r="A118" s="30" t="s">
        <v>120</v>
      </c>
      <c r="B118" s="5">
        <f>(17.5*8*180)*B50</f>
        <v>302400</v>
      </c>
      <c r="C118" s="5">
        <f>(17.5*8*180)*C50</f>
        <v>126000</v>
      </c>
      <c r="D118" s="5">
        <f t="shared" ref="D118" si="30">(20*8*180)*D50</f>
        <v>0</v>
      </c>
      <c r="E118" s="5"/>
      <c r="F118" s="5">
        <f>(21.5*8*180)*F50</f>
        <v>247680</v>
      </c>
      <c r="G118" s="5">
        <f>(21.5*8*180)*G50</f>
        <v>123840</v>
      </c>
      <c r="H118" s="5">
        <f t="shared" si="29"/>
        <v>799920</v>
      </c>
      <c r="I118" s="11"/>
      <c r="K118" s="10">
        <v>754560</v>
      </c>
      <c r="M118" s="5">
        <f t="shared" si="19"/>
        <v>45360</v>
      </c>
    </row>
    <row r="119" spans="1:17" x14ac:dyDescent="0.25">
      <c r="A119" s="30" t="s">
        <v>121</v>
      </c>
      <c r="B119" s="10">
        <f>(21.5*8*240)*B51+(20000+4000+10640)*1.015*1.015</f>
        <v>283366.99400000001</v>
      </c>
      <c r="C119" s="5"/>
      <c r="D119" s="5"/>
      <c r="E119" s="5"/>
      <c r="F119" s="5"/>
      <c r="G119" s="5"/>
      <c r="H119" s="5">
        <f t="shared" si="29"/>
        <v>283366.99400000001</v>
      </c>
      <c r="I119" s="11"/>
      <c r="K119" s="10">
        <v>277079.59999999998</v>
      </c>
      <c r="M119" s="5">
        <f t="shared" si="19"/>
        <v>6287.3940000000293</v>
      </c>
    </row>
    <row r="120" spans="1:17" x14ac:dyDescent="0.25">
      <c r="A120" s="30" t="s">
        <v>62</v>
      </c>
      <c r="B120" s="5"/>
      <c r="C120" s="5"/>
      <c r="D120" s="5"/>
      <c r="E120" s="5"/>
      <c r="F120" s="5"/>
      <c r="G120" s="5"/>
      <c r="H120" s="5">
        <f t="shared" si="29"/>
        <v>0</v>
      </c>
      <c r="I120" s="11"/>
      <c r="K120" s="10">
        <v>0</v>
      </c>
      <c r="M120" s="5">
        <f t="shared" si="19"/>
        <v>0</v>
      </c>
    </row>
    <row r="121" spans="1:17" x14ac:dyDescent="0.25">
      <c r="A121" s="66" t="s">
        <v>122</v>
      </c>
      <c r="B121" s="67">
        <f>SUM(B107:B120)</f>
        <v>6523228.692999999</v>
      </c>
      <c r="C121" s="67">
        <f t="shared" ref="C121:G121" si="31">SUM(C107:C120)</f>
        <v>574000</v>
      </c>
      <c r="D121" s="67">
        <f t="shared" si="31"/>
        <v>0</v>
      </c>
      <c r="E121" s="67">
        <f t="shared" si="31"/>
        <v>0</v>
      </c>
      <c r="F121" s="67">
        <f t="shared" si="31"/>
        <v>480793.13164999994</v>
      </c>
      <c r="G121" s="67">
        <f t="shared" si="31"/>
        <v>123840</v>
      </c>
      <c r="H121" s="67">
        <f>SUM(H107:H120)</f>
        <v>7701861.8246499998</v>
      </c>
      <c r="I121" s="7"/>
      <c r="J121" s="7"/>
      <c r="K121" s="67">
        <v>7161394.3099999987</v>
      </c>
      <c r="M121" s="67">
        <f t="shared" si="19"/>
        <v>540467.51465000119</v>
      </c>
      <c r="N121" s="7"/>
    </row>
    <row r="122" spans="1:17" x14ac:dyDescent="0.25">
      <c r="A122" s="68" t="s">
        <v>123</v>
      </c>
      <c r="B122" s="49"/>
      <c r="C122" s="49"/>
      <c r="D122" s="49"/>
      <c r="E122" s="49"/>
      <c r="F122" s="49"/>
      <c r="G122" s="49"/>
      <c r="H122" s="50"/>
      <c r="I122" s="7"/>
      <c r="J122" s="7"/>
      <c r="K122" s="50"/>
      <c r="M122" s="50">
        <f t="shared" si="19"/>
        <v>0</v>
      </c>
      <c r="N122" s="7"/>
    </row>
    <row r="123" spans="1:17" x14ac:dyDescent="0.25">
      <c r="A123" s="30" t="s">
        <v>64</v>
      </c>
      <c r="B123" s="5">
        <v>0</v>
      </c>
      <c r="C123" s="10">
        <f>'26-27'!C123*1.015</f>
        <v>90371.336999999985</v>
      </c>
      <c r="D123" s="5"/>
      <c r="E123" s="5"/>
      <c r="F123" s="5"/>
      <c r="G123" s="5"/>
      <c r="H123" s="5">
        <f t="shared" ref="H123:H130" si="32">SUM(B123:G123)</f>
        <v>90371.336999999985</v>
      </c>
      <c r="I123" s="11"/>
      <c r="K123" s="10">
        <v>89035.799999999988</v>
      </c>
      <c r="M123" s="5">
        <f t="shared" si="19"/>
        <v>1335.5369999999966</v>
      </c>
    </row>
    <row r="124" spans="1:17" x14ac:dyDescent="0.25">
      <c r="A124" s="30" t="s">
        <v>65</v>
      </c>
      <c r="B124" s="5">
        <v>0</v>
      </c>
      <c r="C124" s="5">
        <v>0</v>
      </c>
      <c r="D124" s="5"/>
      <c r="E124" s="5"/>
      <c r="F124" s="5"/>
      <c r="G124" s="5"/>
      <c r="H124" s="23">
        <f t="shared" si="32"/>
        <v>0</v>
      </c>
      <c r="I124" s="11"/>
      <c r="K124" s="25">
        <v>0</v>
      </c>
      <c r="M124" s="23">
        <f t="shared" si="19"/>
        <v>0</v>
      </c>
    </row>
    <row r="125" spans="1:17" x14ac:dyDescent="0.25">
      <c r="A125" s="30" t="s">
        <v>66</v>
      </c>
      <c r="B125" s="5">
        <v>0</v>
      </c>
      <c r="C125" s="5">
        <v>0</v>
      </c>
      <c r="D125" s="5"/>
      <c r="E125" s="5"/>
      <c r="F125" s="5"/>
      <c r="G125" s="5"/>
      <c r="H125" s="5">
        <f t="shared" si="32"/>
        <v>0</v>
      </c>
      <c r="I125" s="11"/>
      <c r="K125" s="10">
        <v>0</v>
      </c>
      <c r="M125" s="5">
        <f t="shared" si="19"/>
        <v>0</v>
      </c>
    </row>
    <row r="126" spans="1:17" x14ac:dyDescent="0.25">
      <c r="A126" s="30" t="s">
        <v>124</v>
      </c>
      <c r="B126" s="5">
        <v>0</v>
      </c>
      <c r="C126" s="5"/>
      <c r="D126" s="5"/>
      <c r="E126" s="5"/>
      <c r="F126" s="5"/>
      <c r="G126" s="5"/>
      <c r="H126" s="23">
        <f t="shared" si="32"/>
        <v>0</v>
      </c>
      <c r="I126" s="11"/>
      <c r="K126" s="25">
        <v>0</v>
      </c>
      <c r="M126" s="23">
        <f t="shared" si="19"/>
        <v>0</v>
      </c>
    </row>
    <row r="127" spans="1:17" x14ac:dyDescent="0.25">
      <c r="A127" s="30" t="s">
        <v>68</v>
      </c>
      <c r="B127" s="5">
        <v>0</v>
      </c>
      <c r="C127" s="5"/>
      <c r="D127" s="5"/>
      <c r="E127" s="5"/>
      <c r="F127" s="5"/>
      <c r="G127" s="5"/>
      <c r="H127" s="23">
        <f t="shared" si="32"/>
        <v>0</v>
      </c>
      <c r="I127" s="11"/>
      <c r="K127" s="25">
        <v>0</v>
      </c>
      <c r="M127" s="23">
        <f t="shared" si="19"/>
        <v>0</v>
      </c>
    </row>
    <row r="128" spans="1:17" x14ac:dyDescent="0.25">
      <c r="A128" s="30" t="s">
        <v>125</v>
      </c>
      <c r="B128" s="5"/>
      <c r="C128" s="5"/>
      <c r="D128" s="5"/>
      <c r="E128" s="5"/>
      <c r="F128" s="5"/>
      <c r="G128" s="5"/>
      <c r="H128" s="23">
        <f t="shared" si="32"/>
        <v>0</v>
      </c>
      <c r="I128" s="11"/>
      <c r="K128" s="25">
        <v>0</v>
      </c>
      <c r="M128" s="23">
        <f t="shared" si="19"/>
        <v>0</v>
      </c>
    </row>
    <row r="129" spans="1:14" x14ac:dyDescent="0.25">
      <c r="A129" s="30" t="s">
        <v>126</v>
      </c>
      <c r="B129" s="5">
        <f>(12.5*6*185)*B52</f>
        <v>0</v>
      </c>
      <c r="C129" s="5">
        <f>(12.5*6*185)*C52</f>
        <v>0</v>
      </c>
      <c r="D129" s="5">
        <f>(17.5*8*180)*D52</f>
        <v>151200</v>
      </c>
      <c r="E129" s="5"/>
      <c r="F129" s="5"/>
      <c r="G129" s="5"/>
      <c r="H129" s="5">
        <f t="shared" si="32"/>
        <v>151200</v>
      </c>
      <c r="I129" s="11"/>
      <c r="K129" s="10">
        <v>146880</v>
      </c>
      <c r="M129" s="5">
        <f t="shared" si="19"/>
        <v>4320</v>
      </c>
    </row>
    <row r="130" spans="1:14" x14ac:dyDescent="0.25">
      <c r="A130" s="30" t="s">
        <v>69</v>
      </c>
      <c r="B130" s="35">
        <f>185*180*B59</f>
        <v>99900</v>
      </c>
      <c r="C130" s="5"/>
      <c r="D130" s="5"/>
      <c r="E130" s="5"/>
      <c r="F130" s="5"/>
      <c r="G130" s="5">
        <v>0</v>
      </c>
      <c r="H130" s="5">
        <f t="shared" si="32"/>
        <v>99900</v>
      </c>
      <c r="I130" s="11"/>
      <c r="K130" s="10">
        <v>97200</v>
      </c>
      <c r="M130" s="5">
        <f t="shared" ref="M130:M142" si="33">H130-K130</f>
        <v>2700</v>
      </c>
    </row>
    <row r="131" spans="1:14" x14ac:dyDescent="0.25">
      <c r="A131" s="69" t="s">
        <v>127</v>
      </c>
      <c r="B131" s="70">
        <f>SUM(B123:B130)</f>
        <v>99900</v>
      </c>
      <c r="C131" s="70">
        <f>SUM(C123:C130)</f>
        <v>90371.336999999985</v>
      </c>
      <c r="D131" s="70">
        <f>SUM(D123:D130)</f>
        <v>151200</v>
      </c>
      <c r="E131" s="70"/>
      <c r="F131" s="70"/>
      <c r="G131" s="70"/>
      <c r="H131" s="70">
        <f>SUM(H123:H130)</f>
        <v>341471.337</v>
      </c>
      <c r="I131" s="7"/>
      <c r="J131" s="7"/>
      <c r="K131" s="70">
        <v>333115.8</v>
      </c>
      <c r="M131" s="70">
        <f t="shared" si="33"/>
        <v>8355.5370000000112</v>
      </c>
      <c r="N131" s="7"/>
    </row>
    <row r="132" spans="1:14" x14ac:dyDescent="0.25">
      <c r="A132" s="71" t="s">
        <v>128</v>
      </c>
      <c r="B132" s="72">
        <f>B121+B131</f>
        <v>6623128.692999999</v>
      </c>
      <c r="C132" s="72">
        <f>C121+C131</f>
        <v>664371.33699999994</v>
      </c>
      <c r="D132" s="72">
        <f>D121+D131</f>
        <v>151200</v>
      </c>
      <c r="E132" s="72">
        <f t="shared" ref="E132:G132" si="34">E121+E131</f>
        <v>0</v>
      </c>
      <c r="F132" s="72">
        <f t="shared" si="34"/>
        <v>480793.13164999994</v>
      </c>
      <c r="G132" s="72">
        <f t="shared" si="34"/>
        <v>123840</v>
      </c>
      <c r="H132" s="72">
        <f>H121+H131</f>
        <v>8043333.1616500001</v>
      </c>
      <c r="I132" s="16"/>
      <c r="J132" s="7"/>
      <c r="K132" s="72">
        <v>7494510.1099999985</v>
      </c>
      <c r="M132" s="72">
        <f t="shared" si="33"/>
        <v>548823.05165000167</v>
      </c>
      <c r="N132" s="7"/>
    </row>
    <row r="133" spans="1:14" x14ac:dyDescent="0.25">
      <c r="A133" s="30" t="s">
        <v>234</v>
      </c>
      <c r="B133" s="52">
        <f>B132*0.3675</f>
        <v>2433999.7946774997</v>
      </c>
      <c r="C133" s="52">
        <f t="shared" ref="C133:G133" si="35">C132*0.3675</f>
        <v>244156.46634749998</v>
      </c>
      <c r="D133" s="52">
        <f t="shared" si="35"/>
        <v>55566</v>
      </c>
      <c r="E133" s="52">
        <f t="shared" si="35"/>
        <v>0</v>
      </c>
      <c r="F133" s="52">
        <f t="shared" si="35"/>
        <v>176691.47588137496</v>
      </c>
      <c r="G133" s="52">
        <f t="shared" si="35"/>
        <v>45511.199999999997</v>
      </c>
      <c r="H133" s="5">
        <f t="shared" ref="H133:H140" si="36">SUM(B133:G133)</f>
        <v>2955924.9369063745</v>
      </c>
      <c r="I133" s="111">
        <f>H133/H132</f>
        <v>0.36749999999999994</v>
      </c>
      <c r="J133" s="131"/>
      <c r="K133" s="10">
        <v>2754232.4654249996</v>
      </c>
      <c r="M133" s="5">
        <f t="shared" si="33"/>
        <v>201692.47148137493</v>
      </c>
      <c r="N133" s="131"/>
    </row>
    <row r="134" spans="1:14" x14ac:dyDescent="0.25">
      <c r="A134" s="123" t="s">
        <v>130</v>
      </c>
      <c r="B134" s="10">
        <f>B132*0.1525</f>
        <v>1010027.1256824998</v>
      </c>
      <c r="C134" s="10">
        <f t="shared" ref="C134:G134" si="37">C132*0.1525</f>
        <v>101316.62889249998</v>
      </c>
      <c r="D134" s="10">
        <f t="shared" si="37"/>
        <v>23058</v>
      </c>
      <c r="E134" s="10">
        <f t="shared" si="37"/>
        <v>0</v>
      </c>
      <c r="F134" s="10">
        <f t="shared" si="37"/>
        <v>73320.952576624986</v>
      </c>
      <c r="G134" s="10">
        <f t="shared" si="37"/>
        <v>18885.599999999999</v>
      </c>
      <c r="H134" s="5">
        <f t="shared" si="36"/>
        <v>1226608.3071516249</v>
      </c>
      <c r="I134" s="111">
        <f>H134/H132</f>
        <v>0.1525</v>
      </c>
      <c r="J134" s="131"/>
      <c r="K134" s="10">
        <v>1124176.5164999999</v>
      </c>
      <c r="M134" s="5">
        <f t="shared" si="33"/>
        <v>102431.79065162502</v>
      </c>
      <c r="N134" s="131"/>
    </row>
    <row r="135" spans="1:14" x14ac:dyDescent="0.25">
      <c r="A135" s="30" t="s">
        <v>131</v>
      </c>
      <c r="B135" s="5">
        <f>(B36*1250)+(B39*2500)+(B40*2000)+(SUM(B41:B47)*1750)+(SUM(B48:B59)*500)</f>
        <v>128500</v>
      </c>
      <c r="C135" s="5">
        <f t="shared" ref="C135:G135" si="38">(C36*1250)+(C39*2500)+(C40*2000)+(SUM(C41:C47)*1750)+(SUM(C48:C59)*500)</f>
        <v>11750</v>
      </c>
      <c r="D135" s="5">
        <f t="shared" si="38"/>
        <v>3000</v>
      </c>
      <c r="E135" s="5">
        <f t="shared" si="38"/>
        <v>0</v>
      </c>
      <c r="F135" s="5">
        <f t="shared" si="38"/>
        <v>8000</v>
      </c>
      <c r="G135" s="5">
        <f t="shared" si="38"/>
        <v>2000</v>
      </c>
      <c r="H135" s="5">
        <f t="shared" si="36"/>
        <v>153250</v>
      </c>
      <c r="I135" s="11"/>
      <c r="K135" s="10">
        <v>146500</v>
      </c>
      <c r="M135" s="5">
        <f t="shared" si="33"/>
        <v>6750</v>
      </c>
    </row>
    <row r="136" spans="1:14" x14ac:dyDescent="0.25">
      <c r="A136" s="123" t="s">
        <v>132</v>
      </c>
      <c r="B136" s="82">
        <f>125*B65+125*6</f>
        <v>14875</v>
      </c>
      <c r="C136" s="124">
        <f>125*C65</f>
        <v>1625</v>
      </c>
      <c r="D136" s="124">
        <f>125*D65</f>
        <v>750</v>
      </c>
      <c r="E136" s="124">
        <f>125*E65</f>
        <v>0</v>
      </c>
      <c r="F136" s="124">
        <f>125*F65</f>
        <v>1375</v>
      </c>
      <c r="G136" s="124">
        <f>125*G65</f>
        <v>500</v>
      </c>
      <c r="H136" s="5">
        <f t="shared" si="36"/>
        <v>19125</v>
      </c>
      <c r="I136" s="11"/>
      <c r="K136" s="10">
        <v>18375</v>
      </c>
      <c r="M136" s="5">
        <f t="shared" si="33"/>
        <v>750</v>
      </c>
    </row>
    <row r="137" spans="1:14" x14ac:dyDescent="0.25">
      <c r="A137" s="30" t="s">
        <v>133</v>
      </c>
      <c r="B137" s="5">
        <v>0</v>
      </c>
      <c r="C137" s="10"/>
      <c r="D137" s="10"/>
      <c r="E137" s="10">
        <v>0</v>
      </c>
      <c r="F137" s="10">
        <v>0</v>
      </c>
      <c r="G137" s="10">
        <v>0</v>
      </c>
      <c r="H137" s="5">
        <f t="shared" si="36"/>
        <v>0</v>
      </c>
      <c r="I137" s="11"/>
      <c r="K137" s="10">
        <v>0</v>
      </c>
      <c r="M137" s="5">
        <f t="shared" si="33"/>
        <v>0</v>
      </c>
    </row>
    <row r="138" spans="1:14" x14ac:dyDescent="0.25">
      <c r="A138" s="30" t="s">
        <v>134</v>
      </c>
      <c r="B138" s="5"/>
      <c r="C138" s="10"/>
      <c r="D138" s="10"/>
      <c r="E138" s="10"/>
      <c r="F138" s="10"/>
      <c r="G138" s="10"/>
      <c r="H138" s="5">
        <f t="shared" si="36"/>
        <v>0</v>
      </c>
      <c r="I138" s="11"/>
      <c r="K138" s="10">
        <v>0</v>
      </c>
      <c r="M138" s="5">
        <f t="shared" si="33"/>
        <v>0</v>
      </c>
    </row>
    <row r="139" spans="1:14" x14ac:dyDescent="0.25">
      <c r="A139" s="30" t="s">
        <v>135</v>
      </c>
      <c r="B139" s="10">
        <v>20000</v>
      </c>
      <c r="C139" s="10"/>
      <c r="D139" s="10"/>
      <c r="E139" s="10"/>
      <c r="F139" s="10"/>
      <c r="G139" s="10"/>
      <c r="H139" s="5">
        <f t="shared" si="36"/>
        <v>20000</v>
      </c>
      <c r="I139" s="11"/>
      <c r="K139" s="10">
        <v>20000</v>
      </c>
      <c r="M139" s="5">
        <f t="shared" si="33"/>
        <v>0</v>
      </c>
    </row>
    <row r="140" spans="1:14" x14ac:dyDescent="0.25">
      <c r="A140" s="30" t="s">
        <v>136</v>
      </c>
      <c r="B140" s="35">
        <f>(185*11*B36)-B130</f>
        <v>36445</v>
      </c>
      <c r="C140" s="35">
        <f t="shared" ref="C140:G140" si="39">(185*11*C36)-C130</f>
        <v>14245</v>
      </c>
      <c r="D140" s="35">
        <f t="shared" si="39"/>
        <v>0</v>
      </c>
      <c r="E140" s="35">
        <f t="shared" si="39"/>
        <v>0</v>
      </c>
      <c r="F140" s="35">
        <f t="shared" si="39"/>
        <v>0</v>
      </c>
      <c r="G140" s="35">
        <f t="shared" si="39"/>
        <v>0</v>
      </c>
      <c r="H140" s="5">
        <f t="shared" si="36"/>
        <v>50690</v>
      </c>
      <c r="I140" s="11" t="s">
        <v>137</v>
      </c>
      <c r="K140" s="10">
        <v>43215</v>
      </c>
      <c r="M140" s="5">
        <f t="shared" si="33"/>
        <v>7475</v>
      </c>
    </row>
    <row r="141" spans="1:14" x14ac:dyDescent="0.25">
      <c r="A141" s="74" t="s">
        <v>138</v>
      </c>
      <c r="B141" s="75">
        <f>SUM(B133:B140)</f>
        <v>3643846.9203599994</v>
      </c>
      <c r="C141" s="75">
        <f t="shared" ref="C141:G141" si="40">SUM(C133:C140)</f>
        <v>373093.09523999994</v>
      </c>
      <c r="D141" s="75">
        <f t="shared" si="40"/>
        <v>82374</v>
      </c>
      <c r="E141" s="75">
        <f t="shared" si="40"/>
        <v>0</v>
      </c>
      <c r="F141" s="75">
        <f t="shared" si="40"/>
        <v>259387.42845799995</v>
      </c>
      <c r="G141" s="75">
        <f t="shared" si="40"/>
        <v>66896.799999999988</v>
      </c>
      <c r="H141" s="75">
        <f>SUM(H133:H140)</f>
        <v>4425598.2440579999</v>
      </c>
      <c r="I141" s="7"/>
      <c r="J141" s="7"/>
      <c r="K141" s="75">
        <v>4106498.9819249995</v>
      </c>
      <c r="M141" s="75">
        <f t="shared" si="33"/>
        <v>319099.26213300042</v>
      </c>
      <c r="N141" s="7"/>
    </row>
    <row r="142" spans="1:14" x14ac:dyDescent="0.25">
      <c r="A142" s="71" t="s">
        <v>139</v>
      </c>
      <c r="B142" s="72">
        <f>B132+B141</f>
        <v>10266975.613359999</v>
      </c>
      <c r="C142" s="72">
        <f>C132+C141</f>
        <v>1037464.4322399999</v>
      </c>
      <c r="D142" s="72">
        <f>D132+D141</f>
        <v>233574</v>
      </c>
      <c r="E142" s="72">
        <f t="shared" ref="E142:G142" si="41">E132+E141</f>
        <v>0</v>
      </c>
      <c r="F142" s="72">
        <f t="shared" si="41"/>
        <v>740180.56010799995</v>
      </c>
      <c r="G142" s="72">
        <f t="shared" si="41"/>
        <v>190736.8</v>
      </c>
      <c r="H142" s="72">
        <f>H132+H141</f>
        <v>12468931.405708</v>
      </c>
      <c r="I142" s="7"/>
      <c r="J142" s="7"/>
      <c r="K142" s="72">
        <v>11601009.091924999</v>
      </c>
      <c r="M142" s="72">
        <f t="shared" si="33"/>
        <v>867922.31378300115</v>
      </c>
      <c r="N142" s="7"/>
    </row>
    <row r="143" spans="1:14" x14ac:dyDescent="0.25">
      <c r="A143" s="76" t="s">
        <v>140</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(27-28)</v>
      </c>
      <c r="I143" s="7"/>
      <c r="J143" s="7"/>
      <c r="K143" s="15" t="s">
        <v>239</v>
      </c>
      <c r="M143" s="15" t="str">
        <f>M1</f>
        <v>Variance</v>
      </c>
      <c r="N143" s="7"/>
    </row>
    <row r="144" spans="1:14" x14ac:dyDescent="0.25">
      <c r="A144" s="77" t="s">
        <v>141</v>
      </c>
      <c r="B144" s="10">
        <f>B17*210</f>
        <v>352800</v>
      </c>
      <c r="C144" s="10"/>
      <c r="D144" s="10"/>
      <c r="E144" s="10">
        <v>0</v>
      </c>
      <c r="F144" s="10">
        <v>0</v>
      </c>
      <c r="G144" s="10">
        <v>0</v>
      </c>
      <c r="H144" s="5">
        <f t="shared" ref="H144:H153" si="43">SUM(B144:G144)</f>
        <v>352800</v>
      </c>
      <c r="I144" s="6" t="s">
        <v>142</v>
      </c>
      <c r="K144" s="10">
        <v>326130</v>
      </c>
      <c r="M144" s="5">
        <f t="shared" ref="M144:M154" si="44">H144-K144</f>
        <v>26670</v>
      </c>
    </row>
    <row r="145" spans="1:14" x14ac:dyDescent="0.25">
      <c r="A145" s="78" t="s">
        <v>143</v>
      </c>
      <c r="B145" s="5">
        <v>0</v>
      </c>
      <c r="C145" s="10"/>
      <c r="D145" s="10"/>
      <c r="E145" s="10"/>
      <c r="F145" s="10"/>
      <c r="G145" s="10"/>
      <c r="H145" s="5">
        <f t="shared" si="43"/>
        <v>0</v>
      </c>
      <c r="I145" s="11"/>
      <c r="K145" s="10">
        <v>0</v>
      </c>
      <c r="M145" s="5">
        <f t="shared" si="44"/>
        <v>0</v>
      </c>
    </row>
    <row r="146" spans="1:14" x14ac:dyDescent="0.25">
      <c r="A146" s="30" t="s">
        <v>144</v>
      </c>
      <c r="B146" s="10">
        <v>0</v>
      </c>
      <c r="C146" s="10"/>
      <c r="D146" s="10"/>
      <c r="E146" s="10">
        <v>150000</v>
      </c>
      <c r="F146" s="10"/>
      <c r="G146" s="10"/>
      <c r="H146" s="5">
        <f t="shared" si="43"/>
        <v>150000</v>
      </c>
      <c r="I146" s="11"/>
      <c r="K146" s="10">
        <v>150000</v>
      </c>
      <c r="M146" s="5">
        <f t="shared" si="44"/>
        <v>0</v>
      </c>
    </row>
    <row r="147" spans="1:14" x14ac:dyDescent="0.25">
      <c r="A147" s="30" t="s">
        <v>145</v>
      </c>
      <c r="B147" s="5">
        <f>30*B17</f>
        <v>50400</v>
      </c>
      <c r="C147" s="10"/>
      <c r="D147" s="10"/>
      <c r="E147" s="10"/>
      <c r="F147" s="10"/>
      <c r="G147" s="10"/>
      <c r="H147" s="5">
        <f t="shared" si="43"/>
        <v>50400</v>
      </c>
      <c r="I147" s="6" t="s">
        <v>146</v>
      </c>
      <c r="K147" s="10">
        <v>46590</v>
      </c>
      <c r="M147" s="5">
        <f t="shared" si="44"/>
        <v>3810</v>
      </c>
    </row>
    <row r="148" spans="1:14" x14ac:dyDescent="0.25">
      <c r="A148" s="30" t="s">
        <v>147</v>
      </c>
      <c r="B148" s="5">
        <f>40*B17</f>
        <v>67200</v>
      </c>
      <c r="C148" s="10"/>
      <c r="D148" s="10"/>
      <c r="E148" s="10"/>
      <c r="F148" s="10"/>
      <c r="G148" s="10"/>
      <c r="H148" s="5">
        <f t="shared" si="43"/>
        <v>67200</v>
      </c>
      <c r="I148" s="6" t="s">
        <v>148</v>
      </c>
      <c r="K148" s="10">
        <v>62120</v>
      </c>
      <c r="M148" s="5">
        <f t="shared" si="44"/>
        <v>5080</v>
      </c>
    </row>
    <row r="149" spans="1:14" x14ac:dyDescent="0.25">
      <c r="A149" s="30" t="s">
        <v>149</v>
      </c>
      <c r="B149" s="5">
        <f>10*B17</f>
        <v>16800</v>
      </c>
      <c r="C149" s="10"/>
      <c r="D149" s="10"/>
      <c r="E149" s="10"/>
      <c r="F149" s="10"/>
      <c r="G149" s="10"/>
      <c r="H149" s="5">
        <f t="shared" si="43"/>
        <v>16800</v>
      </c>
      <c r="I149" s="6" t="s">
        <v>150</v>
      </c>
      <c r="K149" s="10">
        <v>15530</v>
      </c>
      <c r="M149" s="5">
        <f t="shared" si="44"/>
        <v>1270</v>
      </c>
    </row>
    <row r="150" spans="1:14" x14ac:dyDescent="0.25">
      <c r="A150" s="30" t="s">
        <v>151</v>
      </c>
      <c r="B150" s="5">
        <f>8*B17</f>
        <v>13440</v>
      </c>
      <c r="C150" s="10"/>
      <c r="D150" s="10"/>
      <c r="E150" s="10"/>
      <c r="F150" s="10"/>
      <c r="G150" s="10"/>
      <c r="H150" s="5">
        <f t="shared" si="43"/>
        <v>13440</v>
      </c>
      <c r="I150" s="6" t="s">
        <v>152</v>
      </c>
      <c r="K150" s="10">
        <v>12424</v>
      </c>
      <c r="M150" s="5">
        <f t="shared" si="44"/>
        <v>1016</v>
      </c>
    </row>
    <row r="151" spans="1:14" x14ac:dyDescent="0.25">
      <c r="A151" s="30" t="s">
        <v>153</v>
      </c>
      <c r="B151" s="5"/>
      <c r="C151" s="10">
        <f>150*(C20)</f>
        <v>18305.66037735849</v>
      </c>
      <c r="D151" s="10"/>
      <c r="E151" s="10"/>
      <c r="F151" s="10"/>
      <c r="G151" s="10"/>
      <c r="H151" s="5">
        <f t="shared" si="43"/>
        <v>18305.66037735849</v>
      </c>
      <c r="I151" s="6" t="s">
        <v>154</v>
      </c>
      <c r="K151" s="10">
        <v>16921.83962264151</v>
      </c>
      <c r="M151" s="5">
        <f t="shared" si="44"/>
        <v>1383.8207547169804</v>
      </c>
    </row>
    <row r="152" spans="1:14" x14ac:dyDescent="0.25">
      <c r="A152" s="30" t="s">
        <v>155</v>
      </c>
      <c r="B152" s="5">
        <v>90000</v>
      </c>
      <c r="C152" s="5"/>
      <c r="D152" s="5"/>
      <c r="E152" s="5"/>
      <c r="F152" s="5"/>
      <c r="G152" s="5"/>
      <c r="H152" s="5">
        <f t="shared" si="43"/>
        <v>90000</v>
      </c>
      <c r="I152" s="11"/>
      <c r="K152" s="10">
        <v>80000</v>
      </c>
      <c r="M152" s="5">
        <f t="shared" si="44"/>
        <v>10000</v>
      </c>
    </row>
    <row r="153" spans="1:14" x14ac:dyDescent="0.25">
      <c r="A153" s="79" t="s">
        <v>156</v>
      </c>
      <c r="B153" s="83">
        <f>B17*42</f>
        <v>70560</v>
      </c>
      <c r="C153" s="5"/>
      <c r="D153" s="5"/>
      <c r="E153" s="5"/>
      <c r="F153" s="5"/>
      <c r="G153" s="5"/>
      <c r="H153" s="5">
        <f t="shared" si="43"/>
        <v>70560</v>
      </c>
      <c r="I153" s="11" t="s">
        <v>157</v>
      </c>
      <c r="K153" s="10">
        <v>65226</v>
      </c>
      <c r="M153" s="5">
        <f t="shared" si="44"/>
        <v>5334</v>
      </c>
    </row>
    <row r="154" spans="1:14" x14ac:dyDescent="0.25">
      <c r="A154" s="71" t="s">
        <v>158</v>
      </c>
      <c r="B154" s="72">
        <f>SUM(B144:B153)</f>
        <v>661200</v>
      </c>
      <c r="C154" s="72">
        <f t="shared" ref="C154:H154" si="45">SUM(C144:C153)</f>
        <v>18305.66037735849</v>
      </c>
      <c r="D154" s="72">
        <f t="shared" si="45"/>
        <v>0</v>
      </c>
      <c r="E154" s="72">
        <f t="shared" si="45"/>
        <v>150000</v>
      </c>
      <c r="F154" s="72">
        <f t="shared" si="45"/>
        <v>0</v>
      </c>
      <c r="G154" s="72">
        <f t="shared" si="45"/>
        <v>0</v>
      </c>
      <c r="H154" s="72">
        <f t="shared" si="45"/>
        <v>829505.66037735844</v>
      </c>
      <c r="I154" s="7"/>
      <c r="J154" s="7"/>
      <c r="K154" s="72">
        <v>774941.83962264156</v>
      </c>
      <c r="M154" s="72">
        <f t="shared" si="44"/>
        <v>54563.820754716871</v>
      </c>
      <c r="N154" s="7"/>
    </row>
    <row r="155" spans="1:14" x14ac:dyDescent="0.25">
      <c r="A155" s="76" t="s">
        <v>159</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(27-28)</v>
      </c>
      <c r="I155" s="7"/>
      <c r="J155" s="7"/>
      <c r="K155" s="15" t="s">
        <v>239</v>
      </c>
      <c r="M155" s="15" t="str">
        <f>M1</f>
        <v>Variance</v>
      </c>
      <c r="N155" s="7"/>
    </row>
    <row r="156" spans="1:14" x14ac:dyDescent="0.25">
      <c r="A156" s="30" t="s">
        <v>160</v>
      </c>
      <c r="B156" s="10">
        <f>'26-27'!B156*1.05</f>
        <v>0</v>
      </c>
      <c r="C156" s="10"/>
      <c r="D156" s="10"/>
      <c r="E156" s="10"/>
      <c r="F156" s="10"/>
      <c r="G156" s="10"/>
      <c r="H156" s="5">
        <f t="shared" ref="H156:H169" si="47">SUM(B156:G156)</f>
        <v>0</v>
      </c>
      <c r="I156" s="11"/>
      <c r="K156" s="10">
        <v>0</v>
      </c>
      <c r="M156" s="5">
        <f t="shared" ref="M156:M197" si="48">H156-K156</f>
        <v>0</v>
      </c>
    </row>
    <row r="157" spans="1:14" x14ac:dyDescent="0.25">
      <c r="A157" s="30" t="s">
        <v>161</v>
      </c>
      <c r="B157" s="10">
        <v>0</v>
      </c>
      <c r="C157" s="10">
        <f>230*B17</f>
        <v>386400</v>
      </c>
      <c r="D157" s="5"/>
      <c r="E157" s="10"/>
      <c r="F157" s="10"/>
      <c r="G157" s="10"/>
      <c r="H157" s="5">
        <f t="shared" si="47"/>
        <v>386400</v>
      </c>
      <c r="I157" s="11" t="s">
        <v>162</v>
      </c>
      <c r="K157" s="10">
        <v>357190</v>
      </c>
      <c r="M157" s="5">
        <f t="shared" si="48"/>
        <v>29210</v>
      </c>
    </row>
    <row r="158" spans="1:14" x14ac:dyDescent="0.25">
      <c r="A158" s="30" t="s">
        <v>163</v>
      </c>
      <c r="B158" s="10">
        <v>0</v>
      </c>
      <c r="C158" s="5"/>
      <c r="D158" s="5"/>
      <c r="E158" s="5"/>
      <c r="F158" s="5"/>
      <c r="G158" s="5"/>
      <c r="H158" s="5">
        <f t="shared" si="47"/>
        <v>0</v>
      </c>
      <c r="I158" s="11"/>
      <c r="K158" s="10">
        <v>0</v>
      </c>
      <c r="M158" s="5">
        <f t="shared" si="48"/>
        <v>0</v>
      </c>
    </row>
    <row r="159" spans="1:14" x14ac:dyDescent="0.25">
      <c r="A159" s="30" t="s">
        <v>164</v>
      </c>
      <c r="B159" s="10">
        <v>0</v>
      </c>
      <c r="C159" s="5"/>
      <c r="D159" s="5"/>
      <c r="E159" s="5"/>
      <c r="F159" s="5"/>
      <c r="G159" s="5"/>
      <c r="H159" s="5">
        <f t="shared" si="47"/>
        <v>0</v>
      </c>
      <c r="I159" s="11" t="s">
        <v>235</v>
      </c>
      <c r="K159" s="10">
        <v>0</v>
      </c>
      <c r="M159" s="5">
        <f t="shared" si="48"/>
        <v>0</v>
      </c>
    </row>
    <row r="160" spans="1:14" x14ac:dyDescent="0.25">
      <c r="A160" s="30" t="s">
        <v>165</v>
      </c>
      <c r="B160" s="10">
        <f>(495*1.03*1.015*1.015)*B17</f>
        <v>882437.16330000001</v>
      </c>
      <c r="C160" s="5"/>
      <c r="D160" s="5"/>
      <c r="E160" s="5"/>
      <c r="F160" s="5"/>
      <c r="G160" s="5"/>
      <c r="H160" s="5">
        <f t="shared" si="47"/>
        <v>882437.16330000001</v>
      </c>
      <c r="I160" s="11"/>
      <c r="K160" s="10">
        <v>803674.00575000001</v>
      </c>
      <c r="M160" s="5">
        <f t="shared" si="48"/>
        <v>78763.157550000004</v>
      </c>
    </row>
    <row r="161" spans="1:14" x14ac:dyDescent="0.25">
      <c r="A161" s="30" t="s">
        <v>167</v>
      </c>
      <c r="B161" s="10">
        <f>250*H65</f>
        <v>36750</v>
      </c>
      <c r="C161" s="10"/>
      <c r="D161" s="10"/>
      <c r="E161" s="10"/>
      <c r="F161" s="10"/>
      <c r="G161" s="10"/>
      <c r="H161" s="5">
        <f t="shared" si="47"/>
        <v>36750</v>
      </c>
      <c r="I161" s="11"/>
      <c r="K161" s="10">
        <v>35250</v>
      </c>
      <c r="M161" s="5">
        <f t="shared" si="48"/>
        <v>1500</v>
      </c>
    </row>
    <row r="162" spans="1:14" x14ac:dyDescent="0.25">
      <c r="A162" s="30" t="s">
        <v>168</v>
      </c>
      <c r="B162" s="10">
        <f>'26-27'!B162*1.05</f>
        <v>115762.5</v>
      </c>
      <c r="C162" s="5"/>
      <c r="D162" s="5"/>
      <c r="E162" s="5"/>
      <c r="F162" s="5"/>
      <c r="G162" s="5"/>
      <c r="H162" s="5">
        <f t="shared" si="47"/>
        <v>115762.5</v>
      </c>
      <c r="I162" s="11"/>
      <c r="K162" s="10">
        <v>110250</v>
      </c>
      <c r="M162" s="5">
        <f t="shared" si="48"/>
        <v>5512.5</v>
      </c>
    </row>
    <row r="163" spans="1:14" x14ac:dyDescent="0.25">
      <c r="A163" s="30" t="s">
        <v>169</v>
      </c>
      <c r="B163" s="5">
        <f>10000</f>
        <v>10000</v>
      </c>
      <c r="C163" s="5"/>
      <c r="D163" s="5"/>
      <c r="E163" s="5"/>
      <c r="F163" s="5"/>
      <c r="G163" s="5"/>
      <c r="H163" s="5">
        <f t="shared" si="47"/>
        <v>10000</v>
      </c>
      <c r="I163" s="11"/>
      <c r="K163" s="10">
        <v>10000</v>
      </c>
      <c r="M163" s="5">
        <f t="shared" si="48"/>
        <v>0</v>
      </c>
    </row>
    <row r="164" spans="1:14" x14ac:dyDescent="0.25">
      <c r="A164" s="30" t="s">
        <v>170</v>
      </c>
      <c r="B164" s="10">
        <f>48*B17+(60*12)</f>
        <v>81360</v>
      </c>
      <c r="C164" s="5"/>
      <c r="D164" s="5"/>
      <c r="E164" s="5"/>
      <c r="F164" s="5"/>
      <c r="G164" s="5"/>
      <c r="H164" s="5">
        <f t="shared" si="47"/>
        <v>81360</v>
      </c>
      <c r="I164" s="11" t="s">
        <v>171</v>
      </c>
      <c r="K164" s="10">
        <v>75264</v>
      </c>
      <c r="M164" s="5">
        <f t="shared" si="48"/>
        <v>6096</v>
      </c>
    </row>
    <row r="165" spans="1:14" x14ac:dyDescent="0.25">
      <c r="A165" s="30" t="s">
        <v>172</v>
      </c>
      <c r="B165" s="10">
        <v>27500</v>
      </c>
      <c r="C165" s="5"/>
      <c r="D165" s="5"/>
      <c r="E165" s="5"/>
      <c r="F165" s="5"/>
      <c r="G165" s="5"/>
      <c r="H165" s="5">
        <f t="shared" si="47"/>
        <v>27500</v>
      </c>
      <c r="I165" s="11"/>
      <c r="K165" s="10">
        <v>27500</v>
      </c>
      <c r="M165" s="5">
        <f t="shared" si="48"/>
        <v>0</v>
      </c>
    </row>
    <row r="166" spans="1:14" x14ac:dyDescent="0.25">
      <c r="A166" s="30" t="s">
        <v>173</v>
      </c>
      <c r="B166" s="10">
        <f>(B74+B75+B76+B77)*0.0125</f>
        <v>232895.45518449997</v>
      </c>
      <c r="C166" s="5"/>
      <c r="D166" s="5"/>
      <c r="E166" s="5"/>
      <c r="F166" s="5"/>
      <c r="G166" s="5"/>
      <c r="H166" s="5">
        <f t="shared" si="47"/>
        <v>232895.45518449997</v>
      </c>
      <c r="I166" s="80">
        <v>1.2500000000000001E-2</v>
      </c>
      <c r="J166" s="132"/>
      <c r="K166" s="10">
        <v>212723.99204874999</v>
      </c>
      <c r="M166" s="5">
        <f t="shared" si="48"/>
        <v>20171.463135749975</v>
      </c>
      <c r="N166" s="132"/>
    </row>
    <row r="167" spans="1:14" x14ac:dyDescent="0.25">
      <c r="A167" s="30" t="s">
        <v>174</v>
      </c>
      <c r="B167" s="10">
        <f>B74*0.005</f>
        <v>83911.752073799988</v>
      </c>
      <c r="C167" s="5"/>
      <c r="D167" s="5"/>
      <c r="E167" s="5"/>
      <c r="F167" s="5"/>
      <c r="G167" s="5"/>
      <c r="H167" s="5">
        <f t="shared" si="47"/>
        <v>83911.752073799988</v>
      </c>
      <c r="I167" s="80" t="s">
        <v>175</v>
      </c>
      <c r="J167" s="132"/>
      <c r="K167" s="10">
        <v>76422.091819499998</v>
      </c>
      <c r="M167" s="5">
        <f t="shared" si="48"/>
        <v>7489.6602542999899</v>
      </c>
      <c r="N167" s="132"/>
    </row>
    <row r="168" spans="1:14" x14ac:dyDescent="0.25">
      <c r="A168" s="30" t="s">
        <v>176</v>
      </c>
      <c r="B168" s="10">
        <f>B74*0.005</f>
        <v>83911.752073799988</v>
      </c>
      <c r="C168" s="5"/>
      <c r="D168" s="5"/>
      <c r="E168" s="5"/>
      <c r="F168" s="5"/>
      <c r="G168" s="5"/>
      <c r="H168" s="5">
        <f t="shared" si="47"/>
        <v>83911.752073799988</v>
      </c>
      <c r="I168" s="80" t="s">
        <v>175</v>
      </c>
      <c r="J168" s="132"/>
      <c r="K168" s="10">
        <v>76422.091819499998</v>
      </c>
      <c r="M168" s="5">
        <f t="shared" si="48"/>
        <v>7489.6602542999899</v>
      </c>
      <c r="N168" s="132"/>
    </row>
    <row r="169" spans="1:14" x14ac:dyDescent="0.25">
      <c r="A169" s="79" t="s">
        <v>177</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178</v>
      </c>
      <c r="B170" s="72">
        <f>SUM(B156:B169)</f>
        <v>1554528.6226321</v>
      </c>
      <c r="C170" s="72">
        <f t="shared" ref="C170:G170" si="49">SUM(C156:C169)</f>
        <v>386400</v>
      </c>
      <c r="D170" s="72">
        <f t="shared" si="49"/>
        <v>0</v>
      </c>
      <c r="E170" s="72">
        <f t="shared" si="49"/>
        <v>0</v>
      </c>
      <c r="F170" s="72">
        <f t="shared" si="49"/>
        <v>0</v>
      </c>
      <c r="G170" s="72">
        <f t="shared" si="49"/>
        <v>44196.82</v>
      </c>
      <c r="H170" s="72">
        <f>SUM(H156:H169)</f>
        <v>1985125.4426321001</v>
      </c>
      <c r="I170" s="7"/>
      <c r="J170" s="7"/>
      <c r="K170" s="72">
        <v>1828893.0014377502</v>
      </c>
      <c r="M170" s="72">
        <f t="shared" si="48"/>
        <v>156232.4411943499</v>
      </c>
      <c r="N170" s="7"/>
    </row>
    <row r="171" spans="1:14" x14ac:dyDescent="0.25">
      <c r="A171" s="76" t="s">
        <v>179</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(27-28)</v>
      </c>
      <c r="I171" s="7"/>
      <c r="J171" s="7"/>
      <c r="K171" s="15" t="s">
        <v>239</v>
      </c>
      <c r="M171" s="15" t="str">
        <f t="shared" ref="M171" si="51">M1</f>
        <v>Variance</v>
      </c>
      <c r="N171" s="7"/>
    </row>
    <row r="172" spans="1:14" x14ac:dyDescent="0.25">
      <c r="A172" s="81" t="s">
        <v>180</v>
      </c>
      <c r="B172" s="10">
        <f>'26-27'!B172*1.05</f>
        <v>5325.0749999999998</v>
      </c>
      <c r="C172" s="5"/>
      <c r="D172" s="5"/>
      <c r="E172" s="5"/>
      <c r="F172" s="5"/>
      <c r="G172" s="5"/>
      <c r="H172" s="5">
        <f t="shared" ref="H172:H196" si="52">SUM(B172:G172)</f>
        <v>5325.0749999999998</v>
      </c>
      <c r="I172" s="11" t="s">
        <v>181</v>
      </c>
      <c r="K172" s="10">
        <v>5071.5</v>
      </c>
      <c r="M172" s="5">
        <f t="shared" si="48"/>
        <v>253.57499999999982</v>
      </c>
    </row>
    <row r="173" spans="1:14" x14ac:dyDescent="0.25">
      <c r="A173" s="30" t="s">
        <v>182</v>
      </c>
      <c r="B173" s="10">
        <f>'26-27'!B173*1.05</f>
        <v>6992.0550000000003</v>
      </c>
      <c r="C173" s="23"/>
      <c r="D173" s="5"/>
      <c r="E173" s="5"/>
      <c r="F173" s="5"/>
      <c r="G173" s="5"/>
      <c r="H173" s="5">
        <f t="shared" si="52"/>
        <v>6992.0550000000003</v>
      </c>
      <c r="I173" s="11" t="s">
        <v>181</v>
      </c>
      <c r="K173" s="10">
        <v>6659.1</v>
      </c>
      <c r="M173" s="5">
        <f t="shared" si="48"/>
        <v>332.95499999999993</v>
      </c>
    </row>
    <row r="174" spans="1:14" x14ac:dyDescent="0.25">
      <c r="A174" s="30" t="s">
        <v>183</v>
      </c>
      <c r="B174" s="83"/>
      <c r="C174" s="5"/>
      <c r="D174" s="5"/>
      <c r="E174" s="5"/>
      <c r="F174" s="5"/>
      <c r="G174" s="5"/>
      <c r="H174" s="5">
        <f t="shared" si="52"/>
        <v>0</v>
      </c>
      <c r="I174" s="11"/>
      <c r="K174" s="10">
        <v>0</v>
      </c>
      <c r="M174" s="5">
        <f t="shared" si="48"/>
        <v>0</v>
      </c>
    </row>
    <row r="175" spans="1:14" x14ac:dyDescent="0.25">
      <c r="A175" s="30" t="s">
        <v>184</v>
      </c>
      <c r="B175" s="83">
        <v>1400</v>
      </c>
      <c r="C175" s="5"/>
      <c r="D175" s="5"/>
      <c r="E175" s="5"/>
      <c r="F175" s="5"/>
      <c r="G175" s="5"/>
      <c r="H175" s="5">
        <f t="shared" si="52"/>
        <v>1400</v>
      </c>
      <c r="I175" s="11"/>
      <c r="K175" s="10">
        <v>1400</v>
      </c>
      <c r="M175" s="5">
        <f t="shared" si="48"/>
        <v>0</v>
      </c>
    </row>
    <row r="176" spans="1:14" x14ac:dyDescent="0.25">
      <c r="A176" s="30" t="s">
        <v>185</v>
      </c>
      <c r="B176" s="10">
        <f>'26-27'!B176*1.05</f>
        <v>6366.9375</v>
      </c>
      <c r="C176" s="5"/>
      <c r="D176" s="5"/>
      <c r="E176" s="5"/>
      <c r="F176" s="5"/>
      <c r="G176" s="5"/>
      <c r="H176" s="5">
        <f t="shared" si="52"/>
        <v>6366.9375</v>
      </c>
      <c r="I176" s="11"/>
      <c r="K176" s="10">
        <v>6063.75</v>
      </c>
      <c r="M176" s="5">
        <f t="shared" si="48"/>
        <v>303.1875</v>
      </c>
    </row>
    <row r="177" spans="1:14" x14ac:dyDescent="0.25">
      <c r="A177" s="30" t="s">
        <v>186</v>
      </c>
      <c r="B177" s="10">
        <f>'26-27'!B177*1.05</f>
        <v>66150</v>
      </c>
      <c r="C177" s="5"/>
      <c r="D177" s="5"/>
      <c r="E177" s="5"/>
      <c r="F177" s="5"/>
      <c r="G177" s="5"/>
      <c r="H177" s="5">
        <f t="shared" si="52"/>
        <v>66150</v>
      </c>
      <c r="I177" s="11"/>
      <c r="K177" s="10">
        <v>63000</v>
      </c>
      <c r="M177" s="5">
        <f t="shared" si="48"/>
        <v>3150</v>
      </c>
    </row>
    <row r="178" spans="1:14" x14ac:dyDescent="0.25">
      <c r="A178" s="30" t="s">
        <v>187</v>
      </c>
      <c r="B178" s="82">
        <f>(2.5*B17)+8500</f>
        <v>12700</v>
      </c>
      <c r="C178" s="5"/>
      <c r="D178" s="5"/>
      <c r="E178" s="5"/>
      <c r="F178" s="5"/>
      <c r="G178" s="5"/>
      <c r="H178" s="5">
        <f t="shared" si="52"/>
        <v>12700</v>
      </c>
      <c r="I178" s="11"/>
      <c r="K178" s="10">
        <v>12382.5</v>
      </c>
      <c r="M178" s="5">
        <f t="shared" si="48"/>
        <v>317.5</v>
      </c>
    </row>
    <row r="179" spans="1:14" x14ac:dyDescent="0.25">
      <c r="A179" s="30" t="s">
        <v>188</v>
      </c>
      <c r="B179" s="10">
        <f>'26-27'!B179*1.1</f>
        <v>27603.875200000006</v>
      </c>
      <c r="C179" s="5"/>
      <c r="D179" s="5"/>
      <c r="E179" s="5"/>
      <c r="F179" s="5"/>
      <c r="G179" s="5"/>
      <c r="H179" s="5">
        <f t="shared" si="52"/>
        <v>27603.875200000006</v>
      </c>
      <c r="I179" s="11"/>
      <c r="K179" s="10">
        <v>25094.432000000004</v>
      </c>
      <c r="M179" s="5">
        <f t="shared" si="48"/>
        <v>2509.4432000000015</v>
      </c>
    </row>
    <row r="180" spans="1:14" x14ac:dyDescent="0.25">
      <c r="A180" s="30" t="s">
        <v>189</v>
      </c>
      <c r="B180" s="10">
        <f>'26-27'!B180*1.1</f>
        <v>24153.390800000001</v>
      </c>
      <c r="C180" s="5"/>
      <c r="D180" s="5"/>
      <c r="E180" s="5"/>
      <c r="F180" s="5"/>
      <c r="G180" s="5"/>
      <c r="H180" s="5">
        <f t="shared" si="52"/>
        <v>24153.390800000001</v>
      </c>
      <c r="I180" s="11"/>
      <c r="K180" s="10">
        <v>21957.628000000001</v>
      </c>
      <c r="M180" s="5">
        <f t="shared" si="48"/>
        <v>2195.7628000000004</v>
      </c>
    </row>
    <row r="181" spans="1:14" x14ac:dyDescent="0.25">
      <c r="A181" s="30" t="s">
        <v>190</v>
      </c>
      <c r="B181" s="10">
        <f>'26-27'!B181*1.1</f>
        <v>34504.844000000005</v>
      </c>
      <c r="C181" s="5"/>
      <c r="D181" s="5"/>
      <c r="E181" s="5"/>
      <c r="F181" s="5"/>
      <c r="G181" s="5"/>
      <c r="H181" s="5">
        <f t="shared" si="52"/>
        <v>34504.844000000005</v>
      </c>
      <c r="I181" s="11"/>
      <c r="K181" s="10">
        <v>31368.040000000005</v>
      </c>
      <c r="M181" s="5">
        <f t="shared" si="48"/>
        <v>3136.8040000000001</v>
      </c>
    </row>
    <row r="182" spans="1:14" x14ac:dyDescent="0.25">
      <c r="A182" s="30" t="s">
        <v>191</v>
      </c>
      <c r="B182" s="5"/>
      <c r="C182" s="10"/>
      <c r="D182" s="10">
        <f>((B17*D23*0.5)*2.4*180)</f>
        <v>362880</v>
      </c>
      <c r="E182" s="10"/>
      <c r="F182" s="10"/>
      <c r="G182" s="10"/>
      <c r="H182" s="5">
        <f t="shared" si="52"/>
        <v>362880</v>
      </c>
      <c r="I182" s="58">
        <v>2.4</v>
      </c>
      <c r="J182" s="133"/>
      <c r="K182" s="10">
        <v>335448</v>
      </c>
      <c r="M182" s="5">
        <f t="shared" si="48"/>
        <v>27432</v>
      </c>
      <c r="N182" s="133"/>
    </row>
    <row r="183" spans="1:14" x14ac:dyDescent="0.25">
      <c r="A183" s="30" t="s">
        <v>192</v>
      </c>
      <c r="B183" s="5"/>
      <c r="C183" s="10"/>
      <c r="D183" s="10">
        <f>((B17*D23*0.5)*3.91*180)</f>
        <v>591192</v>
      </c>
      <c r="E183" s="10"/>
      <c r="F183" s="10"/>
      <c r="G183" s="10"/>
      <c r="H183" s="5">
        <f t="shared" si="52"/>
        <v>591192</v>
      </c>
      <c r="I183" s="58">
        <v>3.91</v>
      </c>
      <c r="J183" s="133"/>
      <c r="K183" s="10">
        <v>546500.70000000007</v>
      </c>
      <c r="M183" s="5">
        <f t="shared" si="48"/>
        <v>44691.29999999993</v>
      </c>
      <c r="N183" s="133"/>
    </row>
    <row r="184" spans="1:14" x14ac:dyDescent="0.25">
      <c r="A184" s="30" t="s">
        <v>193</v>
      </c>
      <c r="B184" s="5">
        <v>15000</v>
      </c>
      <c r="C184" s="5"/>
      <c r="D184" s="5"/>
      <c r="E184" s="5"/>
      <c r="F184" s="5"/>
      <c r="G184" s="5"/>
      <c r="H184" s="5">
        <f t="shared" si="52"/>
        <v>15000</v>
      </c>
      <c r="I184" s="11"/>
      <c r="K184" s="10">
        <v>15000</v>
      </c>
      <c r="M184" s="5">
        <f t="shared" si="48"/>
        <v>0</v>
      </c>
    </row>
    <row r="185" spans="1:14" x14ac:dyDescent="0.25">
      <c r="A185" s="30" t="s">
        <v>194</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195</v>
      </c>
      <c r="B186" s="5">
        <f>75*55</f>
        <v>4125</v>
      </c>
      <c r="C186" s="5">
        <v>0</v>
      </c>
      <c r="D186" s="5">
        <v>0</v>
      </c>
      <c r="E186" s="5"/>
      <c r="F186" s="5"/>
      <c r="G186" s="5"/>
      <c r="H186" s="5">
        <f t="shared" si="52"/>
        <v>4125</v>
      </c>
      <c r="I186" s="11"/>
      <c r="K186" s="10">
        <v>4125</v>
      </c>
      <c r="M186" s="5">
        <f t="shared" si="48"/>
        <v>0</v>
      </c>
    </row>
    <row r="187" spans="1:14" x14ac:dyDescent="0.25">
      <c r="A187" s="30" t="s">
        <v>196</v>
      </c>
      <c r="B187" s="10">
        <f>(5*B17)+14000</f>
        <v>22400</v>
      </c>
      <c r="C187" s="5"/>
      <c r="D187" s="5"/>
      <c r="E187" s="5"/>
      <c r="F187" s="5"/>
      <c r="G187" s="5"/>
      <c r="H187" s="5">
        <f t="shared" si="52"/>
        <v>22400</v>
      </c>
      <c r="I187" s="11" t="s">
        <v>197</v>
      </c>
      <c r="K187" s="10">
        <v>21765</v>
      </c>
      <c r="M187" s="5">
        <f t="shared" si="48"/>
        <v>635</v>
      </c>
    </row>
    <row r="188" spans="1:14" x14ac:dyDescent="0.25">
      <c r="A188" s="30" t="s">
        <v>198</v>
      </c>
      <c r="B188" s="10"/>
      <c r="C188" s="5"/>
      <c r="D188" s="5"/>
      <c r="E188" s="5"/>
      <c r="F188" s="5"/>
      <c r="G188" s="5"/>
      <c r="H188" s="5">
        <f t="shared" si="52"/>
        <v>0</v>
      </c>
      <c r="I188" s="11"/>
      <c r="K188" s="10">
        <v>0</v>
      </c>
      <c r="M188" s="5">
        <f t="shared" si="48"/>
        <v>0</v>
      </c>
    </row>
    <row r="189" spans="1:14" x14ac:dyDescent="0.25">
      <c r="A189" s="30" t="s">
        <v>199</v>
      </c>
      <c r="B189" s="10">
        <v>35000</v>
      </c>
      <c r="C189" s="5"/>
      <c r="D189" s="5"/>
      <c r="E189" s="5"/>
      <c r="F189" s="5"/>
      <c r="G189" s="5"/>
      <c r="H189" s="5">
        <f t="shared" si="52"/>
        <v>35000</v>
      </c>
      <c r="I189" s="11"/>
      <c r="K189" s="10">
        <v>30000</v>
      </c>
      <c r="M189" s="5">
        <f t="shared" si="48"/>
        <v>5000</v>
      </c>
    </row>
    <row r="190" spans="1:14" x14ac:dyDescent="0.25">
      <c r="A190" s="30" t="s">
        <v>200</v>
      </c>
      <c r="B190" s="10"/>
      <c r="C190" s="5"/>
      <c r="D190" s="5"/>
      <c r="E190" s="5"/>
      <c r="F190" s="5"/>
      <c r="G190" s="5"/>
      <c r="H190" s="5">
        <f t="shared" si="52"/>
        <v>0</v>
      </c>
      <c r="I190" s="11"/>
      <c r="K190" s="10">
        <v>0</v>
      </c>
      <c r="M190" s="5">
        <f t="shared" si="48"/>
        <v>0</v>
      </c>
    </row>
    <row r="191" spans="1:14" x14ac:dyDescent="0.25">
      <c r="A191" s="30" t="s">
        <v>202</v>
      </c>
      <c r="B191" s="10">
        <v>290000</v>
      </c>
      <c r="C191" s="10"/>
      <c r="D191" s="10"/>
      <c r="E191" s="10"/>
      <c r="F191" s="10"/>
      <c r="G191" s="10"/>
      <c r="H191" s="5">
        <f t="shared" si="52"/>
        <v>290000</v>
      </c>
      <c r="I191" s="11"/>
      <c r="K191" s="10">
        <v>265000</v>
      </c>
      <c r="M191" s="5">
        <f t="shared" si="48"/>
        <v>25000</v>
      </c>
    </row>
    <row r="192" spans="1:14" x14ac:dyDescent="0.25">
      <c r="A192" s="30" t="s">
        <v>203</v>
      </c>
      <c r="B192" s="10"/>
      <c r="C192" s="10"/>
      <c r="D192" s="10"/>
      <c r="E192" s="10"/>
      <c r="F192" s="10"/>
      <c r="G192" s="10"/>
      <c r="H192" s="5">
        <f t="shared" si="52"/>
        <v>0</v>
      </c>
      <c r="I192" s="11"/>
      <c r="K192" s="10">
        <v>0</v>
      </c>
      <c r="M192" s="5">
        <f t="shared" si="48"/>
        <v>0</v>
      </c>
    </row>
    <row r="193" spans="1:14" x14ac:dyDescent="0.25">
      <c r="A193" s="30" t="s">
        <v>204</v>
      </c>
      <c r="B193" s="10"/>
      <c r="C193" s="10"/>
      <c r="D193" s="10"/>
      <c r="E193" s="10"/>
      <c r="F193" s="10"/>
      <c r="G193" s="10"/>
      <c r="H193" s="5">
        <f t="shared" si="52"/>
        <v>0</v>
      </c>
      <c r="I193" s="11"/>
      <c r="K193" s="10">
        <v>0</v>
      </c>
      <c r="M193" s="5">
        <f t="shared" si="48"/>
        <v>0</v>
      </c>
    </row>
    <row r="194" spans="1:14" x14ac:dyDescent="0.25">
      <c r="A194" s="30" t="s">
        <v>205</v>
      </c>
      <c r="B194" s="10"/>
      <c r="C194" s="10"/>
      <c r="D194" s="10"/>
      <c r="E194" s="10">
        <f>E93</f>
        <v>317000</v>
      </c>
      <c r="F194" s="10"/>
      <c r="G194" s="10"/>
      <c r="H194" s="5">
        <f t="shared" si="52"/>
        <v>317000</v>
      </c>
      <c r="I194" s="11"/>
      <c r="K194" s="10">
        <v>293000</v>
      </c>
      <c r="M194" s="5"/>
    </row>
    <row r="195" spans="1:14" x14ac:dyDescent="0.25">
      <c r="A195" s="30" t="s">
        <v>206</v>
      </c>
      <c r="B195" s="10">
        <v>5000</v>
      </c>
      <c r="C195" s="10"/>
      <c r="D195" s="10"/>
      <c r="E195" s="10"/>
      <c r="F195" s="10"/>
      <c r="G195" s="10"/>
      <c r="H195" s="5">
        <f t="shared" si="52"/>
        <v>5000</v>
      </c>
      <c r="I195" s="11"/>
      <c r="K195" s="10">
        <v>5000</v>
      </c>
      <c r="M195" s="5">
        <f t="shared" si="48"/>
        <v>0</v>
      </c>
    </row>
    <row r="196" spans="1:14" x14ac:dyDescent="0.25">
      <c r="A196" s="79" t="s">
        <v>207</v>
      </c>
      <c r="B196" s="5">
        <f>B74*0.02</f>
        <v>335647.00829519995</v>
      </c>
      <c r="C196" s="5"/>
      <c r="D196" s="5"/>
      <c r="E196" s="5"/>
      <c r="F196" s="5"/>
      <c r="G196" s="5"/>
      <c r="H196" s="5">
        <f t="shared" si="52"/>
        <v>335647.00829519995</v>
      </c>
      <c r="I196" s="54" t="s">
        <v>208</v>
      </c>
      <c r="J196" s="129"/>
      <c r="K196" s="10">
        <v>305688.36727799999</v>
      </c>
      <c r="M196" s="5">
        <f t="shared" si="48"/>
        <v>29958.64101719996</v>
      </c>
      <c r="N196" s="129"/>
    </row>
    <row r="197" spans="1:14" x14ac:dyDescent="0.25">
      <c r="A197" s="71" t="s">
        <v>209</v>
      </c>
      <c r="B197" s="72">
        <f>SUM(B172:B196)</f>
        <v>899868.18579519994</v>
      </c>
      <c r="C197" s="72">
        <f t="shared" ref="C197:H197" si="53">SUM(C172:C196)</f>
        <v>0</v>
      </c>
      <c r="D197" s="72">
        <f t="shared" si="53"/>
        <v>954072</v>
      </c>
      <c r="E197" s="72">
        <f t="shared" si="53"/>
        <v>317000</v>
      </c>
      <c r="F197" s="72">
        <f t="shared" si="53"/>
        <v>0</v>
      </c>
      <c r="G197" s="72">
        <f t="shared" si="53"/>
        <v>30624.400000000001</v>
      </c>
      <c r="H197" s="72">
        <f t="shared" si="53"/>
        <v>2201564.5857952</v>
      </c>
      <c r="I197" s="7"/>
      <c r="J197" s="7"/>
      <c r="K197" s="72">
        <v>2032648.4172780002</v>
      </c>
      <c r="M197" s="72">
        <f t="shared" si="48"/>
        <v>168916.16851719981</v>
      </c>
      <c r="N197" s="7"/>
    </row>
    <row r="198" spans="1:14" x14ac:dyDescent="0.25">
      <c r="A198" s="76" t="s">
        <v>210</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(27-28)</v>
      </c>
      <c r="I198" s="7"/>
      <c r="J198" s="7"/>
      <c r="K198" s="15" t="s">
        <v>239</v>
      </c>
      <c r="M198" s="15" t="str">
        <f t="shared" ref="M198" si="55">M1</f>
        <v>Variance</v>
      </c>
      <c r="N198" s="7"/>
    </row>
    <row r="199" spans="1:14" x14ac:dyDescent="0.25">
      <c r="A199" s="81" t="s">
        <v>211</v>
      </c>
      <c r="B199" s="10">
        <f>'26-27'!B199*1.1</f>
        <v>157300</v>
      </c>
      <c r="C199" s="5"/>
      <c r="D199" s="5"/>
      <c r="E199" s="5"/>
      <c r="F199" s="5"/>
      <c r="G199" s="5"/>
      <c r="H199" s="5">
        <f t="shared" ref="H199:H208" si="56">SUM(B199:G199)</f>
        <v>157300</v>
      </c>
      <c r="I199" s="6"/>
      <c r="J199" s="60"/>
      <c r="K199" s="10">
        <v>143000</v>
      </c>
      <c r="M199" s="5">
        <f t="shared" ref="M199:M220" si="57">H199-K199</f>
        <v>14300</v>
      </c>
      <c r="N199" s="60"/>
    </row>
    <row r="200" spans="1:14" x14ac:dyDescent="0.25">
      <c r="A200" s="30" t="s">
        <v>212</v>
      </c>
      <c r="B200" s="82">
        <f>0</f>
        <v>0</v>
      </c>
      <c r="C200" s="5"/>
      <c r="D200" s="5"/>
      <c r="E200" s="5"/>
      <c r="F200" s="5"/>
      <c r="G200" s="5"/>
      <c r="H200" s="5">
        <f t="shared" si="56"/>
        <v>0</v>
      </c>
      <c r="I200" s="11"/>
      <c r="K200" s="10">
        <v>0</v>
      </c>
      <c r="M200" s="5">
        <f t="shared" si="57"/>
        <v>0</v>
      </c>
    </row>
    <row r="201" spans="1:14" x14ac:dyDescent="0.25">
      <c r="A201" s="30" t="s">
        <v>213</v>
      </c>
      <c r="B201" s="10">
        <f>'26-27'!B201*1.1</f>
        <v>94380.000000000015</v>
      </c>
      <c r="C201" s="5"/>
      <c r="D201" s="5"/>
      <c r="E201" s="5"/>
      <c r="F201" s="5"/>
      <c r="G201" s="5"/>
      <c r="H201" s="5">
        <f t="shared" si="56"/>
        <v>94380.000000000015</v>
      </c>
      <c r="I201" s="11"/>
      <c r="K201" s="10">
        <v>85800</v>
      </c>
      <c r="M201" s="5">
        <f t="shared" si="57"/>
        <v>8580.0000000000146</v>
      </c>
    </row>
    <row r="202" spans="1:14" x14ac:dyDescent="0.25">
      <c r="A202" s="30" t="s">
        <v>214</v>
      </c>
      <c r="B202" s="10">
        <f>'26-27'!B202*1.1</f>
        <v>15730.000000000004</v>
      </c>
      <c r="C202" s="5"/>
      <c r="D202" s="5"/>
      <c r="E202" s="5"/>
      <c r="F202" s="5"/>
      <c r="G202" s="5"/>
      <c r="H202" s="5">
        <f t="shared" si="56"/>
        <v>15730.000000000004</v>
      </c>
      <c r="I202" s="11"/>
      <c r="K202" s="10">
        <v>14300.000000000002</v>
      </c>
      <c r="M202" s="5">
        <f t="shared" si="57"/>
        <v>1430.0000000000018</v>
      </c>
    </row>
    <row r="203" spans="1:14" x14ac:dyDescent="0.25">
      <c r="A203" s="30" t="s">
        <v>215</v>
      </c>
      <c r="B203" s="83">
        <v>9000</v>
      </c>
      <c r="C203" s="5"/>
      <c r="D203" s="5"/>
      <c r="E203" s="5"/>
      <c r="F203" s="5"/>
      <c r="G203" s="5"/>
      <c r="H203" s="5">
        <f t="shared" si="56"/>
        <v>9000</v>
      </c>
      <c r="I203" s="11"/>
      <c r="K203" s="10">
        <v>9000</v>
      </c>
      <c r="M203" s="5">
        <f t="shared" si="57"/>
        <v>0</v>
      </c>
    </row>
    <row r="204" spans="1:14" x14ac:dyDescent="0.25">
      <c r="A204" s="30" t="s">
        <v>216</v>
      </c>
      <c r="B204" s="10">
        <f>'26-27'!B204*1.1</f>
        <v>150300.15000000002</v>
      </c>
      <c r="C204" s="5"/>
      <c r="D204" s="5"/>
      <c r="E204" s="5"/>
      <c r="F204" s="5"/>
      <c r="G204" s="5"/>
      <c r="H204" s="5">
        <f t="shared" si="56"/>
        <v>150300.15000000002</v>
      </c>
      <c r="I204" s="11"/>
      <c r="K204" s="10">
        <v>136636.5</v>
      </c>
      <c r="M204" s="5">
        <f t="shared" si="57"/>
        <v>13663.650000000023</v>
      </c>
    </row>
    <row r="205" spans="1:14" x14ac:dyDescent="0.25">
      <c r="A205" s="30" t="s">
        <v>218</v>
      </c>
      <c r="B205" s="10">
        <v>150000</v>
      </c>
      <c r="C205" s="5"/>
      <c r="D205" s="5"/>
      <c r="E205" s="5"/>
      <c r="F205" s="5"/>
      <c r="G205" s="5"/>
      <c r="H205" s="5">
        <f t="shared" si="56"/>
        <v>150000</v>
      </c>
      <c r="I205" s="11"/>
      <c r="K205" s="10">
        <v>125000</v>
      </c>
      <c r="M205" s="5">
        <f t="shared" si="57"/>
        <v>25000</v>
      </c>
    </row>
    <row r="206" spans="1:14" x14ac:dyDescent="0.25">
      <c r="A206" s="30" t="s">
        <v>219</v>
      </c>
      <c r="B206" s="10">
        <v>0</v>
      </c>
      <c r="C206" s="5"/>
      <c r="D206" s="5"/>
      <c r="E206" s="5"/>
      <c r="F206" s="5"/>
      <c r="G206" s="5"/>
      <c r="H206" s="5">
        <f t="shared" si="56"/>
        <v>0</v>
      </c>
      <c r="I206" s="11"/>
      <c r="K206" s="10">
        <v>0</v>
      </c>
      <c r="M206" s="5">
        <f t="shared" si="57"/>
        <v>0</v>
      </c>
    </row>
    <row r="207" spans="1:14" x14ac:dyDescent="0.25">
      <c r="A207" s="30" t="s">
        <v>220</v>
      </c>
      <c r="B207" s="10">
        <f>'26-27'!B207*1.05</f>
        <v>14470.3125</v>
      </c>
      <c r="C207" s="5"/>
      <c r="D207" s="5"/>
      <c r="E207" s="5"/>
      <c r="F207" s="5"/>
      <c r="G207" s="5"/>
      <c r="H207" s="5">
        <f t="shared" si="56"/>
        <v>14470.3125</v>
      </c>
      <c r="I207" s="11"/>
      <c r="K207" s="10">
        <v>13781.25</v>
      </c>
      <c r="M207" s="5">
        <f t="shared" si="57"/>
        <v>689.0625</v>
      </c>
    </row>
    <row r="208" spans="1:14" x14ac:dyDescent="0.25">
      <c r="A208" s="79" t="s">
        <v>221</v>
      </c>
      <c r="B208" s="10">
        <f>'26-27'!B208*1.1</f>
        <v>30250.000000000007</v>
      </c>
      <c r="C208" s="5"/>
      <c r="D208" s="5"/>
      <c r="E208" s="5"/>
      <c r="F208" s="5"/>
      <c r="G208" s="5"/>
      <c r="H208" s="5">
        <f t="shared" si="56"/>
        <v>30250.000000000007</v>
      </c>
      <c r="I208" s="11"/>
      <c r="K208" s="10">
        <v>27500.000000000004</v>
      </c>
      <c r="M208" s="5">
        <f t="shared" si="57"/>
        <v>2750.0000000000036</v>
      </c>
    </row>
    <row r="209" spans="1:14" x14ac:dyDescent="0.25">
      <c r="A209" s="71" t="s">
        <v>222</v>
      </c>
      <c r="B209" s="72">
        <f t="shared" ref="B209:H209" si="58">SUM(B199:B208)</f>
        <v>621430.46250000002</v>
      </c>
      <c r="C209" s="72">
        <f t="shared" si="58"/>
        <v>0</v>
      </c>
      <c r="D209" s="72">
        <f t="shared" si="58"/>
        <v>0</v>
      </c>
      <c r="E209" s="72">
        <f t="shared" si="58"/>
        <v>0</v>
      </c>
      <c r="F209" s="72">
        <f t="shared" si="58"/>
        <v>0</v>
      </c>
      <c r="G209" s="72">
        <f t="shared" si="58"/>
        <v>0</v>
      </c>
      <c r="H209" s="72">
        <f t="shared" si="58"/>
        <v>621430.46250000002</v>
      </c>
      <c r="I209" s="7"/>
      <c r="J209" s="7"/>
      <c r="K209" s="72">
        <v>555017.75</v>
      </c>
      <c r="M209" s="72">
        <f t="shared" si="57"/>
        <v>66412.712500000023</v>
      </c>
      <c r="N209" s="7"/>
    </row>
    <row r="210" spans="1:14" x14ac:dyDescent="0.25">
      <c r="A210" s="86"/>
      <c r="B210" s="5"/>
      <c r="C210" s="5"/>
      <c r="D210" s="5"/>
      <c r="E210" s="5"/>
      <c r="F210" s="5"/>
      <c r="G210" s="5"/>
      <c r="H210" s="5"/>
      <c r="I210" s="7"/>
      <c r="J210" s="7"/>
      <c r="K210" s="5"/>
      <c r="M210" s="5">
        <f t="shared" si="57"/>
        <v>0</v>
      </c>
      <c r="N210" s="7"/>
    </row>
    <row r="211" spans="1:14" x14ac:dyDescent="0.25">
      <c r="A211" s="71" t="s">
        <v>223</v>
      </c>
      <c r="B211" s="72">
        <f>B142+B154+B170+B197+B209</f>
        <v>14004002.884287298</v>
      </c>
      <c r="C211" s="72">
        <f t="shared" ref="C211:H211" si="59">C142+C154+C170+C197+C209</f>
        <v>1442170.0926173583</v>
      </c>
      <c r="D211" s="72">
        <f t="shared" si="59"/>
        <v>1187646</v>
      </c>
      <c r="E211" s="72">
        <f t="shared" si="59"/>
        <v>467000</v>
      </c>
      <c r="F211" s="72">
        <f t="shared" si="59"/>
        <v>740180.56010799995</v>
      </c>
      <c r="G211" s="72">
        <f t="shared" si="59"/>
        <v>265558.02</v>
      </c>
      <c r="H211" s="72">
        <f t="shared" si="59"/>
        <v>18106557.557012659</v>
      </c>
      <c r="I211" s="7"/>
      <c r="J211" s="7"/>
      <c r="K211" s="72">
        <v>16792510.100263391</v>
      </c>
      <c r="M211" s="72">
        <f t="shared" si="57"/>
        <v>1314047.4567492679</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224</v>
      </c>
      <c r="B213" s="9">
        <f>1321193+351535+1225434</f>
        <v>2898162</v>
      </c>
      <c r="C213" s="9"/>
      <c r="D213" s="9"/>
      <c r="E213" s="9"/>
      <c r="F213" s="9"/>
      <c r="G213" s="9"/>
      <c r="H213" s="9">
        <f t="shared" ref="H213:H218" si="60">SUM(B213:G213)</f>
        <v>2898162</v>
      </c>
      <c r="I213" s="11"/>
      <c r="K213" s="265">
        <v>2855332</v>
      </c>
      <c r="M213" s="9">
        <f t="shared" si="57"/>
        <v>42830</v>
      </c>
    </row>
    <row r="214" spans="1:14" x14ac:dyDescent="0.25">
      <c r="A214" s="43" t="s">
        <v>225</v>
      </c>
      <c r="B214" s="9">
        <v>0</v>
      </c>
      <c r="C214" s="9"/>
      <c r="D214" s="9"/>
      <c r="E214" s="9"/>
      <c r="F214" s="9"/>
      <c r="G214" s="9"/>
      <c r="H214" s="9">
        <f t="shared" si="60"/>
        <v>0</v>
      </c>
      <c r="I214" s="11"/>
      <c r="K214" s="265">
        <v>0</v>
      </c>
      <c r="M214" s="9">
        <f t="shared" si="57"/>
        <v>0</v>
      </c>
    </row>
    <row r="215" spans="1:14" x14ac:dyDescent="0.25">
      <c r="A215" s="43" t="s">
        <v>226</v>
      </c>
      <c r="B215" s="9">
        <v>0</v>
      </c>
      <c r="C215" s="9"/>
      <c r="D215" s="9"/>
      <c r="E215" s="9"/>
      <c r="F215" s="9"/>
      <c r="G215" s="9"/>
      <c r="H215" s="9">
        <f t="shared" si="60"/>
        <v>0</v>
      </c>
      <c r="I215" s="11"/>
      <c r="K215" s="265">
        <v>0</v>
      </c>
      <c r="M215" s="9">
        <f t="shared" si="57"/>
        <v>0</v>
      </c>
    </row>
    <row r="216" spans="1:14" x14ac:dyDescent="0.25">
      <c r="A216" s="43" t="s">
        <v>227</v>
      </c>
      <c r="B216" s="9">
        <f>325*12</f>
        <v>3900</v>
      </c>
      <c r="C216" s="9"/>
      <c r="D216" s="9"/>
      <c r="E216" s="9"/>
      <c r="F216" s="9"/>
      <c r="G216" s="9"/>
      <c r="H216" s="9">
        <f t="shared" si="60"/>
        <v>3900</v>
      </c>
      <c r="I216" s="11" t="s">
        <v>240</v>
      </c>
      <c r="K216" s="265">
        <v>3900</v>
      </c>
      <c r="M216" s="9">
        <f t="shared" si="57"/>
        <v>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229</v>
      </c>
      <c r="B219" s="89">
        <f>(B97+B103)-B211-B213-B214-B216-B215</f>
        <v>1725571.5304726996</v>
      </c>
      <c r="C219" s="89">
        <f t="shared" ref="C219:G219" si="61">(C97+C103)-C211-C213-C214-C216-C215</f>
        <v>-572999.99827773566</v>
      </c>
      <c r="D219" s="89">
        <f t="shared" si="61"/>
        <v>-188214</v>
      </c>
      <c r="E219" s="89">
        <f t="shared" si="61"/>
        <v>0</v>
      </c>
      <c r="F219" s="89">
        <f t="shared" si="61"/>
        <v>-290665.07010799996</v>
      </c>
      <c r="G219" s="89">
        <f t="shared" si="61"/>
        <v>-148668.21000000002</v>
      </c>
      <c r="H219" s="89">
        <f>(H97+H103)-H211-H213-H214-H216-H215</f>
        <v>525024.25208695978</v>
      </c>
      <c r="I219" s="16"/>
      <c r="J219" s="7"/>
      <c r="K219" s="89">
        <v>122403.51929698512</v>
      </c>
      <c r="M219" s="89">
        <f t="shared" si="57"/>
        <v>402620.73278997466</v>
      </c>
      <c r="N219" s="7"/>
    </row>
    <row r="220" spans="1:14" x14ac:dyDescent="0.25">
      <c r="A220" s="90"/>
      <c r="B220" s="91">
        <f t="shared" ref="B220:H220" si="62">B219/(B97)</f>
        <v>9.2615135464198972E-2</v>
      </c>
      <c r="C220" s="91">
        <f t="shared" si="62"/>
        <v>-0.65924955541997698</v>
      </c>
      <c r="D220" s="91">
        <f t="shared" si="62"/>
        <v>-0.18832096630886344</v>
      </c>
      <c r="E220" s="91">
        <f t="shared" si="62"/>
        <v>0</v>
      </c>
      <c r="F220" s="91">
        <f t="shared" si="62"/>
        <v>-0.64661858506366476</v>
      </c>
      <c r="G220" s="91">
        <f t="shared" si="62"/>
        <v>-1.2718662986961826</v>
      </c>
      <c r="H220" s="91">
        <f t="shared" si="62"/>
        <v>2.4552609310838802E-2</v>
      </c>
      <c r="I220" s="7"/>
      <c r="J220" s="7"/>
      <c r="K220" s="91">
        <v>6.2373935492498261E-3</v>
      </c>
      <c r="M220" s="91">
        <f t="shared" si="57"/>
        <v>1.8315215761588975E-2</v>
      </c>
      <c r="N220" s="7"/>
    </row>
    <row r="221" spans="1:14" x14ac:dyDescent="0.25">
      <c r="B221" s="92"/>
      <c r="C221" s="92"/>
      <c r="D221" s="92"/>
      <c r="E221" s="92"/>
      <c r="F221" s="92"/>
      <c r="G221" s="92"/>
      <c r="H221" s="92"/>
      <c r="K221" s="92"/>
      <c r="L221" s="92"/>
    </row>
    <row r="222" spans="1:14" x14ac:dyDescent="0.25">
      <c r="A222" s="1" t="str">
        <f t="shared" ref="A222:H222" si="63">A1</f>
        <v>CIVICA Nevada - FY28</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(27-28)</v>
      </c>
      <c r="I222" s="2"/>
      <c r="J222" s="2"/>
      <c r="K222" s="1" t="s">
        <v>239</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1CE9-4790-4F89-984C-9B3653809D71}">
  <dimension ref="A1:Q224"/>
  <sheetViews>
    <sheetView topLeftCell="A192" zoomScale="75" zoomScaleNormal="75" workbookViewId="0">
      <selection activeCell="K1" sqref="K1:K1048576"/>
    </sheetView>
  </sheetViews>
  <sheetFormatPr defaultColWidth="8.7109375" defaultRowHeight="15" x14ac:dyDescent="0.25"/>
  <cols>
    <col min="1" max="1" width="56.5703125" style="7" customWidth="1"/>
    <col min="2" max="8" width="15.7109375" style="93" customWidth="1"/>
    <col min="9" max="9" width="48.140625" style="61" customWidth="1"/>
    <col min="10" max="10" width="6.5703125" style="61" customWidth="1"/>
    <col min="11" max="11" width="20.28515625" style="93" bestFit="1" customWidth="1"/>
    <col min="12" max="12" width="6.28515625" style="93" bestFit="1" customWidth="1"/>
    <col min="13" max="13" width="14.7109375" style="61" customWidth="1"/>
    <col min="14" max="14" width="6.5703125" style="61" customWidth="1"/>
    <col min="15" max="16384" width="8.7109375" style="7"/>
  </cols>
  <sheetData>
    <row r="1" spans="1:14" s="3" customFormat="1" x14ac:dyDescent="0.25">
      <c r="A1" s="1" t="s">
        <v>243</v>
      </c>
      <c r="B1" s="1" t="s">
        <v>1</v>
      </c>
      <c r="C1" s="1" t="s">
        <v>2</v>
      </c>
      <c r="D1" s="1" t="s">
        <v>3</v>
      </c>
      <c r="E1" s="1" t="s">
        <v>4</v>
      </c>
      <c r="F1" s="1" t="s">
        <v>5</v>
      </c>
      <c r="G1" s="1" t="s">
        <v>6</v>
      </c>
      <c r="H1" s="1" t="s">
        <v>244</v>
      </c>
      <c r="I1" s="2"/>
      <c r="J1" s="2"/>
      <c r="K1" s="1" t="s">
        <v>242</v>
      </c>
      <c r="M1" s="1" t="s">
        <v>9</v>
      </c>
      <c r="N1" s="2"/>
    </row>
    <row r="2" spans="1:14" x14ac:dyDescent="0.25">
      <c r="A2" s="4" t="s">
        <v>14</v>
      </c>
      <c r="B2" s="5">
        <f>9414*1.03*1.015*1.015*1.015</f>
        <v>10139.336708917497</v>
      </c>
      <c r="C2" s="5"/>
      <c r="D2" s="5"/>
      <c r="E2" s="5"/>
      <c r="F2" s="5"/>
      <c r="G2" s="5"/>
      <c r="H2" s="5">
        <f t="shared" ref="H2:H16" si="0">SUM(B2:G2)</f>
        <v>10139.336708917497</v>
      </c>
      <c r="I2" s="6"/>
      <c r="J2" s="60"/>
      <c r="K2" s="10">
        <v>9989.4942944999984</v>
      </c>
      <c r="M2" s="5">
        <f t="shared" ref="M2:M65" si="1">H2-K2</f>
        <v>149.84241441749873</v>
      </c>
      <c r="N2" s="60"/>
    </row>
    <row r="3" spans="1:14" x14ac:dyDescent="0.25">
      <c r="A3" s="8" t="s">
        <v>15</v>
      </c>
      <c r="B3" s="9">
        <f t="shared" ref="B3" si="2">B4+B5+B6+B7+B8+B9+B10+B11+B12+B13+B14+B15+B16</f>
        <v>1765</v>
      </c>
      <c r="C3" s="9"/>
      <c r="D3" s="9"/>
      <c r="E3" s="9"/>
      <c r="F3" s="9"/>
      <c r="G3" s="9"/>
      <c r="H3" s="9">
        <f t="shared" si="0"/>
        <v>1765</v>
      </c>
      <c r="I3" s="6"/>
      <c r="J3" s="60"/>
      <c r="K3" s="9">
        <v>1680</v>
      </c>
      <c r="M3" s="9">
        <f t="shared" si="1"/>
        <v>85</v>
      </c>
      <c r="N3" s="60"/>
    </row>
    <row r="4" spans="1:14" x14ac:dyDescent="0.25">
      <c r="A4" s="99" t="s">
        <v>16</v>
      </c>
      <c r="B4" s="5">
        <f t="shared" ref="B4:B9" si="3">27*5</f>
        <v>135</v>
      </c>
      <c r="C4" s="10"/>
      <c r="D4" s="10"/>
      <c r="E4" s="10"/>
      <c r="F4" s="10"/>
      <c r="G4" s="10"/>
      <c r="H4" s="10">
        <f t="shared" si="0"/>
        <v>135</v>
      </c>
      <c r="I4" s="122">
        <f>H4/27</f>
        <v>5</v>
      </c>
      <c r="J4" s="125"/>
      <c r="K4" s="10">
        <v>135</v>
      </c>
      <c r="L4" s="125">
        <v>5</v>
      </c>
      <c r="M4" s="10">
        <f t="shared" si="1"/>
        <v>0</v>
      </c>
      <c r="N4" s="125"/>
    </row>
    <row r="5" spans="1:14" x14ac:dyDescent="0.25">
      <c r="A5" s="8" t="s">
        <v>17</v>
      </c>
      <c r="B5" s="5">
        <f t="shared" si="3"/>
        <v>135</v>
      </c>
      <c r="C5" s="10"/>
      <c r="D5" s="10"/>
      <c r="E5" s="10"/>
      <c r="F5" s="10"/>
      <c r="G5" s="10"/>
      <c r="H5" s="10">
        <f t="shared" si="0"/>
        <v>135</v>
      </c>
      <c r="I5" s="122">
        <f t="shared" ref="I5:I9" si="4">H5/27</f>
        <v>5</v>
      </c>
      <c r="J5" s="125"/>
      <c r="K5" s="10">
        <v>135</v>
      </c>
      <c r="L5" s="125">
        <v>5</v>
      </c>
      <c r="M5" s="10">
        <f t="shared" si="1"/>
        <v>0</v>
      </c>
      <c r="N5" s="125"/>
    </row>
    <row r="6" spans="1:14" x14ac:dyDescent="0.25">
      <c r="A6" s="8" t="s">
        <v>18</v>
      </c>
      <c r="B6" s="5">
        <f t="shared" si="3"/>
        <v>135</v>
      </c>
      <c r="C6" s="10"/>
      <c r="D6" s="10"/>
      <c r="E6" s="10"/>
      <c r="F6" s="10"/>
      <c r="G6" s="10"/>
      <c r="H6" s="10">
        <f t="shared" si="0"/>
        <v>135</v>
      </c>
      <c r="I6" s="122">
        <f t="shared" si="4"/>
        <v>5</v>
      </c>
      <c r="J6" s="125"/>
      <c r="K6" s="10">
        <v>135</v>
      </c>
      <c r="L6" s="125">
        <v>5</v>
      </c>
      <c r="M6" s="10">
        <f t="shared" si="1"/>
        <v>0</v>
      </c>
      <c r="N6" s="125"/>
    </row>
    <row r="7" spans="1:14" x14ac:dyDescent="0.25">
      <c r="A7" s="12" t="s">
        <v>19</v>
      </c>
      <c r="B7" s="5">
        <f t="shared" si="3"/>
        <v>135</v>
      </c>
      <c r="C7" s="10"/>
      <c r="D7" s="10"/>
      <c r="E7" s="10"/>
      <c r="F7" s="10"/>
      <c r="G7" s="10"/>
      <c r="H7" s="10">
        <f t="shared" si="0"/>
        <v>135</v>
      </c>
      <c r="I7" s="122">
        <f t="shared" si="4"/>
        <v>5</v>
      </c>
      <c r="J7" s="125"/>
      <c r="K7" s="10">
        <v>135</v>
      </c>
      <c r="L7" s="125">
        <v>5</v>
      </c>
      <c r="M7" s="10">
        <f t="shared" si="1"/>
        <v>0</v>
      </c>
      <c r="N7" s="125"/>
    </row>
    <row r="8" spans="1:14" x14ac:dyDescent="0.25">
      <c r="A8" s="12" t="s">
        <v>20</v>
      </c>
      <c r="B8" s="5">
        <f t="shared" si="3"/>
        <v>135</v>
      </c>
      <c r="C8" s="10"/>
      <c r="D8" s="10"/>
      <c r="E8" s="10"/>
      <c r="F8" s="10"/>
      <c r="G8" s="10"/>
      <c r="H8" s="10">
        <f t="shared" si="0"/>
        <v>135</v>
      </c>
      <c r="I8" s="122">
        <f t="shared" si="4"/>
        <v>5</v>
      </c>
      <c r="J8" s="125"/>
      <c r="K8" s="10">
        <v>135</v>
      </c>
      <c r="L8" s="125">
        <v>5</v>
      </c>
      <c r="M8" s="10">
        <f t="shared" si="1"/>
        <v>0</v>
      </c>
      <c r="N8" s="125"/>
    </row>
    <row r="9" spans="1:14" x14ac:dyDescent="0.25">
      <c r="A9" s="12" t="s">
        <v>21</v>
      </c>
      <c r="B9" s="5">
        <f t="shared" si="3"/>
        <v>135</v>
      </c>
      <c r="C9" s="10"/>
      <c r="D9" s="10"/>
      <c r="E9" s="10"/>
      <c r="F9" s="10"/>
      <c r="G9" s="10"/>
      <c r="H9" s="10">
        <f t="shared" si="0"/>
        <v>135</v>
      </c>
      <c r="I9" s="122">
        <f t="shared" si="4"/>
        <v>5</v>
      </c>
      <c r="J9" s="125"/>
      <c r="K9" s="10">
        <v>135</v>
      </c>
      <c r="L9" s="125">
        <v>5</v>
      </c>
      <c r="M9" s="10">
        <f t="shared" si="1"/>
        <v>0</v>
      </c>
      <c r="N9" s="125"/>
    </row>
    <row r="10" spans="1:14" x14ac:dyDescent="0.25">
      <c r="A10" s="12" t="s">
        <v>22</v>
      </c>
      <c r="B10" s="5">
        <f>31*5</f>
        <v>155</v>
      </c>
      <c r="C10" s="5"/>
      <c r="D10" s="5"/>
      <c r="E10" s="5"/>
      <c r="F10" s="5"/>
      <c r="G10" s="5"/>
      <c r="H10" s="10">
        <f t="shared" si="0"/>
        <v>155</v>
      </c>
      <c r="I10" s="122">
        <f>H10/31</f>
        <v>5</v>
      </c>
      <c r="J10" s="125"/>
      <c r="K10" s="10">
        <v>155</v>
      </c>
      <c r="L10" s="125">
        <v>5</v>
      </c>
      <c r="M10" s="10">
        <f t="shared" si="1"/>
        <v>0</v>
      </c>
      <c r="N10" s="125"/>
    </row>
    <row r="11" spans="1:14" x14ac:dyDescent="0.25">
      <c r="A11" s="12" t="s">
        <v>23</v>
      </c>
      <c r="B11" s="5">
        <f>31*5</f>
        <v>155</v>
      </c>
      <c r="C11" s="5"/>
      <c r="D11" s="5"/>
      <c r="E11" s="5"/>
      <c r="F11" s="5"/>
      <c r="G11" s="5"/>
      <c r="H11" s="10">
        <f t="shared" si="0"/>
        <v>155</v>
      </c>
      <c r="I11" s="122">
        <f t="shared" ref="I11:I12" si="5">H11/31</f>
        <v>5</v>
      </c>
      <c r="J11" s="125"/>
      <c r="K11" s="10">
        <v>155</v>
      </c>
      <c r="L11" s="125">
        <v>5</v>
      </c>
      <c r="M11" s="10">
        <f t="shared" si="1"/>
        <v>0</v>
      </c>
      <c r="N11" s="125"/>
    </row>
    <row r="12" spans="1:14" x14ac:dyDescent="0.25">
      <c r="A12" s="12" t="s">
        <v>24</v>
      </c>
      <c r="B12" s="5">
        <f>31*5</f>
        <v>155</v>
      </c>
      <c r="C12" s="5"/>
      <c r="D12" s="5"/>
      <c r="E12" s="5"/>
      <c r="F12" s="5"/>
      <c r="G12" s="5"/>
      <c r="H12" s="10">
        <f t="shared" si="0"/>
        <v>155</v>
      </c>
      <c r="I12" s="122">
        <f t="shared" si="5"/>
        <v>5</v>
      </c>
      <c r="J12" s="125"/>
      <c r="K12" s="10">
        <v>120</v>
      </c>
      <c r="L12" s="125">
        <v>5</v>
      </c>
      <c r="M12" s="10">
        <f t="shared" si="1"/>
        <v>35</v>
      </c>
      <c r="N12" s="125"/>
    </row>
    <row r="13" spans="1:14" x14ac:dyDescent="0.25">
      <c r="A13" s="12" t="s">
        <v>25</v>
      </c>
      <c r="B13" s="5">
        <f>30*4</f>
        <v>120</v>
      </c>
      <c r="C13" s="5"/>
      <c r="D13" s="5"/>
      <c r="E13" s="5"/>
      <c r="F13" s="5"/>
      <c r="G13" s="5"/>
      <c r="H13" s="10">
        <f t="shared" si="0"/>
        <v>120</v>
      </c>
      <c r="I13" s="122">
        <f>H13/30</f>
        <v>4</v>
      </c>
      <c r="K13" s="10">
        <v>135</v>
      </c>
      <c r="L13" s="125">
        <v>4</v>
      </c>
      <c r="M13" s="10">
        <f t="shared" si="1"/>
        <v>-15</v>
      </c>
    </row>
    <row r="14" spans="1:14" x14ac:dyDescent="0.25">
      <c r="A14" s="12" t="s">
        <v>26</v>
      </c>
      <c r="B14" s="5">
        <f>27*5</f>
        <v>135</v>
      </c>
      <c r="C14" s="5"/>
      <c r="D14" s="5"/>
      <c r="E14" s="5"/>
      <c r="F14" s="5"/>
      <c r="G14" s="5"/>
      <c r="H14" s="10">
        <f t="shared" si="0"/>
        <v>135</v>
      </c>
      <c r="I14" s="122">
        <f t="shared" ref="I14:I16" si="6">H14/27</f>
        <v>5</v>
      </c>
      <c r="K14" s="10">
        <v>100</v>
      </c>
      <c r="L14" s="125">
        <v>2</v>
      </c>
      <c r="M14" s="10">
        <f t="shared" si="1"/>
        <v>35</v>
      </c>
    </row>
    <row r="15" spans="1:14" x14ac:dyDescent="0.25">
      <c r="A15" s="12" t="s">
        <v>27</v>
      </c>
      <c r="B15" s="5">
        <f>35*2+30</f>
        <v>100</v>
      </c>
      <c r="C15" s="5"/>
      <c r="D15" s="5"/>
      <c r="E15" s="5"/>
      <c r="F15" s="5"/>
      <c r="G15" s="5"/>
      <c r="H15" s="10">
        <f t="shared" si="0"/>
        <v>100</v>
      </c>
      <c r="I15" s="122">
        <v>3</v>
      </c>
      <c r="K15" s="10">
        <v>135</v>
      </c>
      <c r="L15" s="125">
        <v>2</v>
      </c>
      <c r="M15" s="10">
        <f t="shared" si="1"/>
        <v>-35</v>
      </c>
    </row>
    <row r="16" spans="1:14" x14ac:dyDescent="0.25">
      <c r="A16" s="12" t="s">
        <v>28</v>
      </c>
      <c r="B16" s="5">
        <f>27*5</f>
        <v>135</v>
      </c>
      <c r="C16" s="5"/>
      <c r="D16" s="5"/>
      <c r="E16" s="5"/>
      <c r="F16" s="5"/>
      <c r="G16" s="5"/>
      <c r="H16" s="10">
        <f t="shared" si="0"/>
        <v>135</v>
      </c>
      <c r="I16" s="122">
        <f t="shared" si="6"/>
        <v>5</v>
      </c>
      <c r="K16" s="10">
        <v>70</v>
      </c>
      <c r="L16" s="125">
        <v>2</v>
      </c>
      <c r="M16" s="10">
        <f t="shared" si="1"/>
        <v>65</v>
      </c>
    </row>
    <row r="17" spans="1:14" x14ac:dyDescent="0.25">
      <c r="A17" s="100" t="s">
        <v>15</v>
      </c>
      <c r="B17" s="9">
        <f t="shared" ref="B17:G17" si="7">SUM(B4:B16)</f>
        <v>1765</v>
      </c>
      <c r="C17" s="9">
        <f t="shared" si="7"/>
        <v>0</v>
      </c>
      <c r="D17" s="9">
        <f t="shared" si="7"/>
        <v>0</v>
      </c>
      <c r="E17" s="9">
        <f t="shared" si="7"/>
        <v>0</v>
      </c>
      <c r="F17" s="9">
        <f t="shared" si="7"/>
        <v>0</v>
      </c>
      <c r="G17" s="9">
        <f t="shared" si="7"/>
        <v>0</v>
      </c>
      <c r="H17" s="9">
        <f>SUM(H4:H16)</f>
        <v>1765</v>
      </c>
      <c r="I17" s="122">
        <f>SUM(I4:I16)</f>
        <v>62</v>
      </c>
      <c r="J17" s="126"/>
      <c r="K17" s="9">
        <v>1680</v>
      </c>
      <c r="L17" s="125">
        <f>SUM(L4:L16)</f>
        <v>55</v>
      </c>
      <c r="M17" s="9">
        <f t="shared" si="1"/>
        <v>85</v>
      </c>
      <c r="N17" s="126"/>
    </row>
    <row r="18" spans="1:14" x14ac:dyDescent="0.25">
      <c r="A18" s="12"/>
      <c r="B18" s="5"/>
      <c r="C18" s="13"/>
      <c r="D18" s="13"/>
      <c r="E18" s="13"/>
      <c r="F18" s="13"/>
      <c r="G18" s="13"/>
      <c r="H18" s="13"/>
      <c r="I18" s="18"/>
      <c r="J18" s="7"/>
      <c r="K18" s="13"/>
      <c r="M18" s="13">
        <f t="shared" si="1"/>
        <v>0</v>
      </c>
      <c r="N18" s="7"/>
    </row>
    <row r="19" spans="1:14" x14ac:dyDescent="0.25">
      <c r="A19" s="14" t="s">
        <v>29</v>
      </c>
      <c r="B19" s="15" t="str">
        <f>B1</f>
        <v>Operating</v>
      </c>
      <c r="C19" s="15" t="str">
        <f>C1</f>
        <v>SPED</v>
      </c>
      <c r="D19" s="15" t="str">
        <f>D1</f>
        <v>NSLP</v>
      </c>
      <c r="E19" s="15" t="str">
        <f t="shared" ref="E19:G19" si="8">E1</f>
        <v>Other</v>
      </c>
      <c r="F19" s="15" t="str">
        <f t="shared" si="8"/>
        <v>Title I</v>
      </c>
      <c r="G19" s="15" t="str">
        <f t="shared" si="8"/>
        <v>Title II/III/IV</v>
      </c>
      <c r="H19" s="15" t="str">
        <f>H1</f>
        <v>Total (28-29)</v>
      </c>
      <c r="I19" s="16"/>
      <c r="J19" s="16"/>
      <c r="K19" s="15" t="s">
        <v>242</v>
      </c>
      <c r="M19" s="15" t="str">
        <f>M1</f>
        <v>Variance</v>
      </c>
      <c r="N19" s="16"/>
    </row>
    <row r="20" spans="1:14" x14ac:dyDescent="0.25">
      <c r="A20" s="12" t="s">
        <v>31</v>
      </c>
      <c r="B20" s="5"/>
      <c r="C20" s="5">
        <f>('27-28'!C20/'27-28'!B17)*'28-29'!B17</f>
        <v>128.21226415094338</v>
      </c>
      <c r="D20" s="5"/>
      <c r="E20" s="5"/>
      <c r="F20" s="5"/>
      <c r="G20" s="5"/>
      <c r="H20" s="5">
        <f>SUM(B20:G20)</f>
        <v>128.21226415094338</v>
      </c>
      <c r="I20" s="17" t="s">
        <v>32</v>
      </c>
      <c r="J20" s="127"/>
      <c r="K20" s="10">
        <v>122.0377358490566</v>
      </c>
      <c r="M20" s="5">
        <f t="shared" si="1"/>
        <v>6.1745283018867809</v>
      </c>
      <c r="N20" s="127"/>
    </row>
    <row r="21" spans="1:14" x14ac:dyDescent="0.25">
      <c r="A21" s="12" t="s">
        <v>33</v>
      </c>
      <c r="B21" s="5">
        <f>('27-28'!B21+25)</f>
        <v>376</v>
      </c>
      <c r="C21" s="5"/>
      <c r="D21" s="5"/>
      <c r="E21" s="5"/>
      <c r="F21" s="5"/>
      <c r="G21" s="5"/>
      <c r="H21" s="5">
        <f>SUM(B21:G21)</f>
        <v>376</v>
      </c>
      <c r="I21" s="17"/>
      <c r="J21" s="127"/>
      <c r="K21" s="10">
        <v>351</v>
      </c>
      <c r="M21" s="5">
        <f t="shared" si="1"/>
        <v>25</v>
      </c>
      <c r="N21" s="127"/>
    </row>
    <row r="22" spans="1:14" x14ac:dyDescent="0.25">
      <c r="A22" s="12" t="s">
        <v>34</v>
      </c>
      <c r="B22" s="10">
        <v>0</v>
      </c>
      <c r="C22" s="10"/>
      <c r="D22" s="10"/>
      <c r="E22" s="10"/>
      <c r="F22" s="10"/>
      <c r="G22" s="10"/>
      <c r="H22" s="5">
        <f>SUM(B22:G22)</f>
        <v>0</v>
      </c>
      <c r="I22" s="11"/>
      <c r="K22" s="10">
        <v>0</v>
      </c>
      <c r="M22" s="5">
        <f t="shared" si="1"/>
        <v>0</v>
      </c>
    </row>
    <row r="23" spans="1:14" x14ac:dyDescent="0.25">
      <c r="A23" s="12" t="s">
        <v>35</v>
      </c>
      <c r="B23" s="10">
        <f>('27-28'!B23/'27-28'!B17)*'28-29'!B17</f>
        <v>919.13207547169816</v>
      </c>
      <c r="C23" s="19"/>
      <c r="D23" s="19">
        <v>1</v>
      </c>
      <c r="E23" s="19"/>
      <c r="F23" s="19"/>
      <c r="G23" s="19"/>
      <c r="H23" s="19">
        <f>SUM(C23:G23)</f>
        <v>1</v>
      </c>
      <c r="I23" s="20"/>
      <c r="J23" s="128"/>
      <c r="K23" s="19">
        <v>1</v>
      </c>
      <c r="M23" s="19">
        <f t="shared" si="1"/>
        <v>0</v>
      </c>
      <c r="N23" s="128"/>
    </row>
    <row r="24" spans="1:14" x14ac:dyDescent="0.25">
      <c r="A24" s="12" t="s">
        <v>36</v>
      </c>
      <c r="B24" s="5">
        <f>('27-28'!B24+3)</f>
        <v>113</v>
      </c>
      <c r="C24" s="5"/>
      <c r="D24" s="5"/>
      <c r="E24" s="5"/>
      <c r="F24" s="5"/>
      <c r="G24" s="5"/>
      <c r="H24" s="5">
        <f>SUM(B24:G24)</f>
        <v>113</v>
      </c>
      <c r="I24" s="20"/>
      <c r="J24" s="128"/>
      <c r="K24" s="10">
        <v>110</v>
      </c>
      <c r="M24" s="5">
        <f t="shared" si="1"/>
        <v>3</v>
      </c>
      <c r="N24" s="128"/>
    </row>
    <row r="25" spans="1:14" x14ac:dyDescent="0.25">
      <c r="A25" s="12"/>
      <c r="B25" s="5"/>
      <c r="C25" s="5"/>
      <c r="D25" s="5"/>
      <c r="E25" s="5"/>
      <c r="F25" s="5"/>
      <c r="G25" s="5"/>
      <c r="H25" s="5"/>
      <c r="I25" s="7"/>
      <c r="J25" s="7"/>
      <c r="K25" s="10"/>
      <c r="M25" s="5">
        <f t="shared" si="1"/>
        <v>0</v>
      </c>
      <c r="N25" s="7"/>
    </row>
    <row r="26" spans="1:14" x14ac:dyDescent="0.25">
      <c r="A26" s="21" t="s">
        <v>37</v>
      </c>
      <c r="B26" s="15" t="str">
        <f>B1</f>
        <v>Operating</v>
      </c>
      <c r="C26" s="15" t="str">
        <f>C1</f>
        <v>SPED</v>
      </c>
      <c r="D26" s="15" t="str">
        <f>D1</f>
        <v>NSLP</v>
      </c>
      <c r="E26" s="15" t="str">
        <f t="shared" ref="E26:G26" si="9">E1</f>
        <v>Other</v>
      </c>
      <c r="F26" s="15" t="str">
        <f t="shared" si="9"/>
        <v>Title I</v>
      </c>
      <c r="G26" s="15" t="str">
        <f t="shared" si="9"/>
        <v>Title II/III/IV</v>
      </c>
      <c r="H26" s="15" t="str">
        <f>H1</f>
        <v>Total (28-29)</v>
      </c>
      <c r="I26" s="16"/>
      <c r="J26" s="16"/>
      <c r="K26" s="15" t="s">
        <v>242</v>
      </c>
      <c r="M26" s="15" t="str">
        <f>M1</f>
        <v>Variance</v>
      </c>
      <c r="N26" s="16"/>
    </row>
    <row r="27" spans="1:14" x14ac:dyDescent="0.25">
      <c r="A27" s="29" t="s">
        <v>38</v>
      </c>
      <c r="B27" s="23">
        <v>62</v>
      </c>
      <c r="C27" s="23"/>
      <c r="D27" s="23"/>
      <c r="E27" s="23"/>
      <c r="F27" s="23"/>
      <c r="G27" s="23"/>
      <c r="H27" s="23">
        <f t="shared" ref="H27:H35" si="10">SUM(B27:G27)</f>
        <v>62</v>
      </c>
      <c r="I27" s="122">
        <f>H27/6</f>
        <v>10.333333333333334</v>
      </c>
      <c r="J27" s="125"/>
      <c r="K27" s="25">
        <v>59</v>
      </c>
      <c r="M27" s="23">
        <f t="shared" si="1"/>
        <v>3</v>
      </c>
      <c r="N27" s="125"/>
    </row>
    <row r="28" spans="1:14" x14ac:dyDescent="0.25">
      <c r="A28" s="29" t="s">
        <v>39</v>
      </c>
      <c r="B28" s="25">
        <v>0</v>
      </c>
      <c r="C28" s="25">
        <v>7</v>
      </c>
      <c r="D28" s="25"/>
      <c r="E28" s="25"/>
      <c r="F28" s="25"/>
      <c r="G28" s="25"/>
      <c r="H28" s="23">
        <f t="shared" si="10"/>
        <v>7</v>
      </c>
      <c r="I28" s="122">
        <f>H20/21</f>
        <v>6.1053459119496853</v>
      </c>
      <c r="J28" s="125"/>
      <c r="K28" s="25">
        <v>7</v>
      </c>
      <c r="M28" s="23">
        <f t="shared" si="1"/>
        <v>0</v>
      </c>
      <c r="N28" s="125"/>
    </row>
    <row r="29" spans="1:14" x14ac:dyDescent="0.25">
      <c r="A29" s="29" t="s">
        <v>40</v>
      </c>
      <c r="B29" s="23">
        <v>2</v>
      </c>
      <c r="C29" s="23"/>
      <c r="D29" s="23"/>
      <c r="E29" s="23"/>
      <c r="F29" s="23"/>
      <c r="G29" s="23"/>
      <c r="H29" s="23">
        <f t="shared" si="10"/>
        <v>2</v>
      </c>
      <c r="I29" s="11"/>
      <c r="K29" s="25">
        <v>2</v>
      </c>
      <c r="M29" s="23">
        <f t="shared" si="1"/>
        <v>0</v>
      </c>
    </row>
    <row r="30" spans="1:14" x14ac:dyDescent="0.25">
      <c r="A30" s="29" t="s">
        <v>41</v>
      </c>
      <c r="B30" s="23">
        <v>1</v>
      </c>
      <c r="C30" s="23"/>
      <c r="D30" s="23"/>
      <c r="E30" s="23"/>
      <c r="F30" s="23"/>
      <c r="G30" s="23"/>
      <c r="H30" s="23">
        <f t="shared" si="10"/>
        <v>1</v>
      </c>
      <c r="I30" s="11"/>
      <c r="K30" s="25">
        <v>1</v>
      </c>
      <c r="M30" s="23">
        <f t="shared" si="1"/>
        <v>0</v>
      </c>
    </row>
    <row r="31" spans="1:14" x14ac:dyDescent="0.25">
      <c r="A31" s="29" t="s">
        <v>42</v>
      </c>
      <c r="B31" s="23">
        <v>2</v>
      </c>
      <c r="C31" s="23"/>
      <c r="D31" s="23"/>
      <c r="E31" s="23"/>
      <c r="F31" s="23"/>
      <c r="G31" s="23"/>
      <c r="H31" s="23">
        <f t="shared" si="10"/>
        <v>2</v>
      </c>
      <c r="I31" s="11"/>
      <c r="K31" s="25">
        <v>1</v>
      </c>
      <c r="M31" s="23">
        <f t="shared" si="1"/>
        <v>1</v>
      </c>
    </row>
    <row r="32" spans="1:14" x14ac:dyDescent="0.25">
      <c r="A32" s="97" t="s">
        <v>43</v>
      </c>
      <c r="B32" s="23">
        <v>1</v>
      </c>
      <c r="C32" s="23"/>
      <c r="D32" s="23"/>
      <c r="E32" s="23"/>
      <c r="F32" s="23"/>
      <c r="G32" s="23"/>
      <c r="H32" s="23">
        <f t="shared" si="10"/>
        <v>1</v>
      </c>
      <c r="I32" s="11"/>
      <c r="K32" s="25">
        <v>1</v>
      </c>
      <c r="M32" s="23">
        <f t="shared" si="1"/>
        <v>0</v>
      </c>
    </row>
    <row r="33" spans="1:14" x14ac:dyDescent="0.25">
      <c r="A33" s="97" t="s">
        <v>44</v>
      </c>
      <c r="B33" s="23">
        <v>1</v>
      </c>
      <c r="C33" s="23"/>
      <c r="D33" s="23"/>
      <c r="E33" s="23"/>
      <c r="F33" s="23"/>
      <c r="G33" s="23"/>
      <c r="H33" s="23">
        <f t="shared" si="10"/>
        <v>1</v>
      </c>
      <c r="I33" s="11"/>
      <c r="K33" s="25">
        <v>1</v>
      </c>
      <c r="M33" s="23">
        <f t="shared" si="1"/>
        <v>0</v>
      </c>
    </row>
    <row r="34" spans="1:14" x14ac:dyDescent="0.25">
      <c r="A34" s="97" t="s">
        <v>45</v>
      </c>
      <c r="B34" s="23">
        <v>2</v>
      </c>
      <c r="C34" s="23"/>
      <c r="D34" s="23"/>
      <c r="E34" s="23"/>
      <c r="F34" s="23"/>
      <c r="G34" s="23"/>
      <c r="H34" s="23">
        <f t="shared" si="10"/>
        <v>2</v>
      </c>
      <c r="I34" s="11"/>
      <c r="K34" s="25">
        <v>2</v>
      </c>
      <c r="M34" s="23">
        <f t="shared" si="1"/>
        <v>0</v>
      </c>
    </row>
    <row r="35" spans="1:14" x14ac:dyDescent="0.25">
      <c r="A35" s="30" t="s">
        <v>46</v>
      </c>
      <c r="B35" s="23">
        <v>0</v>
      </c>
      <c r="C35" s="23"/>
      <c r="D35" s="23"/>
      <c r="E35" s="23"/>
      <c r="F35" s="23"/>
      <c r="G35" s="23"/>
      <c r="H35" s="23">
        <f t="shared" si="10"/>
        <v>0</v>
      </c>
      <c r="I35" s="11"/>
      <c r="K35" s="25">
        <v>0</v>
      </c>
      <c r="M35" s="23">
        <f t="shared" si="1"/>
        <v>0</v>
      </c>
    </row>
    <row r="36" spans="1:14" x14ac:dyDescent="0.25">
      <c r="A36" s="21" t="s">
        <v>47</v>
      </c>
      <c r="B36" s="28">
        <f>SUM(B27:B35)</f>
        <v>71</v>
      </c>
      <c r="C36" s="28">
        <f t="shared" ref="C36:G36" si="11">SUM(C27:C35)</f>
        <v>7</v>
      </c>
      <c r="D36" s="28">
        <f t="shared" si="11"/>
        <v>0</v>
      </c>
      <c r="E36" s="28">
        <f t="shared" si="11"/>
        <v>0</v>
      </c>
      <c r="F36" s="28">
        <f t="shared" si="11"/>
        <v>0</v>
      </c>
      <c r="G36" s="28">
        <f t="shared" si="11"/>
        <v>0</v>
      </c>
      <c r="H36" s="28">
        <f>SUM(H27:H35)</f>
        <v>78</v>
      </c>
      <c r="I36" s="7"/>
      <c r="J36" s="7"/>
      <c r="K36" s="28">
        <v>74</v>
      </c>
      <c r="M36" s="28">
        <f t="shared" si="1"/>
        <v>4</v>
      </c>
      <c r="N36" s="7"/>
    </row>
    <row r="37" spans="1:14" x14ac:dyDescent="0.25">
      <c r="A37" s="27"/>
      <c r="B37" s="5"/>
      <c r="C37" s="5"/>
      <c r="D37" s="5"/>
      <c r="E37" s="5"/>
      <c r="F37" s="5"/>
      <c r="G37" s="5"/>
      <c r="H37" s="5"/>
      <c r="I37" s="7"/>
      <c r="J37" s="7"/>
      <c r="K37" s="5"/>
      <c r="M37" s="5">
        <f t="shared" si="1"/>
        <v>0</v>
      </c>
      <c r="N37" s="7"/>
    </row>
    <row r="38" spans="1:14" x14ac:dyDescent="0.25">
      <c r="A38" s="21" t="s">
        <v>48</v>
      </c>
      <c r="B38" s="15" t="str">
        <f>B1</f>
        <v>Operating</v>
      </c>
      <c r="C38" s="15" t="str">
        <f>C1</f>
        <v>SPED</v>
      </c>
      <c r="D38" s="15" t="str">
        <f>D1</f>
        <v>NSLP</v>
      </c>
      <c r="E38" s="15" t="str">
        <f t="shared" ref="E38:G38" si="12">E1</f>
        <v>Other</v>
      </c>
      <c r="F38" s="15" t="str">
        <f t="shared" si="12"/>
        <v>Title I</v>
      </c>
      <c r="G38" s="15" t="str">
        <f t="shared" si="12"/>
        <v>Title II/III/IV</v>
      </c>
      <c r="H38" s="15" t="str">
        <f>H1</f>
        <v>Total (28-29)</v>
      </c>
      <c r="I38" s="16"/>
      <c r="J38" s="16"/>
      <c r="K38" s="15" t="s">
        <v>242</v>
      </c>
      <c r="M38" s="15" t="str">
        <f>M1</f>
        <v>Variance</v>
      </c>
      <c r="N38" s="16"/>
    </row>
    <row r="39" spans="1:14" x14ac:dyDescent="0.25">
      <c r="A39" s="29" t="s">
        <v>49</v>
      </c>
      <c r="B39" s="25">
        <v>1</v>
      </c>
      <c r="C39" s="25"/>
      <c r="D39" s="25"/>
      <c r="E39" s="25"/>
      <c r="F39" s="25"/>
      <c r="G39" s="25"/>
      <c r="H39" s="23">
        <f t="shared" ref="H39:H44" si="13">SUM(B39:G39)</f>
        <v>1</v>
      </c>
      <c r="I39" s="11"/>
      <c r="K39" s="25">
        <v>1</v>
      </c>
      <c r="M39" s="23">
        <f t="shared" si="1"/>
        <v>0</v>
      </c>
    </row>
    <row r="40" spans="1:14" x14ac:dyDescent="0.25">
      <c r="A40" s="29" t="s">
        <v>50</v>
      </c>
      <c r="B40" s="25">
        <v>4</v>
      </c>
      <c r="C40" s="25"/>
      <c r="D40" s="25"/>
      <c r="E40" s="25"/>
      <c r="F40" s="25">
        <v>0</v>
      </c>
      <c r="G40" s="25"/>
      <c r="H40" s="23">
        <f t="shared" si="13"/>
        <v>4</v>
      </c>
      <c r="I40" s="11"/>
      <c r="K40" s="25">
        <v>4</v>
      </c>
      <c r="M40" s="23">
        <f t="shared" si="1"/>
        <v>0</v>
      </c>
    </row>
    <row r="41" spans="1:14" x14ac:dyDescent="0.25">
      <c r="A41" s="30" t="s">
        <v>51</v>
      </c>
      <c r="B41" s="25">
        <v>1</v>
      </c>
      <c r="C41" s="25"/>
      <c r="D41" s="25"/>
      <c r="E41" s="25"/>
      <c r="F41" s="25"/>
      <c r="G41" s="25"/>
      <c r="H41" s="23">
        <f t="shared" si="13"/>
        <v>1</v>
      </c>
      <c r="I41" s="11"/>
      <c r="K41" s="25">
        <v>1</v>
      </c>
      <c r="M41" s="23">
        <f t="shared" si="1"/>
        <v>0</v>
      </c>
    </row>
    <row r="42" spans="1:14" x14ac:dyDescent="0.25">
      <c r="A42" s="31" t="s">
        <v>52</v>
      </c>
      <c r="B42" s="25">
        <v>1</v>
      </c>
      <c r="C42" s="25"/>
      <c r="D42" s="25"/>
      <c r="E42" s="25"/>
      <c r="F42" s="25">
        <v>1</v>
      </c>
      <c r="G42" s="25"/>
      <c r="H42" s="23">
        <f t="shared" si="13"/>
        <v>2</v>
      </c>
      <c r="I42" s="11"/>
      <c r="K42" s="25">
        <v>2</v>
      </c>
      <c r="M42" s="23">
        <f t="shared" si="1"/>
        <v>0</v>
      </c>
    </row>
    <row r="43" spans="1:14" x14ac:dyDescent="0.25">
      <c r="A43" s="31" t="s">
        <v>53</v>
      </c>
      <c r="B43" s="25">
        <v>3</v>
      </c>
      <c r="C43" s="25"/>
      <c r="D43" s="25"/>
      <c r="E43" s="25"/>
      <c r="F43" s="25"/>
      <c r="G43" s="25"/>
      <c r="H43" s="23">
        <f t="shared" si="13"/>
        <v>3</v>
      </c>
      <c r="I43" s="11"/>
      <c r="K43" s="25">
        <v>3</v>
      </c>
      <c r="M43" s="23">
        <f t="shared" si="1"/>
        <v>0</v>
      </c>
    </row>
    <row r="44" spans="1:14" x14ac:dyDescent="0.25">
      <c r="A44" s="31" t="s">
        <v>54</v>
      </c>
      <c r="B44" s="25">
        <v>2</v>
      </c>
      <c r="C44" s="25"/>
      <c r="D44" s="25"/>
      <c r="E44" s="25"/>
      <c r="F44" s="25">
        <v>1</v>
      </c>
      <c r="G44" s="25">
        <v>0</v>
      </c>
      <c r="H44" s="23">
        <f t="shared" si="13"/>
        <v>3</v>
      </c>
      <c r="I44" s="11"/>
      <c r="K44" s="25">
        <v>3</v>
      </c>
      <c r="M44" s="23">
        <f t="shared" si="1"/>
        <v>0</v>
      </c>
    </row>
    <row r="45" spans="1:14" x14ac:dyDescent="0.25">
      <c r="A45" s="31" t="s">
        <v>55</v>
      </c>
      <c r="B45" s="25">
        <v>0</v>
      </c>
      <c r="C45" s="25"/>
      <c r="D45" s="25"/>
      <c r="E45" s="25"/>
      <c r="F45" s="25"/>
      <c r="G45" s="25"/>
      <c r="H45" s="23"/>
      <c r="I45" s="11"/>
      <c r="K45" s="25"/>
      <c r="M45" s="23">
        <f t="shared" si="1"/>
        <v>0</v>
      </c>
    </row>
    <row r="46" spans="1:14" x14ac:dyDescent="0.25">
      <c r="A46" s="29" t="s">
        <v>56</v>
      </c>
      <c r="B46" s="25">
        <v>2</v>
      </c>
      <c r="C46" s="25"/>
      <c r="D46" s="25"/>
      <c r="E46" s="25"/>
      <c r="F46" s="25"/>
      <c r="G46" s="25"/>
      <c r="H46" s="23">
        <f t="shared" ref="H46:H60" si="14">SUM(B46:G46)</f>
        <v>2</v>
      </c>
      <c r="I46" s="11"/>
      <c r="K46" s="25">
        <v>2</v>
      </c>
      <c r="M46" s="23">
        <f t="shared" si="1"/>
        <v>0</v>
      </c>
    </row>
    <row r="47" spans="1:14" x14ac:dyDescent="0.25">
      <c r="A47" s="29" t="s">
        <v>57</v>
      </c>
      <c r="B47" s="25">
        <v>2</v>
      </c>
      <c r="C47" s="25"/>
      <c r="D47" s="25"/>
      <c r="E47" s="25"/>
      <c r="F47" s="25"/>
      <c r="G47" s="25"/>
      <c r="H47" s="23">
        <f t="shared" si="14"/>
        <v>2</v>
      </c>
      <c r="I47" s="11"/>
      <c r="K47" s="25">
        <v>2</v>
      </c>
      <c r="M47" s="23">
        <f t="shared" si="1"/>
        <v>0</v>
      </c>
    </row>
    <row r="48" spans="1:14" x14ac:dyDescent="0.25">
      <c r="A48" s="29" t="s">
        <v>58</v>
      </c>
      <c r="B48" s="25">
        <v>5</v>
      </c>
      <c r="C48" s="25"/>
      <c r="D48" s="25"/>
      <c r="E48" s="25"/>
      <c r="F48" s="25"/>
      <c r="G48" s="25"/>
      <c r="H48" s="23">
        <f t="shared" si="14"/>
        <v>5</v>
      </c>
      <c r="I48" s="11"/>
      <c r="K48" s="25">
        <v>5</v>
      </c>
      <c r="M48" s="23">
        <f t="shared" si="1"/>
        <v>0</v>
      </c>
    </row>
    <row r="49" spans="1:14" x14ac:dyDescent="0.25">
      <c r="A49" s="29" t="s">
        <v>59</v>
      </c>
      <c r="B49" s="25">
        <v>4</v>
      </c>
      <c r="C49" s="25"/>
      <c r="D49" s="25"/>
      <c r="E49" s="25"/>
      <c r="F49" s="25"/>
      <c r="G49" s="25"/>
      <c r="H49" s="23">
        <f t="shared" si="14"/>
        <v>4</v>
      </c>
      <c r="I49" s="11"/>
      <c r="K49" s="25">
        <v>4</v>
      </c>
      <c r="M49" s="23">
        <f t="shared" si="1"/>
        <v>0</v>
      </c>
    </row>
    <row r="50" spans="1:14" x14ac:dyDescent="0.25">
      <c r="A50" s="29" t="s">
        <v>60</v>
      </c>
      <c r="B50" s="25">
        <v>12</v>
      </c>
      <c r="C50" s="25">
        <v>5</v>
      </c>
      <c r="D50" s="25"/>
      <c r="E50" s="25"/>
      <c r="F50" s="25">
        <v>8</v>
      </c>
      <c r="G50" s="25">
        <v>4</v>
      </c>
      <c r="H50" s="23">
        <f t="shared" si="14"/>
        <v>29</v>
      </c>
      <c r="I50" s="11"/>
      <c r="K50" s="25">
        <v>29</v>
      </c>
      <c r="M50" s="23">
        <f t="shared" si="1"/>
        <v>0</v>
      </c>
    </row>
    <row r="51" spans="1:14" x14ac:dyDescent="0.25">
      <c r="A51" s="29" t="s">
        <v>61</v>
      </c>
      <c r="B51" s="25">
        <v>6</v>
      </c>
      <c r="C51" s="25"/>
      <c r="D51" s="25"/>
      <c r="E51" s="25"/>
      <c r="F51" s="25"/>
      <c r="G51" s="25"/>
      <c r="H51" s="23">
        <f t="shared" si="14"/>
        <v>6</v>
      </c>
      <c r="I51" s="11"/>
      <c r="K51" s="25">
        <v>6</v>
      </c>
      <c r="M51" s="23">
        <f t="shared" si="1"/>
        <v>0</v>
      </c>
    </row>
    <row r="52" spans="1:14" x14ac:dyDescent="0.25">
      <c r="A52" s="29" t="s">
        <v>62</v>
      </c>
      <c r="B52" s="25"/>
      <c r="C52" s="25"/>
      <c r="D52" s="25">
        <v>6</v>
      </c>
      <c r="E52" s="25"/>
      <c r="F52" s="25"/>
      <c r="G52" s="25"/>
      <c r="H52" s="23">
        <f t="shared" si="14"/>
        <v>6</v>
      </c>
      <c r="I52" s="11"/>
      <c r="K52" s="25">
        <v>6</v>
      </c>
      <c r="M52" s="23">
        <f t="shared" si="1"/>
        <v>0</v>
      </c>
    </row>
    <row r="53" spans="1:14" x14ac:dyDescent="0.25">
      <c r="A53" s="29" t="s">
        <v>63</v>
      </c>
      <c r="B53" s="25">
        <v>0</v>
      </c>
      <c r="C53" s="25"/>
      <c r="D53" s="25"/>
      <c r="E53" s="25"/>
      <c r="F53" s="25">
        <v>1</v>
      </c>
      <c r="G53" s="25"/>
      <c r="H53" s="23">
        <f t="shared" si="14"/>
        <v>1</v>
      </c>
      <c r="I53" s="6"/>
      <c r="J53" s="60"/>
      <c r="K53" s="25">
        <v>1</v>
      </c>
      <c r="M53" s="23">
        <f t="shared" si="1"/>
        <v>0</v>
      </c>
      <c r="N53" s="60"/>
    </row>
    <row r="54" spans="1:14" x14ac:dyDescent="0.25">
      <c r="A54" s="30" t="s">
        <v>64</v>
      </c>
      <c r="B54" s="25">
        <v>0</v>
      </c>
      <c r="C54" s="25">
        <v>1</v>
      </c>
      <c r="D54" s="25"/>
      <c r="E54" s="25"/>
      <c r="F54" s="25"/>
      <c r="G54" s="25"/>
      <c r="H54" s="23">
        <f t="shared" si="14"/>
        <v>1</v>
      </c>
      <c r="I54" s="6"/>
      <c r="J54" s="60"/>
      <c r="K54" s="25">
        <v>1</v>
      </c>
      <c r="M54" s="23">
        <f t="shared" si="1"/>
        <v>0</v>
      </c>
      <c r="N54" s="60"/>
    </row>
    <row r="55" spans="1:14" x14ac:dyDescent="0.25">
      <c r="A55" s="30" t="s">
        <v>65</v>
      </c>
      <c r="B55" s="25"/>
      <c r="C55" s="25">
        <v>0</v>
      </c>
      <c r="D55" s="25"/>
      <c r="E55" s="25"/>
      <c r="F55" s="25"/>
      <c r="G55" s="25"/>
      <c r="H55" s="23">
        <f t="shared" si="14"/>
        <v>0</v>
      </c>
      <c r="I55" s="6"/>
      <c r="J55" s="60"/>
      <c r="K55" s="25">
        <v>0</v>
      </c>
      <c r="M55" s="23">
        <f t="shared" si="1"/>
        <v>0</v>
      </c>
      <c r="N55" s="60"/>
    </row>
    <row r="56" spans="1:14" x14ac:dyDescent="0.25">
      <c r="A56" s="30" t="s">
        <v>66</v>
      </c>
      <c r="B56" s="25"/>
      <c r="C56" s="25">
        <v>0</v>
      </c>
      <c r="D56" s="25"/>
      <c r="E56" s="25"/>
      <c r="F56" s="25"/>
      <c r="G56" s="25"/>
      <c r="H56" s="23">
        <f t="shared" si="14"/>
        <v>0</v>
      </c>
      <c r="I56" s="6"/>
      <c r="J56" s="60"/>
      <c r="K56" s="25">
        <v>0</v>
      </c>
      <c r="M56" s="23">
        <f t="shared" si="1"/>
        <v>0</v>
      </c>
      <c r="N56" s="60"/>
    </row>
    <row r="57" spans="1:14" x14ac:dyDescent="0.25">
      <c r="A57" s="30" t="s">
        <v>67</v>
      </c>
      <c r="B57" s="25"/>
      <c r="C57" s="25"/>
      <c r="D57" s="25"/>
      <c r="E57" s="25"/>
      <c r="F57" s="25"/>
      <c r="G57" s="25"/>
      <c r="H57" s="23">
        <f t="shared" si="14"/>
        <v>0</v>
      </c>
      <c r="I57" s="6"/>
      <c r="J57" s="60"/>
      <c r="K57" s="25">
        <v>0</v>
      </c>
      <c r="M57" s="23">
        <f t="shared" si="1"/>
        <v>0</v>
      </c>
      <c r="N57" s="60"/>
    </row>
    <row r="58" spans="1:14" x14ac:dyDescent="0.25">
      <c r="A58" s="30" t="s">
        <v>68</v>
      </c>
      <c r="B58" s="25"/>
      <c r="C58" s="25"/>
      <c r="D58" s="25"/>
      <c r="E58" s="25"/>
      <c r="F58" s="25"/>
      <c r="G58" s="25"/>
      <c r="H58" s="23">
        <f t="shared" si="14"/>
        <v>0</v>
      </c>
      <c r="I58" s="6"/>
      <c r="J58" s="60"/>
      <c r="K58" s="25">
        <v>0</v>
      </c>
      <c r="M58" s="23">
        <f t="shared" si="1"/>
        <v>0</v>
      </c>
      <c r="N58" s="60"/>
    </row>
    <row r="59" spans="1:14" x14ac:dyDescent="0.25">
      <c r="A59" s="30" t="s">
        <v>69</v>
      </c>
      <c r="B59" s="25">
        <v>3</v>
      </c>
      <c r="C59" s="25"/>
      <c r="D59" s="25"/>
      <c r="E59" s="25"/>
      <c r="F59" s="25"/>
      <c r="G59" s="25"/>
      <c r="H59" s="23">
        <f t="shared" si="14"/>
        <v>3</v>
      </c>
      <c r="I59" s="6"/>
      <c r="J59" s="60"/>
      <c r="K59" s="25">
        <v>3</v>
      </c>
      <c r="M59" s="23">
        <f t="shared" si="1"/>
        <v>0</v>
      </c>
      <c r="N59" s="60"/>
    </row>
    <row r="60" spans="1:14" x14ac:dyDescent="0.25">
      <c r="A60" s="29" t="s">
        <v>70</v>
      </c>
      <c r="B60" s="23"/>
      <c r="C60" s="23"/>
      <c r="D60" s="23"/>
      <c r="E60" s="23"/>
      <c r="F60" s="23"/>
      <c r="G60" s="23"/>
      <c r="H60" s="23">
        <f t="shared" si="14"/>
        <v>0</v>
      </c>
      <c r="I60" s="6"/>
      <c r="J60" s="60"/>
      <c r="K60" s="25">
        <v>0</v>
      </c>
      <c r="M60" s="23">
        <f t="shared" si="1"/>
        <v>0</v>
      </c>
      <c r="N60" s="60"/>
    </row>
    <row r="61" spans="1:14" x14ac:dyDescent="0.25">
      <c r="A61" s="21" t="s">
        <v>71</v>
      </c>
      <c r="B61" s="33">
        <f>SUM(B39:B60)</f>
        <v>46</v>
      </c>
      <c r="C61" s="33">
        <f>SUM(C39:C60)</f>
        <v>6</v>
      </c>
      <c r="D61" s="33">
        <f>SUM(D39:D60)</f>
        <v>6</v>
      </c>
      <c r="E61" s="33">
        <f t="shared" ref="E61:G61" si="15">SUM(E39:E60)</f>
        <v>0</v>
      </c>
      <c r="F61" s="33">
        <f t="shared" si="15"/>
        <v>11</v>
      </c>
      <c r="G61" s="33">
        <f t="shared" si="15"/>
        <v>4</v>
      </c>
      <c r="H61" s="33">
        <f>SUM(H39:H60)</f>
        <v>73</v>
      </c>
      <c r="I61" s="7"/>
      <c r="J61" s="7"/>
      <c r="K61" s="33">
        <v>73</v>
      </c>
      <c r="M61" s="33">
        <f t="shared" si="1"/>
        <v>0</v>
      </c>
      <c r="N61" s="7"/>
    </row>
    <row r="62" spans="1:14" ht="15.75" thickBot="1" x14ac:dyDescent="0.3">
      <c r="A62" s="34"/>
      <c r="B62" s="35"/>
      <c r="C62" s="35"/>
      <c r="D62" s="35"/>
      <c r="E62" s="35"/>
      <c r="F62" s="35"/>
      <c r="G62" s="35"/>
      <c r="H62" s="35"/>
      <c r="I62" s="7"/>
      <c r="J62" s="7"/>
      <c r="K62" s="35"/>
      <c r="M62" s="35">
        <f t="shared" si="1"/>
        <v>0</v>
      </c>
      <c r="N62" s="7"/>
    </row>
    <row r="63" spans="1:14" x14ac:dyDescent="0.25">
      <c r="A63" s="36" t="s">
        <v>72</v>
      </c>
      <c r="B63" s="37">
        <f>B36</f>
        <v>71</v>
      </c>
      <c r="C63" s="37">
        <f>C36</f>
        <v>7</v>
      </c>
      <c r="D63" s="37">
        <f>D36</f>
        <v>0</v>
      </c>
      <c r="E63" s="37">
        <f t="shared" ref="E63:G63" si="16">E36</f>
        <v>0</v>
      </c>
      <c r="F63" s="37">
        <f t="shared" si="16"/>
        <v>0</v>
      </c>
      <c r="G63" s="37">
        <f t="shared" si="16"/>
        <v>0</v>
      </c>
      <c r="H63" s="37">
        <f>H36</f>
        <v>78</v>
      </c>
      <c r="I63" s="7"/>
      <c r="J63" s="7"/>
      <c r="K63" s="37">
        <v>74</v>
      </c>
      <c r="M63" s="37">
        <f t="shared" si="1"/>
        <v>4</v>
      </c>
      <c r="N63" s="7"/>
    </row>
    <row r="64" spans="1:14" x14ac:dyDescent="0.25">
      <c r="A64" s="38" t="s">
        <v>73</v>
      </c>
      <c r="B64" s="39">
        <f>B61</f>
        <v>46</v>
      </c>
      <c r="C64" s="39">
        <f t="shared" ref="C64:H64" si="17">C61</f>
        <v>6</v>
      </c>
      <c r="D64" s="39">
        <f t="shared" si="17"/>
        <v>6</v>
      </c>
      <c r="E64" s="39">
        <f t="shared" si="17"/>
        <v>0</v>
      </c>
      <c r="F64" s="39">
        <f t="shared" si="17"/>
        <v>11</v>
      </c>
      <c r="G64" s="39">
        <f t="shared" si="17"/>
        <v>4</v>
      </c>
      <c r="H64" s="39">
        <f t="shared" si="17"/>
        <v>73</v>
      </c>
      <c r="I64" s="7"/>
      <c r="J64" s="7"/>
      <c r="K64" s="39">
        <v>73</v>
      </c>
      <c r="M64" s="39">
        <f t="shared" si="1"/>
        <v>0</v>
      </c>
      <c r="N64" s="7"/>
    </row>
    <row r="65" spans="1:14" ht="15.75" thickBot="1" x14ac:dyDescent="0.3">
      <c r="A65" s="40" t="s">
        <v>74</v>
      </c>
      <c r="B65" s="41">
        <f>SUM(B63:B64)</f>
        <v>117</v>
      </c>
      <c r="C65" s="41">
        <f t="shared" ref="C65:H65" si="18">SUM(C63:C64)</f>
        <v>13</v>
      </c>
      <c r="D65" s="41">
        <f t="shared" si="18"/>
        <v>6</v>
      </c>
      <c r="E65" s="41">
        <f t="shared" si="18"/>
        <v>0</v>
      </c>
      <c r="F65" s="41">
        <f t="shared" si="18"/>
        <v>11</v>
      </c>
      <c r="G65" s="41">
        <f t="shared" si="18"/>
        <v>4</v>
      </c>
      <c r="H65" s="41">
        <f t="shared" si="18"/>
        <v>151</v>
      </c>
      <c r="I65" s="7"/>
      <c r="J65" s="7"/>
      <c r="K65" s="41">
        <v>147</v>
      </c>
      <c r="M65" s="41">
        <f t="shared" si="1"/>
        <v>4</v>
      </c>
      <c r="N65" s="7"/>
    </row>
    <row r="66" spans="1:14" x14ac:dyDescent="0.25">
      <c r="A66" s="30"/>
      <c r="B66" s="42"/>
      <c r="C66" s="42"/>
      <c r="D66" s="42"/>
      <c r="E66" s="42"/>
      <c r="F66" s="42"/>
      <c r="G66" s="42"/>
      <c r="H66" s="42"/>
      <c r="I66" s="7"/>
      <c r="J66" s="7"/>
      <c r="K66" s="42"/>
      <c r="M66" s="42">
        <f t="shared" ref="M66:M129" si="19">H66-K66</f>
        <v>0</v>
      </c>
      <c r="N66" s="7"/>
    </row>
    <row r="67" spans="1:14" x14ac:dyDescent="0.25">
      <c r="A67" s="43" t="s">
        <v>75</v>
      </c>
      <c r="B67" s="44"/>
      <c r="C67" s="44"/>
      <c r="D67" s="44"/>
      <c r="E67" s="44"/>
      <c r="F67" s="44"/>
      <c r="G67" s="44"/>
      <c r="H67" s="45">
        <f>H142/(H211+H213+H214+H215+H216+H217)</f>
        <v>0.58125912034244109</v>
      </c>
      <c r="I67" s="7"/>
      <c r="J67" s="7"/>
      <c r="K67" s="45">
        <v>0.59351502709971637</v>
      </c>
      <c r="M67" s="45">
        <f t="shared" si="19"/>
        <v>-1.2255906757275281E-2</v>
      </c>
      <c r="N67" s="7"/>
    </row>
    <row r="68" spans="1:14" x14ac:dyDescent="0.25">
      <c r="A68" s="43" t="s">
        <v>76</v>
      </c>
      <c r="B68" s="44"/>
      <c r="C68" s="44"/>
      <c r="D68" s="44"/>
      <c r="E68" s="44"/>
      <c r="F68" s="44"/>
      <c r="G68" s="44"/>
      <c r="H68" s="45">
        <f>(H114+H115+H118+H128)/H132</f>
        <v>0.7003937190219599</v>
      </c>
      <c r="I68" s="7"/>
      <c r="J68" s="7"/>
      <c r="K68" s="45">
        <v>0.68826192931990493</v>
      </c>
      <c r="M68" s="45">
        <f t="shared" si="19"/>
        <v>1.2131789702054974E-2</v>
      </c>
      <c r="N68" s="7"/>
    </row>
    <row r="69" spans="1:14" x14ac:dyDescent="0.25">
      <c r="A69" s="43" t="s">
        <v>77</v>
      </c>
      <c r="B69" s="44"/>
      <c r="C69" s="44"/>
      <c r="D69" s="44"/>
      <c r="E69" s="44"/>
      <c r="F69" s="44"/>
      <c r="G69" s="44"/>
      <c r="H69" s="45">
        <f>(H107+H108+H109+H112+H116+H117+H119+H120++H123+H124+H125+H126+H127+H129+H130)/H132</f>
        <v>0.25093756908868425</v>
      </c>
      <c r="I69" s="7"/>
      <c r="J69" s="7"/>
      <c r="K69" s="45">
        <v>0.26093469901966088</v>
      </c>
      <c r="M69" s="45">
        <f t="shared" si="19"/>
        <v>-9.9971299309766226E-3</v>
      </c>
      <c r="N69" s="7"/>
    </row>
    <row r="70" spans="1:14" x14ac:dyDescent="0.25">
      <c r="A70" s="43" t="s">
        <v>78</v>
      </c>
      <c r="B70" s="44"/>
      <c r="C70" s="44"/>
      <c r="D70" s="44"/>
      <c r="E70" s="44"/>
      <c r="F70" s="44"/>
      <c r="G70" s="44"/>
      <c r="H70" s="45">
        <f>(H213+H214+H215+H216)/(H97)</f>
        <v>0.1570498969199671</v>
      </c>
      <c r="I70" s="7"/>
      <c r="J70" s="7"/>
      <c r="K70" s="45">
        <v>0.13571410120313795</v>
      </c>
      <c r="M70" s="45">
        <f t="shared" si="19"/>
        <v>2.1335795716829142E-2</v>
      </c>
      <c r="N70" s="7"/>
    </row>
    <row r="71" spans="1:14" ht="15.75" thickBot="1" x14ac:dyDescent="0.3">
      <c r="B71" s="42"/>
      <c r="C71" s="42"/>
      <c r="D71" s="42"/>
      <c r="E71" s="42"/>
      <c r="F71" s="42"/>
      <c r="G71" s="42"/>
      <c r="H71" s="42"/>
      <c r="I71" s="18"/>
      <c r="J71" s="7"/>
      <c r="K71" s="42"/>
      <c r="M71" s="42">
        <f t="shared" si="19"/>
        <v>0</v>
      </c>
      <c r="N71" s="7"/>
    </row>
    <row r="72" spans="1:14" ht="15.75" thickBot="1" x14ac:dyDescent="0.3">
      <c r="A72" s="46" t="s">
        <v>79</v>
      </c>
      <c r="B72" s="47" t="str">
        <f>B1</f>
        <v>Operating</v>
      </c>
      <c r="C72" s="47" t="str">
        <f>C1</f>
        <v>SPED</v>
      </c>
      <c r="D72" s="47" t="str">
        <f>D1</f>
        <v>NSLP</v>
      </c>
      <c r="E72" s="47" t="str">
        <f t="shared" ref="E72:G72" si="20">E1</f>
        <v>Other</v>
      </c>
      <c r="F72" s="47" t="str">
        <f t="shared" si="20"/>
        <v>Title I</v>
      </c>
      <c r="G72" s="47" t="str">
        <f t="shared" si="20"/>
        <v>Title II/III/IV</v>
      </c>
      <c r="H72" s="47" t="str">
        <f>H1</f>
        <v>Total (28-29)</v>
      </c>
      <c r="I72" s="18"/>
      <c r="J72" s="7"/>
      <c r="K72" s="47" t="s">
        <v>242</v>
      </c>
      <c r="M72" s="47" t="str">
        <f>M1</f>
        <v>Variance</v>
      </c>
      <c r="N72" s="7"/>
    </row>
    <row r="73" spans="1:14" x14ac:dyDescent="0.25">
      <c r="A73" s="48" t="s">
        <v>80</v>
      </c>
      <c r="B73" s="49"/>
      <c r="C73" s="49"/>
      <c r="D73" s="49"/>
      <c r="E73" s="49"/>
      <c r="F73" s="49"/>
      <c r="G73" s="49"/>
      <c r="H73" s="50"/>
      <c r="I73" s="16"/>
      <c r="J73" s="7"/>
      <c r="K73" s="50"/>
      <c r="M73" s="50">
        <f t="shared" si="19"/>
        <v>0</v>
      </c>
      <c r="N73" s="7"/>
    </row>
    <row r="74" spans="1:14" x14ac:dyDescent="0.25">
      <c r="A74" s="30" t="s">
        <v>81</v>
      </c>
      <c r="B74" s="51">
        <f>(B2*B3)</f>
        <v>17895929.291239381</v>
      </c>
      <c r="C74" s="51"/>
      <c r="D74" s="51"/>
      <c r="E74" s="51"/>
      <c r="F74" s="51"/>
      <c r="G74" s="51"/>
      <c r="H74" s="52">
        <f t="shared" ref="H74:H79" si="21">SUM(B74:G74)</f>
        <v>17895929.291239381</v>
      </c>
      <c r="I74" s="11"/>
      <c r="K74" s="10">
        <v>16782350.414759997</v>
      </c>
      <c r="M74" s="52">
        <f t="shared" si="19"/>
        <v>1113578.8764793836</v>
      </c>
    </row>
    <row r="75" spans="1:14" x14ac:dyDescent="0.25">
      <c r="A75" s="30" t="s">
        <v>82</v>
      </c>
      <c r="B75" s="35">
        <f>4236*B21</f>
        <v>1592736</v>
      </c>
      <c r="C75" s="35"/>
      <c r="D75" s="35"/>
      <c r="E75" s="35"/>
      <c r="F75" s="35"/>
      <c r="G75" s="35"/>
      <c r="H75" s="5">
        <f t="shared" si="21"/>
        <v>1592736</v>
      </c>
      <c r="I75" s="6">
        <v>4236</v>
      </c>
      <c r="J75" s="60"/>
      <c r="K75" s="10">
        <v>1486836</v>
      </c>
      <c r="M75" s="5">
        <f t="shared" si="19"/>
        <v>105900</v>
      </c>
      <c r="N75" s="60"/>
    </row>
    <row r="76" spans="1:14" x14ac:dyDescent="0.25">
      <c r="A76" s="30" t="s">
        <v>83</v>
      </c>
      <c r="B76" s="5">
        <f>1075*B22</f>
        <v>0</v>
      </c>
      <c r="C76" s="5"/>
      <c r="D76" s="5"/>
      <c r="E76" s="5"/>
      <c r="F76" s="5"/>
      <c r="G76" s="5"/>
      <c r="H76" s="5">
        <f t="shared" si="21"/>
        <v>0</v>
      </c>
      <c r="I76" s="6">
        <v>1129</v>
      </c>
      <c r="J76" s="60"/>
      <c r="K76" s="10">
        <v>0</v>
      </c>
      <c r="M76" s="5">
        <f t="shared" si="19"/>
        <v>0</v>
      </c>
      <c r="N76" s="60"/>
    </row>
    <row r="77" spans="1:14" x14ac:dyDescent="0.25">
      <c r="A77" s="30" t="s">
        <v>84</v>
      </c>
      <c r="B77" s="10">
        <f>3295*B24</f>
        <v>372335</v>
      </c>
      <c r="C77" s="5"/>
      <c r="D77" s="35"/>
      <c r="E77" s="5"/>
      <c r="F77" s="5"/>
      <c r="G77" s="5"/>
      <c r="H77" s="5">
        <f t="shared" si="21"/>
        <v>372335</v>
      </c>
      <c r="I77" s="6">
        <v>3295</v>
      </c>
      <c r="K77" s="10">
        <v>362450</v>
      </c>
      <c r="M77" s="5">
        <f t="shared" si="19"/>
        <v>9885</v>
      </c>
    </row>
    <row r="78" spans="1:14" x14ac:dyDescent="0.25">
      <c r="A78" s="30" t="s">
        <v>85</v>
      </c>
      <c r="B78" s="35"/>
      <c r="C78" s="35">
        <v>257639</v>
      </c>
      <c r="D78" s="35"/>
      <c r="E78" s="35"/>
      <c r="F78" s="35"/>
      <c r="G78" s="35"/>
      <c r="H78" s="35">
        <f t="shared" si="21"/>
        <v>257639</v>
      </c>
      <c r="I78" s="6" t="s">
        <v>232</v>
      </c>
      <c r="J78" s="129"/>
      <c r="K78" s="10">
        <v>257639</v>
      </c>
      <c r="M78" s="35">
        <f t="shared" si="19"/>
        <v>0</v>
      </c>
      <c r="N78" s="129"/>
    </row>
    <row r="79" spans="1:14" x14ac:dyDescent="0.25">
      <c r="A79" s="30" t="s">
        <v>86</v>
      </c>
      <c r="B79" s="35">
        <v>0</v>
      </c>
      <c r="C79" s="35">
        <f>3840*C20</f>
        <v>492335.09433962259</v>
      </c>
      <c r="D79" s="35">
        <f>B79/12</f>
        <v>0</v>
      </c>
      <c r="E79" s="35"/>
      <c r="F79" s="35"/>
      <c r="G79" s="35"/>
      <c r="H79" s="35">
        <f t="shared" si="21"/>
        <v>492335.09433962259</v>
      </c>
      <c r="I79" s="6">
        <v>3840</v>
      </c>
      <c r="J79" s="129"/>
      <c r="K79" s="10">
        <v>468624.90566037735</v>
      </c>
      <c r="M79" s="35">
        <f t="shared" si="19"/>
        <v>23710.188679245242</v>
      </c>
      <c r="N79" s="129"/>
    </row>
    <row r="80" spans="1:14" x14ac:dyDescent="0.25">
      <c r="A80" s="55" t="s">
        <v>87</v>
      </c>
      <c r="B80" s="56">
        <f>SUM(B74:B79)</f>
        <v>19861000.291239381</v>
      </c>
      <c r="C80" s="56">
        <f>SUM(C74:C79)</f>
        <v>749974.09433962265</v>
      </c>
      <c r="D80" s="56">
        <f>SUM(D74:D79)</f>
        <v>0</v>
      </c>
      <c r="E80" s="56"/>
      <c r="F80" s="56"/>
      <c r="G80" s="56"/>
      <c r="H80" s="56">
        <f>SUM(H74:H79)</f>
        <v>20610974.385579005</v>
      </c>
      <c r="I80" s="7"/>
      <c r="J80" s="7"/>
      <c r="K80" s="56">
        <v>19357900.320420373</v>
      </c>
      <c r="M80" s="56">
        <f t="shared" si="19"/>
        <v>1253074.0651586317</v>
      </c>
      <c r="N80" s="7"/>
    </row>
    <row r="81" spans="1:14" x14ac:dyDescent="0.25">
      <c r="A81" s="57" t="s">
        <v>88</v>
      </c>
      <c r="B81" s="49"/>
      <c r="C81" s="49"/>
      <c r="D81" s="49"/>
      <c r="E81" s="49"/>
      <c r="F81" s="49"/>
      <c r="G81" s="49"/>
      <c r="H81" s="50"/>
      <c r="I81" s="7"/>
      <c r="J81" s="7"/>
      <c r="K81" s="50"/>
      <c r="M81" s="50">
        <f t="shared" si="19"/>
        <v>0</v>
      </c>
      <c r="N81" s="7"/>
    </row>
    <row r="82" spans="1:14" x14ac:dyDescent="0.25">
      <c r="A82" s="30" t="s">
        <v>89</v>
      </c>
      <c r="B82" s="5"/>
      <c r="C82" s="5">
        <f>C20*1171</f>
        <v>150136.5613207547</v>
      </c>
      <c r="D82" s="5"/>
      <c r="E82" s="5"/>
      <c r="F82" s="5"/>
      <c r="G82" s="5"/>
      <c r="H82" s="5">
        <f t="shared" ref="H82:H89" si="22">SUM(B82:G82)</f>
        <v>150136.5613207547</v>
      </c>
      <c r="I82" s="6">
        <f>H82/H20</f>
        <v>1171</v>
      </c>
      <c r="J82" s="60"/>
      <c r="K82" s="10">
        <v>142906.18867924527</v>
      </c>
      <c r="M82" s="5">
        <f t="shared" si="19"/>
        <v>7230.3726415094279</v>
      </c>
      <c r="N82" s="60"/>
    </row>
    <row r="83" spans="1:14" x14ac:dyDescent="0.25">
      <c r="A83" s="30" t="s">
        <v>90</v>
      </c>
      <c r="B83" s="5"/>
      <c r="C83" s="5"/>
      <c r="D83" s="10">
        <f>((B17*D23*0.5)*2.28*180)</f>
        <v>362178</v>
      </c>
      <c r="E83" s="5"/>
      <c r="F83" s="5"/>
      <c r="G83" s="5"/>
      <c r="H83" s="5">
        <f t="shared" si="22"/>
        <v>362178</v>
      </c>
      <c r="I83" s="58">
        <v>2.2799999999999998</v>
      </c>
      <c r="J83" s="130"/>
      <c r="K83" s="10">
        <v>344735.99999999994</v>
      </c>
      <c r="M83" s="5">
        <f t="shared" si="19"/>
        <v>17442.000000000058</v>
      </c>
      <c r="N83" s="130"/>
    </row>
    <row r="84" spans="1:14" x14ac:dyDescent="0.25">
      <c r="A84" s="30" t="s">
        <v>91</v>
      </c>
      <c r="B84" s="35"/>
      <c r="C84" s="35"/>
      <c r="D84" s="10">
        <f>((B17*D23*0.5)*4.33*180)</f>
        <v>687820.5</v>
      </c>
      <c r="E84" s="35"/>
      <c r="F84" s="35"/>
      <c r="G84" s="35"/>
      <c r="H84" s="5">
        <f t="shared" si="22"/>
        <v>687820.5</v>
      </c>
      <c r="I84" s="58">
        <v>4.33</v>
      </c>
      <c r="J84" s="130"/>
      <c r="K84" s="10">
        <v>654696</v>
      </c>
      <c r="M84" s="5">
        <f t="shared" si="19"/>
        <v>33124.5</v>
      </c>
      <c r="N84" s="130"/>
    </row>
    <row r="85" spans="1:14" x14ac:dyDescent="0.25">
      <c r="A85" s="30" t="s">
        <v>5</v>
      </c>
      <c r="B85" s="35"/>
      <c r="C85" s="35"/>
      <c r="D85" s="35"/>
      <c r="E85" s="135"/>
      <c r="F85" s="135">
        <f>449515.49</f>
        <v>449515.49</v>
      </c>
      <c r="G85" s="135"/>
      <c r="H85" s="5">
        <f t="shared" si="22"/>
        <v>449515.49</v>
      </c>
      <c r="I85" s="6"/>
      <c r="J85" s="60"/>
      <c r="K85" s="10">
        <v>449515.49</v>
      </c>
      <c r="M85" s="5">
        <f t="shared" si="19"/>
        <v>0</v>
      </c>
      <c r="N85" s="60"/>
    </row>
    <row r="86" spans="1:14" x14ac:dyDescent="0.25">
      <c r="A86" s="30" t="s">
        <v>92</v>
      </c>
      <c r="B86" s="35"/>
      <c r="C86" s="35"/>
      <c r="D86" s="35"/>
      <c r="E86" s="135"/>
      <c r="F86" s="135"/>
      <c r="G86" s="135">
        <v>42068.59</v>
      </c>
      <c r="H86" s="5">
        <f t="shared" si="22"/>
        <v>42068.59</v>
      </c>
      <c r="I86" s="6"/>
      <c r="J86" s="60"/>
      <c r="K86" s="10">
        <v>42068.59</v>
      </c>
      <c r="M86" s="5">
        <f t="shared" si="19"/>
        <v>0</v>
      </c>
      <c r="N86" s="60"/>
    </row>
    <row r="87" spans="1:14" x14ac:dyDescent="0.25">
      <c r="A87" s="30" t="s">
        <v>93</v>
      </c>
      <c r="B87" s="35"/>
      <c r="C87" s="35"/>
      <c r="D87" s="35"/>
      <c r="E87" s="135"/>
      <c r="F87" s="135"/>
      <c r="G87" s="135">
        <f>44196.82</f>
        <v>44196.82</v>
      </c>
      <c r="H87" s="5">
        <f t="shared" si="22"/>
        <v>44196.82</v>
      </c>
      <c r="I87" s="6"/>
      <c r="J87" s="60"/>
      <c r="K87" s="10">
        <v>44196.82</v>
      </c>
      <c r="M87" s="5">
        <f t="shared" si="19"/>
        <v>0</v>
      </c>
      <c r="N87" s="60"/>
    </row>
    <row r="88" spans="1:14" x14ac:dyDescent="0.25">
      <c r="A88" s="30" t="s">
        <v>94</v>
      </c>
      <c r="B88" s="35"/>
      <c r="C88" s="35"/>
      <c r="D88" s="35"/>
      <c r="E88" s="35"/>
      <c r="F88" s="35"/>
      <c r="G88" s="35">
        <f>30624.4</f>
        <v>30624.400000000001</v>
      </c>
      <c r="H88" s="5">
        <f t="shared" si="22"/>
        <v>30624.400000000001</v>
      </c>
      <c r="I88" s="6"/>
      <c r="J88" s="60"/>
      <c r="K88" s="10">
        <v>30624.400000000001</v>
      </c>
      <c r="M88" s="5">
        <f t="shared" si="19"/>
        <v>0</v>
      </c>
      <c r="N88" s="60"/>
    </row>
    <row r="89" spans="1:14" x14ac:dyDescent="0.25">
      <c r="A89" s="30" t="s">
        <v>233</v>
      </c>
      <c r="B89" s="35"/>
      <c r="C89" s="35"/>
      <c r="D89" s="35"/>
      <c r="E89" s="35">
        <v>0</v>
      </c>
      <c r="F89" s="35"/>
      <c r="G89" s="35"/>
      <c r="H89" s="5">
        <f t="shared" si="22"/>
        <v>0</v>
      </c>
      <c r="I89" s="6"/>
      <c r="J89" s="60"/>
      <c r="K89" s="10">
        <v>0</v>
      </c>
      <c r="M89" s="5">
        <f t="shared" si="19"/>
        <v>0</v>
      </c>
      <c r="N89" s="60"/>
    </row>
    <row r="90" spans="1:14" x14ac:dyDescent="0.25">
      <c r="A90" s="55" t="s">
        <v>96</v>
      </c>
      <c r="B90" s="56">
        <f t="shared" ref="B90:H90" si="23">SUM(B82:B89)</f>
        <v>0</v>
      </c>
      <c r="C90" s="56">
        <f t="shared" si="23"/>
        <v>150136.5613207547</v>
      </c>
      <c r="D90" s="56">
        <f t="shared" si="23"/>
        <v>1049998.5</v>
      </c>
      <c r="E90" s="56">
        <f t="shared" si="23"/>
        <v>0</v>
      </c>
      <c r="F90" s="56">
        <f t="shared" si="23"/>
        <v>449515.49</v>
      </c>
      <c r="G90" s="56">
        <f t="shared" si="23"/>
        <v>116889.81</v>
      </c>
      <c r="H90" s="56">
        <f t="shared" si="23"/>
        <v>1766540.3613207547</v>
      </c>
      <c r="I90" s="7"/>
      <c r="J90" s="7"/>
      <c r="K90" s="56">
        <v>1708743.4886792453</v>
      </c>
      <c r="M90" s="56">
        <f t="shared" si="19"/>
        <v>57796.872641509399</v>
      </c>
      <c r="N90" s="7"/>
    </row>
    <row r="91" spans="1:14" x14ac:dyDescent="0.25">
      <c r="A91" s="57" t="s">
        <v>97</v>
      </c>
      <c r="B91" s="49"/>
      <c r="C91" s="49"/>
      <c r="D91" s="49"/>
      <c r="E91" s="49"/>
      <c r="F91" s="49"/>
      <c r="G91" s="49"/>
      <c r="H91" s="50"/>
      <c r="I91" s="7"/>
      <c r="J91" s="7"/>
      <c r="K91" s="50"/>
      <c r="M91" s="50">
        <f t="shared" si="19"/>
        <v>0</v>
      </c>
      <c r="N91" s="7"/>
    </row>
    <row r="92" spans="1:14" x14ac:dyDescent="0.25">
      <c r="A92" s="30" t="s">
        <v>98</v>
      </c>
      <c r="B92" s="5"/>
      <c r="C92" s="5"/>
      <c r="D92" s="5"/>
      <c r="E92" s="5"/>
      <c r="F92" s="5"/>
      <c r="G92" s="5"/>
      <c r="H92" s="5">
        <f>SUM(B92:G92)</f>
        <v>0</v>
      </c>
      <c r="I92" s="11"/>
      <c r="K92" s="10">
        <v>0</v>
      </c>
      <c r="M92" s="5">
        <f t="shared" si="19"/>
        <v>0</v>
      </c>
    </row>
    <row r="93" spans="1:14" x14ac:dyDescent="0.25">
      <c r="A93" s="30" t="s">
        <v>99</v>
      </c>
      <c r="B93" s="10"/>
      <c r="C93" s="10"/>
      <c r="D93" s="10"/>
      <c r="E93" s="10">
        <f>ROUND((((B17-'27-28'!B17)/'27-28'!B17)+1)*'27-28'!E93,-2)</f>
        <v>333000</v>
      </c>
      <c r="F93" s="10"/>
      <c r="G93" s="10"/>
      <c r="H93" s="5">
        <f>SUM(B93:G93)</f>
        <v>333000</v>
      </c>
      <c r="I93" s="11"/>
      <c r="K93" s="10">
        <v>317000</v>
      </c>
      <c r="M93" s="5">
        <f t="shared" si="19"/>
        <v>16000</v>
      </c>
    </row>
    <row r="94" spans="1:14" x14ac:dyDescent="0.25">
      <c r="A94" s="30" t="s">
        <v>100</v>
      </c>
      <c r="B94" s="35"/>
      <c r="C94" s="35"/>
      <c r="D94" s="35"/>
      <c r="E94" s="35"/>
      <c r="F94" s="35"/>
      <c r="G94" s="35"/>
      <c r="H94" s="35">
        <f>SUM(B94:G94)</f>
        <v>0</v>
      </c>
      <c r="I94" s="11"/>
      <c r="K94" s="10">
        <v>0</v>
      </c>
      <c r="M94" s="35">
        <f t="shared" si="19"/>
        <v>0</v>
      </c>
    </row>
    <row r="95" spans="1:14" x14ac:dyDescent="0.25">
      <c r="A95" s="30" t="s">
        <v>101</v>
      </c>
      <c r="B95" s="35"/>
      <c r="C95" s="35"/>
      <c r="D95" s="35"/>
      <c r="E95" s="35"/>
      <c r="F95" s="35"/>
      <c r="G95" s="35"/>
      <c r="H95" s="35">
        <f>SUM(B95:G95)</f>
        <v>0</v>
      </c>
      <c r="I95" s="11"/>
      <c r="K95" s="10">
        <v>0</v>
      </c>
      <c r="M95" s="35">
        <f t="shared" si="19"/>
        <v>0</v>
      </c>
    </row>
    <row r="96" spans="1:14" x14ac:dyDescent="0.25">
      <c r="A96" s="55" t="s">
        <v>102</v>
      </c>
      <c r="B96" s="56">
        <f>SUM(B92:B95)</f>
        <v>0</v>
      </c>
      <c r="C96" s="56">
        <f t="shared" ref="C96:G96" si="24">SUM(C92:C95)</f>
        <v>0</v>
      </c>
      <c r="D96" s="56">
        <f t="shared" si="24"/>
        <v>0</v>
      </c>
      <c r="E96" s="56">
        <f t="shared" si="24"/>
        <v>333000</v>
      </c>
      <c r="F96" s="56">
        <f t="shared" si="24"/>
        <v>0</v>
      </c>
      <c r="G96" s="56">
        <f t="shared" si="24"/>
        <v>0</v>
      </c>
      <c r="H96" s="56">
        <f>SUM(H92:H95)</f>
        <v>333000</v>
      </c>
      <c r="I96" s="7"/>
      <c r="J96" s="7"/>
      <c r="K96" s="56">
        <v>317000</v>
      </c>
      <c r="M96" s="56">
        <f t="shared" si="19"/>
        <v>16000</v>
      </c>
      <c r="N96" s="7"/>
    </row>
    <row r="97" spans="1:14" x14ac:dyDescent="0.25">
      <c r="A97" s="62" t="s">
        <v>103</v>
      </c>
      <c r="B97" s="63">
        <f>B80+B90+B96</f>
        <v>19861000.291239381</v>
      </c>
      <c r="C97" s="63">
        <f t="shared" ref="C97:H97" si="25">C80+C90+C96</f>
        <v>900110.65566037735</v>
      </c>
      <c r="D97" s="63">
        <f t="shared" si="25"/>
        <v>1049998.5</v>
      </c>
      <c r="E97" s="63">
        <f t="shared" si="25"/>
        <v>333000</v>
      </c>
      <c r="F97" s="63">
        <f t="shared" si="25"/>
        <v>449515.49</v>
      </c>
      <c r="G97" s="63">
        <f t="shared" si="25"/>
        <v>116889.81</v>
      </c>
      <c r="H97" s="63">
        <f t="shared" si="25"/>
        <v>22710514.746899761</v>
      </c>
      <c r="I97" s="7"/>
      <c r="J97" s="7"/>
      <c r="K97" s="63">
        <v>21383643.809099618</v>
      </c>
      <c r="M97" s="63">
        <f t="shared" si="19"/>
        <v>1326870.9378001429</v>
      </c>
      <c r="N97" s="7"/>
    </row>
    <row r="98" spans="1:14" x14ac:dyDescent="0.25">
      <c r="A98" s="57" t="s">
        <v>104</v>
      </c>
      <c r="B98" s="49"/>
      <c r="C98" s="49"/>
      <c r="D98" s="49"/>
      <c r="E98" s="49"/>
      <c r="F98" s="49"/>
      <c r="G98" s="49"/>
      <c r="H98" s="50"/>
      <c r="I98" s="7"/>
      <c r="J98" s="7"/>
      <c r="K98" s="50"/>
      <c r="M98" s="50">
        <f t="shared" si="19"/>
        <v>0</v>
      </c>
      <c r="N98" s="7"/>
    </row>
    <row r="99" spans="1:14" x14ac:dyDescent="0.25">
      <c r="A99" s="30" t="s">
        <v>105</v>
      </c>
      <c r="B99" s="5">
        <v>0</v>
      </c>
      <c r="C99" s="5">
        <v>0</v>
      </c>
      <c r="D99" s="5">
        <v>0</v>
      </c>
      <c r="E99" s="5">
        <v>0</v>
      </c>
      <c r="F99" s="5">
        <v>0</v>
      </c>
      <c r="G99" s="5">
        <v>0</v>
      </c>
      <c r="H99" s="5">
        <f>SUM(B99:G99)</f>
        <v>0</v>
      </c>
      <c r="I99" s="11"/>
      <c r="J99" s="7"/>
      <c r="K99" s="10">
        <v>0</v>
      </c>
      <c r="M99" s="5">
        <f t="shared" si="19"/>
        <v>0</v>
      </c>
      <c r="N99" s="7"/>
    </row>
    <row r="100" spans="1:14" x14ac:dyDescent="0.25">
      <c r="A100" s="30" t="s">
        <v>106</v>
      </c>
      <c r="B100" s="10">
        <v>0</v>
      </c>
      <c r="C100" s="10">
        <v>0</v>
      </c>
      <c r="D100" s="10">
        <v>0</v>
      </c>
      <c r="E100" s="10">
        <v>100000</v>
      </c>
      <c r="F100" s="10">
        <v>0</v>
      </c>
      <c r="G100" s="10">
        <v>0</v>
      </c>
      <c r="H100" s="5">
        <f>SUM(B100:G100)</f>
        <v>100000</v>
      </c>
      <c r="I100" s="11" t="s">
        <v>107</v>
      </c>
      <c r="J100" s="7"/>
      <c r="K100" s="10">
        <v>150000</v>
      </c>
      <c r="M100" s="5">
        <f t="shared" si="19"/>
        <v>-50000</v>
      </c>
      <c r="N100" s="7"/>
    </row>
    <row r="101" spans="1:14" x14ac:dyDescent="0.25">
      <c r="A101" s="30"/>
      <c r="B101" s="35">
        <v>0</v>
      </c>
      <c r="C101" s="35"/>
      <c r="D101" s="35"/>
      <c r="E101" s="35">
        <v>0</v>
      </c>
      <c r="F101" s="35"/>
      <c r="G101" s="35"/>
      <c r="H101" s="5">
        <f>SUM(B101:G101)</f>
        <v>0</v>
      </c>
      <c r="I101" s="11"/>
      <c r="J101" s="7"/>
      <c r="K101" s="10">
        <v>0</v>
      </c>
      <c r="M101" s="5">
        <f t="shared" si="19"/>
        <v>0</v>
      </c>
      <c r="N101" s="7"/>
    </row>
    <row r="102" spans="1:14" x14ac:dyDescent="0.25">
      <c r="A102" s="30"/>
      <c r="B102" s="35"/>
      <c r="C102" s="35"/>
      <c r="D102" s="35"/>
      <c r="E102" s="35"/>
      <c r="F102" s="35"/>
      <c r="G102" s="35"/>
      <c r="H102" s="5">
        <f>SUM(B102:G102)</f>
        <v>0</v>
      </c>
      <c r="I102" s="11"/>
      <c r="J102" s="7"/>
      <c r="K102" s="10">
        <v>0</v>
      </c>
      <c r="M102" s="5">
        <f t="shared" si="19"/>
        <v>0</v>
      </c>
      <c r="N102" s="7"/>
    </row>
    <row r="103" spans="1:14" x14ac:dyDescent="0.25">
      <c r="A103" s="55" t="s">
        <v>110</v>
      </c>
      <c r="B103" s="56">
        <f>SUM(B99:B102)</f>
        <v>0</v>
      </c>
      <c r="C103" s="56">
        <f t="shared" ref="C103:G103" si="26">SUM(C99:C102)</f>
        <v>0</v>
      </c>
      <c r="D103" s="56">
        <f t="shared" si="26"/>
        <v>0</v>
      </c>
      <c r="E103" s="56">
        <f t="shared" si="26"/>
        <v>100000</v>
      </c>
      <c r="F103" s="56">
        <f t="shared" si="26"/>
        <v>0</v>
      </c>
      <c r="G103" s="56">
        <f t="shared" si="26"/>
        <v>0</v>
      </c>
      <c r="H103" s="56">
        <f>SUM(H99:H102)</f>
        <v>100000</v>
      </c>
      <c r="I103" s="16"/>
      <c r="J103" s="7"/>
      <c r="K103" s="56">
        <v>150000</v>
      </c>
      <c r="M103" s="56">
        <f t="shared" si="19"/>
        <v>-50000</v>
      </c>
      <c r="N103" s="7"/>
    </row>
    <row r="104" spans="1:14" ht="15.75" thickBot="1" x14ac:dyDescent="0.3">
      <c r="A104" s="30"/>
      <c r="B104" s="42"/>
      <c r="C104" s="42"/>
      <c r="D104" s="42"/>
      <c r="E104" s="42"/>
      <c r="F104" s="42"/>
      <c r="G104" s="42"/>
      <c r="H104" s="42"/>
      <c r="I104" s="7"/>
      <c r="J104" s="7"/>
      <c r="K104" s="42"/>
      <c r="M104" s="42">
        <f t="shared" si="19"/>
        <v>0</v>
      </c>
      <c r="N104" s="7"/>
    </row>
    <row r="105" spans="1:14" ht="15.75" thickBot="1" x14ac:dyDescent="0.3">
      <c r="A105" s="64" t="s">
        <v>111</v>
      </c>
      <c r="B105" s="65" t="str">
        <f t="shared" ref="B105:H105" si="27">B1</f>
        <v>Operating</v>
      </c>
      <c r="C105" s="65" t="str">
        <f t="shared" si="27"/>
        <v>SPED</v>
      </c>
      <c r="D105" s="65" t="str">
        <f t="shared" si="27"/>
        <v>NSLP</v>
      </c>
      <c r="E105" s="65" t="str">
        <f t="shared" si="27"/>
        <v>Other</v>
      </c>
      <c r="F105" s="65" t="str">
        <f t="shared" si="27"/>
        <v>Title I</v>
      </c>
      <c r="G105" s="65" t="str">
        <f t="shared" si="27"/>
        <v>Title II/III/IV</v>
      </c>
      <c r="H105" s="65" t="str">
        <f t="shared" si="27"/>
        <v>Total (28-29)</v>
      </c>
      <c r="I105" s="7"/>
      <c r="J105" s="7"/>
      <c r="K105" s="65" t="s">
        <v>242</v>
      </c>
      <c r="M105" s="65" t="str">
        <f t="shared" ref="M105" si="28">M1</f>
        <v>Variance</v>
      </c>
      <c r="N105" s="7"/>
    </row>
    <row r="106" spans="1:14" x14ac:dyDescent="0.25">
      <c r="A106" s="48" t="s">
        <v>112</v>
      </c>
      <c r="B106" s="49"/>
      <c r="C106" s="49"/>
      <c r="D106" s="49"/>
      <c r="E106" s="49"/>
      <c r="F106" s="49"/>
      <c r="G106" s="49"/>
      <c r="H106" s="50"/>
      <c r="I106" s="7"/>
      <c r="J106" s="7"/>
      <c r="K106" s="50"/>
      <c r="M106" s="50">
        <f t="shared" si="19"/>
        <v>0</v>
      </c>
      <c r="N106" s="7"/>
    </row>
    <row r="107" spans="1:14" x14ac:dyDescent="0.25">
      <c r="A107" s="30" t="s">
        <v>49</v>
      </c>
      <c r="B107" s="10">
        <f>'27-28'!B107*1.015</f>
        <v>146394.97249999997</v>
      </c>
      <c r="C107" s="10">
        <f>'27-28'!C107*1.015</f>
        <v>0</v>
      </c>
      <c r="D107" s="10">
        <f>'27-28'!D107*1.015</f>
        <v>0</v>
      </c>
      <c r="E107" s="10">
        <f>'27-28'!E107*1.015</f>
        <v>0</v>
      </c>
      <c r="F107" s="10">
        <f>'27-28'!F107*1.015</f>
        <v>0</v>
      </c>
      <c r="G107" s="10">
        <f>'27-28'!G107*1.015</f>
        <v>0</v>
      </c>
      <c r="H107" s="5">
        <f t="shared" ref="H107:H120" si="29">SUM(B107:G107)</f>
        <v>146394.97249999997</v>
      </c>
      <c r="I107" s="11"/>
      <c r="K107" s="10">
        <v>144231.5</v>
      </c>
      <c r="M107" s="5">
        <f t="shared" si="19"/>
        <v>2163.4724999999744</v>
      </c>
    </row>
    <row r="108" spans="1:14" x14ac:dyDescent="0.25">
      <c r="A108" s="30" t="s">
        <v>113</v>
      </c>
      <c r="B108" s="10">
        <f>'27-28'!B108*1.015</f>
        <v>390770.00873749988</v>
      </c>
      <c r="C108" s="10">
        <f>'27-28'!C108*1.015</f>
        <v>0</v>
      </c>
      <c r="D108" s="10">
        <f>'27-28'!D108*1.015</f>
        <v>0</v>
      </c>
      <c r="E108" s="10">
        <f>'27-28'!E108*1.015</f>
        <v>0</v>
      </c>
      <c r="F108" s="10">
        <f>'27-28'!F108*1.015</f>
        <v>0</v>
      </c>
      <c r="G108" s="10">
        <f>'27-28'!G108*1.015</f>
        <v>0</v>
      </c>
      <c r="H108" s="5">
        <f t="shared" si="29"/>
        <v>390770.00873749988</v>
      </c>
      <c r="I108" s="11"/>
      <c r="K108" s="10">
        <v>384995.0824999999</v>
      </c>
      <c r="M108" s="5">
        <f t="shared" si="19"/>
        <v>5774.9262374999817</v>
      </c>
    </row>
    <row r="109" spans="1:14" x14ac:dyDescent="0.25">
      <c r="A109" s="30" t="s">
        <v>114</v>
      </c>
      <c r="B109" s="10">
        <f>'27-28'!B109*1.015</f>
        <v>72528.25208999998</v>
      </c>
      <c r="C109" s="10">
        <f>'27-28'!C109*1.015</f>
        <v>0</v>
      </c>
      <c r="D109" s="10">
        <f>'27-28'!D109*1.015</f>
        <v>0</v>
      </c>
      <c r="E109" s="10">
        <f>'27-28'!E109*1.015</f>
        <v>0</v>
      </c>
      <c r="F109" s="10">
        <f>'27-28'!F109*1.015</f>
        <v>99339.445624999964</v>
      </c>
      <c r="G109" s="10">
        <f>'27-28'!G109*1.015</f>
        <v>0</v>
      </c>
      <c r="H109" s="5">
        <f t="shared" si="29"/>
        <v>171867.69771499996</v>
      </c>
      <c r="I109" s="11"/>
      <c r="K109" s="10">
        <v>169327.78099999996</v>
      </c>
      <c r="M109" s="5">
        <f t="shared" si="19"/>
        <v>2539.9167149999994</v>
      </c>
    </row>
    <row r="110" spans="1:14" x14ac:dyDescent="0.25">
      <c r="A110" s="31" t="s">
        <v>52</v>
      </c>
      <c r="B110" s="10">
        <f>'27-28'!B110*1.015</f>
        <v>89593.723169999983</v>
      </c>
      <c r="C110" s="10">
        <f>'27-28'!C110*1.015</f>
        <v>0</v>
      </c>
      <c r="D110" s="10">
        <f>'27-28'!D110*1.015</f>
        <v>0</v>
      </c>
      <c r="E110" s="10">
        <f>'27-28'!E110*1.015</f>
        <v>0</v>
      </c>
      <c r="F110" s="10">
        <f>'27-28'!F110*1.015</f>
        <v>74661.435974999986</v>
      </c>
      <c r="G110" s="10">
        <f>'27-28'!G110*1.015</f>
        <v>0</v>
      </c>
      <c r="H110" s="5">
        <f t="shared" si="29"/>
        <v>164255.15914499998</v>
      </c>
      <c r="I110" s="11"/>
      <c r="K110" s="10">
        <v>161827.74299999996</v>
      </c>
      <c r="M110" s="5">
        <f t="shared" si="19"/>
        <v>2427.4161450000247</v>
      </c>
    </row>
    <row r="111" spans="1:14" x14ac:dyDescent="0.25">
      <c r="A111" s="31" t="s">
        <v>53</v>
      </c>
      <c r="B111" s="10">
        <f>'27-28'!B111*1.015</f>
        <v>250502.71151499992</v>
      </c>
      <c r="C111" s="10">
        <f>'27-28'!C111*1.015</f>
        <v>0</v>
      </c>
      <c r="D111" s="10">
        <f>'27-28'!D111*1.015</f>
        <v>0</v>
      </c>
      <c r="E111" s="10">
        <f>'27-28'!E111*1.015</f>
        <v>0</v>
      </c>
      <c r="F111" s="10">
        <f>'27-28'!F111*1.015</f>
        <v>0</v>
      </c>
      <c r="G111" s="10">
        <f>'27-28'!G111*1.015</f>
        <v>0</v>
      </c>
      <c r="H111" s="5">
        <f t="shared" si="29"/>
        <v>250502.71151499992</v>
      </c>
      <c r="I111" s="11"/>
      <c r="K111" s="10">
        <v>246800.70099999994</v>
      </c>
      <c r="M111" s="5">
        <f t="shared" si="19"/>
        <v>3702.0105149999727</v>
      </c>
    </row>
    <row r="112" spans="1:14" x14ac:dyDescent="0.25">
      <c r="A112" s="30" t="s">
        <v>115</v>
      </c>
      <c r="B112" s="10">
        <f>'27-28'!B112*1.015</f>
        <v>147858.92222499996</v>
      </c>
      <c r="C112" s="10">
        <f>'27-28'!C112*1.015</f>
        <v>0</v>
      </c>
      <c r="D112" s="10">
        <f>'27-28'!D112*1.015</f>
        <v>0</v>
      </c>
      <c r="E112" s="10">
        <f>'27-28'!E112*1.015</f>
        <v>0</v>
      </c>
      <c r="F112" s="10">
        <f>'27-28'!F112*1.015</f>
        <v>62608.947024749978</v>
      </c>
      <c r="G112" s="10">
        <f>'27-28'!G112*1.015</f>
        <v>0</v>
      </c>
      <c r="H112" s="5">
        <f t="shared" si="29"/>
        <v>210467.86924974993</v>
      </c>
      <c r="I112" s="11"/>
      <c r="K112" s="10">
        <v>207357.50664999997</v>
      </c>
      <c r="M112" s="5">
        <f t="shared" si="19"/>
        <v>3110.3625997499621</v>
      </c>
    </row>
    <row r="113" spans="1:17" x14ac:dyDescent="0.25">
      <c r="A113" s="30" t="s">
        <v>116</v>
      </c>
      <c r="B113" s="10">
        <f>'27-28'!B113*1.015</f>
        <v>0</v>
      </c>
      <c r="C113" s="10">
        <f>'27-28'!C113*1.015</f>
        <v>0</v>
      </c>
      <c r="D113" s="10">
        <f>'27-28'!D113*1.015</f>
        <v>0</v>
      </c>
      <c r="E113" s="10">
        <f>'27-28'!E113*1.015</f>
        <v>0</v>
      </c>
      <c r="F113" s="10">
        <f>'27-28'!F113*1.015</f>
        <v>0</v>
      </c>
      <c r="G113" s="10">
        <f>'27-28'!G113*1.015</f>
        <v>0</v>
      </c>
      <c r="H113" s="5">
        <f t="shared" si="29"/>
        <v>0</v>
      </c>
      <c r="I113" s="11"/>
      <c r="K113" s="10">
        <v>0</v>
      </c>
      <c r="M113" s="5">
        <f t="shared" si="19"/>
        <v>0</v>
      </c>
    </row>
    <row r="114" spans="1:17" x14ac:dyDescent="0.25">
      <c r="A114" s="30" t="s">
        <v>117</v>
      </c>
      <c r="B114" s="5">
        <f>66000*(B36)</f>
        <v>4686000</v>
      </c>
      <c r="C114" s="5"/>
      <c r="D114" s="5"/>
      <c r="E114" s="5"/>
      <c r="F114" s="5"/>
      <c r="G114" s="5"/>
      <c r="H114" s="5">
        <f t="shared" si="29"/>
        <v>4686000</v>
      </c>
      <c r="I114" s="11"/>
      <c r="K114" s="10">
        <v>4288000</v>
      </c>
      <c r="M114" s="5">
        <f t="shared" si="19"/>
        <v>398000</v>
      </c>
      <c r="Q114" s="7">
        <f>62000*1.015</f>
        <v>62929.999999999993</v>
      </c>
    </row>
    <row r="115" spans="1:17" x14ac:dyDescent="0.25">
      <c r="A115" s="30" t="s">
        <v>39</v>
      </c>
      <c r="B115" s="5"/>
      <c r="C115" s="5">
        <f>66000*H28</f>
        <v>462000</v>
      </c>
      <c r="D115" s="5"/>
      <c r="E115" s="5"/>
      <c r="F115" s="5"/>
      <c r="G115" s="5"/>
      <c r="H115" s="5">
        <f t="shared" si="29"/>
        <v>462000</v>
      </c>
      <c r="I115" s="11"/>
      <c r="K115" s="10">
        <v>448000</v>
      </c>
      <c r="M115" s="5">
        <f t="shared" si="19"/>
        <v>14000</v>
      </c>
    </row>
    <row r="116" spans="1:17" x14ac:dyDescent="0.25">
      <c r="A116" s="30" t="s">
        <v>118</v>
      </c>
      <c r="B116" s="10">
        <f>'27-28'!B116*1.015</f>
        <v>294290.46771249996</v>
      </c>
      <c r="C116" s="5"/>
      <c r="D116" s="5"/>
      <c r="E116" s="5"/>
      <c r="F116" s="5"/>
      <c r="G116" s="5"/>
      <c r="H116" s="5">
        <f t="shared" si="29"/>
        <v>294290.46771249996</v>
      </c>
      <c r="I116" s="11"/>
      <c r="K116" s="10">
        <v>289941.34749999997</v>
      </c>
      <c r="M116" s="5">
        <f t="shared" si="19"/>
        <v>4349.1202124999836</v>
      </c>
    </row>
    <row r="117" spans="1:17" x14ac:dyDescent="0.25">
      <c r="A117" s="30" t="s">
        <v>119</v>
      </c>
      <c r="B117" s="10">
        <f>(19.5*8*190)*(B49+B48)+17640*1.015*1.015*1.015</f>
        <v>285205.766535</v>
      </c>
      <c r="C117" s="5"/>
      <c r="D117" s="5"/>
      <c r="E117" s="5"/>
      <c r="F117" s="5"/>
      <c r="G117" s="5"/>
      <c r="H117" s="5">
        <f t="shared" si="29"/>
        <v>285205.766535</v>
      </c>
      <c r="I117" s="11"/>
      <c r="K117" s="10">
        <v>278093.16899999999</v>
      </c>
      <c r="M117" s="5">
        <f t="shared" si="19"/>
        <v>7112.5975350000081</v>
      </c>
    </row>
    <row r="118" spans="1:17" x14ac:dyDescent="0.25">
      <c r="A118" s="30" t="s">
        <v>120</v>
      </c>
      <c r="B118" s="5">
        <f>(18*8*180)*B50</f>
        <v>311040</v>
      </c>
      <c r="C118" s="5">
        <f>(18*8*180)*C50</f>
        <v>129600</v>
      </c>
      <c r="D118" s="5">
        <f t="shared" ref="D118" si="30">(20*8*180)*D50</f>
        <v>0</v>
      </c>
      <c r="E118" s="5"/>
      <c r="F118" s="5">
        <f>(22*8*180)*F50</f>
        <v>253440</v>
      </c>
      <c r="G118" s="5">
        <f>(22*8*180)*G50</f>
        <v>126720</v>
      </c>
      <c r="H118" s="5">
        <f t="shared" si="29"/>
        <v>820800</v>
      </c>
      <c r="I118" s="11"/>
      <c r="K118" s="10">
        <v>799920</v>
      </c>
      <c r="M118" s="5">
        <f t="shared" si="19"/>
        <v>20880</v>
      </c>
    </row>
    <row r="119" spans="1:17" x14ac:dyDescent="0.25">
      <c r="A119" s="30" t="s">
        <v>121</v>
      </c>
      <c r="B119" s="10">
        <f>(22*8*240)*B51+(20000+4000+10640)*1.015*1.015*1.015</f>
        <v>289662.29891000001</v>
      </c>
      <c r="C119" s="5"/>
      <c r="D119" s="5"/>
      <c r="E119" s="5"/>
      <c r="F119" s="5"/>
      <c r="G119" s="5"/>
      <c r="H119" s="5">
        <f t="shared" si="29"/>
        <v>289662.29891000001</v>
      </c>
      <c r="I119" s="11"/>
      <c r="K119" s="10">
        <v>283366.99400000001</v>
      </c>
      <c r="M119" s="5">
        <f t="shared" si="19"/>
        <v>6295.3049100000062</v>
      </c>
    </row>
    <row r="120" spans="1:17" x14ac:dyDescent="0.25">
      <c r="A120" s="30" t="s">
        <v>62</v>
      </c>
      <c r="B120" s="5"/>
      <c r="C120" s="5"/>
      <c r="D120" s="5"/>
      <c r="E120" s="5"/>
      <c r="F120" s="5"/>
      <c r="G120" s="5"/>
      <c r="H120" s="5">
        <f t="shared" si="29"/>
        <v>0</v>
      </c>
      <c r="I120" s="11"/>
      <c r="K120" s="10">
        <v>0</v>
      </c>
      <c r="M120" s="5">
        <f t="shared" si="19"/>
        <v>0</v>
      </c>
    </row>
    <row r="121" spans="1:17" x14ac:dyDescent="0.25">
      <c r="A121" s="66" t="s">
        <v>122</v>
      </c>
      <c r="B121" s="67">
        <f>SUM(B107:B120)</f>
        <v>6963847.1233950006</v>
      </c>
      <c r="C121" s="67">
        <f t="shared" ref="C121:G121" si="31">SUM(C107:C120)</f>
        <v>591600</v>
      </c>
      <c r="D121" s="67">
        <f t="shared" si="31"/>
        <v>0</v>
      </c>
      <c r="E121" s="67">
        <f t="shared" si="31"/>
        <v>0</v>
      </c>
      <c r="F121" s="67">
        <f t="shared" si="31"/>
        <v>490049.82862474991</v>
      </c>
      <c r="G121" s="67">
        <f t="shared" si="31"/>
        <v>126720</v>
      </c>
      <c r="H121" s="67">
        <f>SUM(H107:H120)</f>
        <v>8172216.9520197501</v>
      </c>
      <c r="I121" s="7"/>
      <c r="J121" s="7"/>
      <c r="K121" s="67">
        <v>7701861.8246499998</v>
      </c>
      <c r="M121" s="67">
        <f t="shared" si="19"/>
        <v>470355.12736975029</v>
      </c>
      <c r="N121" s="7"/>
    </row>
    <row r="122" spans="1:17" x14ac:dyDescent="0.25">
      <c r="A122" s="68" t="s">
        <v>123</v>
      </c>
      <c r="B122" s="49"/>
      <c r="C122" s="49"/>
      <c r="D122" s="49"/>
      <c r="E122" s="49"/>
      <c r="F122" s="49"/>
      <c r="G122" s="49"/>
      <c r="H122" s="50"/>
      <c r="I122" s="7"/>
      <c r="J122" s="7"/>
      <c r="K122" s="50"/>
      <c r="M122" s="50">
        <f t="shared" si="19"/>
        <v>0</v>
      </c>
      <c r="N122" s="7"/>
    </row>
    <row r="123" spans="1:17" x14ac:dyDescent="0.25">
      <c r="A123" s="30" t="s">
        <v>64</v>
      </c>
      <c r="B123" s="5">
        <v>0</v>
      </c>
      <c r="C123" s="10">
        <f>'27-28'!C123*1.015</f>
        <v>91726.907054999974</v>
      </c>
      <c r="D123" s="5"/>
      <c r="E123" s="5"/>
      <c r="F123" s="5"/>
      <c r="G123" s="5"/>
      <c r="H123" s="5">
        <f t="shared" ref="H123:H130" si="32">SUM(B123:G123)</f>
        <v>91726.907054999974</v>
      </c>
      <c r="I123" s="11"/>
      <c r="K123" s="10">
        <v>90371.336999999985</v>
      </c>
      <c r="M123" s="5">
        <f t="shared" si="19"/>
        <v>1355.5700549999892</v>
      </c>
    </row>
    <row r="124" spans="1:17" x14ac:dyDescent="0.25">
      <c r="A124" s="30" t="s">
        <v>65</v>
      </c>
      <c r="B124" s="5">
        <v>0</v>
      </c>
      <c r="C124" s="5">
        <v>0</v>
      </c>
      <c r="D124" s="5"/>
      <c r="E124" s="5"/>
      <c r="F124" s="5"/>
      <c r="G124" s="5"/>
      <c r="H124" s="23">
        <f t="shared" si="32"/>
        <v>0</v>
      </c>
      <c r="I124" s="11"/>
      <c r="K124" s="25">
        <v>0</v>
      </c>
      <c r="M124" s="23">
        <f t="shared" si="19"/>
        <v>0</v>
      </c>
    </row>
    <row r="125" spans="1:17" x14ac:dyDescent="0.25">
      <c r="A125" s="30" t="s">
        <v>66</v>
      </c>
      <c r="B125" s="5">
        <v>0</v>
      </c>
      <c r="C125" s="5">
        <v>0</v>
      </c>
      <c r="D125" s="5"/>
      <c r="E125" s="5"/>
      <c r="F125" s="5"/>
      <c r="G125" s="5"/>
      <c r="H125" s="5">
        <f t="shared" si="32"/>
        <v>0</v>
      </c>
      <c r="I125" s="11"/>
      <c r="K125" s="10">
        <v>0</v>
      </c>
      <c r="M125" s="5">
        <f t="shared" si="19"/>
        <v>0</v>
      </c>
    </row>
    <row r="126" spans="1:17" x14ac:dyDescent="0.25">
      <c r="A126" s="30" t="s">
        <v>124</v>
      </c>
      <c r="B126" s="5">
        <v>0</v>
      </c>
      <c r="C126" s="5"/>
      <c r="D126" s="5"/>
      <c r="E126" s="5"/>
      <c r="F126" s="5"/>
      <c r="G126" s="5"/>
      <c r="H126" s="23">
        <f t="shared" si="32"/>
        <v>0</v>
      </c>
      <c r="I126" s="11"/>
      <c r="K126" s="25">
        <v>0</v>
      </c>
      <c r="M126" s="23">
        <f t="shared" si="19"/>
        <v>0</v>
      </c>
    </row>
    <row r="127" spans="1:17" x14ac:dyDescent="0.25">
      <c r="A127" s="30" t="s">
        <v>68</v>
      </c>
      <c r="B127" s="5">
        <v>0</v>
      </c>
      <c r="C127" s="5"/>
      <c r="D127" s="5"/>
      <c r="E127" s="5"/>
      <c r="F127" s="5"/>
      <c r="G127" s="5"/>
      <c r="H127" s="23">
        <f t="shared" si="32"/>
        <v>0</v>
      </c>
      <c r="I127" s="11"/>
      <c r="K127" s="25">
        <v>0</v>
      </c>
      <c r="M127" s="23">
        <f t="shared" si="19"/>
        <v>0</v>
      </c>
    </row>
    <row r="128" spans="1:17" x14ac:dyDescent="0.25">
      <c r="A128" s="30" t="s">
        <v>125</v>
      </c>
      <c r="B128" s="5"/>
      <c r="C128" s="5"/>
      <c r="D128" s="5"/>
      <c r="E128" s="5"/>
      <c r="F128" s="5"/>
      <c r="G128" s="5"/>
      <c r="H128" s="23">
        <f t="shared" si="32"/>
        <v>0</v>
      </c>
      <c r="I128" s="11"/>
      <c r="K128" s="25">
        <v>0</v>
      </c>
      <c r="M128" s="23">
        <f t="shared" si="19"/>
        <v>0</v>
      </c>
    </row>
    <row r="129" spans="1:14" x14ac:dyDescent="0.25">
      <c r="A129" s="30" t="s">
        <v>126</v>
      </c>
      <c r="B129" s="5">
        <f>(12.5*6*185)*B52</f>
        <v>0</v>
      </c>
      <c r="C129" s="5">
        <f>(12.5*6*185)*C52</f>
        <v>0</v>
      </c>
      <c r="D129" s="5">
        <f>(18*8*180)*D52</f>
        <v>155520</v>
      </c>
      <c r="E129" s="5"/>
      <c r="F129" s="5"/>
      <c r="G129" s="5"/>
      <c r="H129" s="5">
        <f t="shared" si="32"/>
        <v>155520</v>
      </c>
      <c r="I129" s="11"/>
      <c r="K129" s="10">
        <v>151200</v>
      </c>
      <c r="M129" s="5">
        <f t="shared" si="19"/>
        <v>4320</v>
      </c>
    </row>
    <row r="130" spans="1:14" x14ac:dyDescent="0.25">
      <c r="A130" s="30" t="s">
        <v>69</v>
      </c>
      <c r="B130" s="35">
        <f>190*180*B59</f>
        <v>102600</v>
      </c>
      <c r="C130" s="5"/>
      <c r="D130" s="5"/>
      <c r="E130" s="5"/>
      <c r="F130" s="5"/>
      <c r="G130" s="5">
        <v>0</v>
      </c>
      <c r="H130" s="5">
        <f t="shared" si="32"/>
        <v>102600</v>
      </c>
      <c r="I130" s="11"/>
      <c r="K130" s="10">
        <v>99900</v>
      </c>
      <c r="M130" s="5">
        <f t="shared" ref="M130:M142" si="33">H130-K130</f>
        <v>2700</v>
      </c>
    </row>
    <row r="131" spans="1:14" x14ac:dyDescent="0.25">
      <c r="A131" s="69" t="s">
        <v>127</v>
      </c>
      <c r="B131" s="70">
        <f>SUM(B123:B130)</f>
        <v>102600</v>
      </c>
      <c r="C131" s="70">
        <f>SUM(C123:C130)</f>
        <v>91726.907054999974</v>
      </c>
      <c r="D131" s="70">
        <f>SUM(D123:D130)</f>
        <v>155520</v>
      </c>
      <c r="E131" s="70"/>
      <c r="F131" s="70"/>
      <c r="G131" s="70"/>
      <c r="H131" s="70">
        <f>SUM(H123:H130)</f>
        <v>349846.90705499996</v>
      </c>
      <c r="I131" s="7"/>
      <c r="J131" s="7"/>
      <c r="K131" s="70">
        <v>341471.337</v>
      </c>
      <c r="M131" s="70">
        <f t="shared" si="33"/>
        <v>8375.5700549999601</v>
      </c>
      <c r="N131" s="7"/>
    </row>
    <row r="132" spans="1:14" x14ac:dyDescent="0.25">
      <c r="A132" s="71" t="s">
        <v>128</v>
      </c>
      <c r="B132" s="72">
        <f>B121+B131</f>
        <v>7066447.1233950006</v>
      </c>
      <c r="C132" s="72">
        <f>C121+C131</f>
        <v>683326.90705499996</v>
      </c>
      <c r="D132" s="72">
        <f>D121+D131</f>
        <v>155520</v>
      </c>
      <c r="E132" s="72">
        <f t="shared" ref="E132:G132" si="34">E121+E131</f>
        <v>0</v>
      </c>
      <c r="F132" s="72">
        <f t="shared" si="34"/>
        <v>490049.82862474991</v>
      </c>
      <c r="G132" s="72">
        <f t="shared" si="34"/>
        <v>126720</v>
      </c>
      <c r="H132" s="72">
        <f>H121+H131</f>
        <v>8522063.8590747509</v>
      </c>
      <c r="I132" s="16"/>
      <c r="J132" s="7"/>
      <c r="K132" s="72">
        <v>8043333.1616500001</v>
      </c>
      <c r="M132" s="72">
        <f t="shared" si="33"/>
        <v>478730.69742475078</v>
      </c>
      <c r="N132" s="7"/>
    </row>
    <row r="133" spans="1:14" x14ac:dyDescent="0.25">
      <c r="A133" s="30" t="s">
        <v>234</v>
      </c>
      <c r="B133" s="52">
        <f>B132*0.3675</f>
        <v>2596919.3178476626</v>
      </c>
      <c r="C133" s="52">
        <f t="shared" ref="C133:G133" si="35">C132*0.3675</f>
        <v>251122.63834271248</v>
      </c>
      <c r="D133" s="52">
        <f t="shared" si="35"/>
        <v>57153.599999999999</v>
      </c>
      <c r="E133" s="52">
        <f t="shared" si="35"/>
        <v>0</v>
      </c>
      <c r="F133" s="52">
        <f t="shared" si="35"/>
        <v>180093.31201959559</v>
      </c>
      <c r="G133" s="52">
        <f t="shared" si="35"/>
        <v>46569.599999999999</v>
      </c>
      <c r="H133" s="5">
        <f t="shared" ref="H133:H140" si="36">SUM(B133:G133)</f>
        <v>3131858.4682099707</v>
      </c>
      <c r="I133" s="111">
        <f>H133/H132</f>
        <v>0.36749999999999999</v>
      </c>
      <c r="J133" s="131"/>
      <c r="K133" s="10">
        <v>2955924.9369063745</v>
      </c>
      <c r="M133" s="5">
        <f t="shared" si="33"/>
        <v>175933.53130359622</v>
      </c>
      <c r="N133" s="131"/>
    </row>
    <row r="134" spans="1:14" x14ac:dyDescent="0.25">
      <c r="A134" s="123" t="s">
        <v>130</v>
      </c>
      <c r="B134" s="10">
        <f>B132*0.155</f>
        <v>1095299.3041262252</v>
      </c>
      <c r="C134" s="10">
        <f t="shared" ref="C134:G134" si="37">C132*0.155</f>
        <v>105915.67059352499</v>
      </c>
      <c r="D134" s="10">
        <f t="shared" si="37"/>
        <v>24105.599999999999</v>
      </c>
      <c r="E134" s="10">
        <f t="shared" si="37"/>
        <v>0</v>
      </c>
      <c r="F134" s="10">
        <f t="shared" si="37"/>
        <v>75957.723436836241</v>
      </c>
      <c r="G134" s="10">
        <f t="shared" si="37"/>
        <v>19641.599999999999</v>
      </c>
      <c r="H134" s="5">
        <f t="shared" si="36"/>
        <v>1320919.8981565866</v>
      </c>
      <c r="I134" s="111">
        <f>H134/H132</f>
        <v>0.15500000000000003</v>
      </c>
      <c r="J134" s="131"/>
      <c r="K134" s="10">
        <v>1226608.3071516249</v>
      </c>
      <c r="M134" s="5">
        <f t="shared" si="33"/>
        <v>94311.591004961636</v>
      </c>
      <c r="N134" s="131"/>
    </row>
    <row r="135" spans="1:14" x14ac:dyDescent="0.25">
      <c r="A135" s="30" t="s">
        <v>131</v>
      </c>
      <c r="B135" s="5">
        <f>(B36*1250)+(B39*2500)+(B40*2000)+(SUM(B41:B47)*1750)+(SUM(B48:B59)*500)</f>
        <v>133500</v>
      </c>
      <c r="C135" s="5">
        <f t="shared" ref="C135:G135" si="38">(C36*1250)+(C39*2500)+(C40*2000)+(SUM(C41:C47)*1750)+(SUM(C48:C59)*500)</f>
        <v>11750</v>
      </c>
      <c r="D135" s="5">
        <f t="shared" si="38"/>
        <v>3000</v>
      </c>
      <c r="E135" s="5">
        <f t="shared" si="38"/>
        <v>0</v>
      </c>
      <c r="F135" s="5">
        <f t="shared" si="38"/>
        <v>8000</v>
      </c>
      <c r="G135" s="5">
        <f t="shared" si="38"/>
        <v>2000</v>
      </c>
      <c r="H135" s="5">
        <f t="shared" si="36"/>
        <v>158250</v>
      </c>
      <c r="I135" s="11"/>
      <c r="K135" s="10">
        <v>153250</v>
      </c>
      <c r="M135" s="5">
        <f t="shared" si="33"/>
        <v>5000</v>
      </c>
    </row>
    <row r="136" spans="1:14" x14ac:dyDescent="0.25">
      <c r="A136" s="123" t="s">
        <v>132</v>
      </c>
      <c r="B136" s="82">
        <f>125*B65+125*6</f>
        <v>15375</v>
      </c>
      <c r="C136" s="124">
        <f>125*C65</f>
        <v>1625</v>
      </c>
      <c r="D136" s="124">
        <f>125*D65</f>
        <v>750</v>
      </c>
      <c r="E136" s="124">
        <f>125*E65</f>
        <v>0</v>
      </c>
      <c r="F136" s="124">
        <f>125*F65</f>
        <v>1375</v>
      </c>
      <c r="G136" s="124">
        <f>125*G65</f>
        <v>500</v>
      </c>
      <c r="H136" s="5">
        <f t="shared" si="36"/>
        <v>19625</v>
      </c>
      <c r="I136" s="11"/>
      <c r="K136" s="10">
        <v>19125</v>
      </c>
      <c r="M136" s="5">
        <f t="shared" si="33"/>
        <v>500</v>
      </c>
    </row>
    <row r="137" spans="1:14" x14ac:dyDescent="0.25">
      <c r="A137" s="30" t="s">
        <v>133</v>
      </c>
      <c r="B137" s="5">
        <v>0</v>
      </c>
      <c r="C137" s="10"/>
      <c r="D137" s="10"/>
      <c r="E137" s="10">
        <v>0</v>
      </c>
      <c r="F137" s="10">
        <v>0</v>
      </c>
      <c r="G137" s="10">
        <v>0</v>
      </c>
      <c r="H137" s="5">
        <f t="shared" si="36"/>
        <v>0</v>
      </c>
      <c r="I137" s="11"/>
      <c r="K137" s="10">
        <v>0</v>
      </c>
      <c r="M137" s="5">
        <f t="shared" si="33"/>
        <v>0</v>
      </c>
    </row>
    <row r="138" spans="1:14" x14ac:dyDescent="0.25">
      <c r="A138" s="30" t="s">
        <v>134</v>
      </c>
      <c r="B138" s="5"/>
      <c r="C138" s="10"/>
      <c r="D138" s="10"/>
      <c r="E138" s="10"/>
      <c r="F138" s="10"/>
      <c r="G138" s="10"/>
      <c r="H138" s="5">
        <f t="shared" si="36"/>
        <v>0</v>
      </c>
      <c r="I138" s="11"/>
      <c r="K138" s="10">
        <v>0</v>
      </c>
      <c r="M138" s="5">
        <f t="shared" si="33"/>
        <v>0</v>
      </c>
    </row>
    <row r="139" spans="1:14" x14ac:dyDescent="0.25">
      <c r="A139" s="30" t="s">
        <v>135</v>
      </c>
      <c r="B139" s="10">
        <v>20000</v>
      </c>
      <c r="C139" s="10"/>
      <c r="D139" s="10"/>
      <c r="E139" s="10"/>
      <c r="F139" s="10"/>
      <c r="G139" s="10"/>
      <c r="H139" s="5">
        <f t="shared" si="36"/>
        <v>20000</v>
      </c>
      <c r="I139" s="11"/>
      <c r="K139" s="10">
        <v>20000</v>
      </c>
      <c r="M139" s="5">
        <f t="shared" si="33"/>
        <v>0</v>
      </c>
    </row>
    <row r="140" spans="1:14" x14ac:dyDescent="0.25">
      <c r="A140" s="30" t="s">
        <v>136</v>
      </c>
      <c r="B140" s="35">
        <f>(185*11*B36)-B130</f>
        <v>41885</v>
      </c>
      <c r="C140" s="35">
        <f t="shared" ref="C140:G140" si="39">(185*11*C36)-C130</f>
        <v>14245</v>
      </c>
      <c r="D140" s="35">
        <f t="shared" si="39"/>
        <v>0</v>
      </c>
      <c r="E140" s="35">
        <f t="shared" si="39"/>
        <v>0</v>
      </c>
      <c r="F140" s="35">
        <f t="shared" si="39"/>
        <v>0</v>
      </c>
      <c r="G140" s="35">
        <f t="shared" si="39"/>
        <v>0</v>
      </c>
      <c r="H140" s="5">
        <f t="shared" si="36"/>
        <v>56130</v>
      </c>
      <c r="I140" s="11" t="s">
        <v>137</v>
      </c>
      <c r="K140" s="10">
        <v>50690</v>
      </c>
      <c r="M140" s="5">
        <f t="shared" si="33"/>
        <v>5440</v>
      </c>
    </row>
    <row r="141" spans="1:14" x14ac:dyDescent="0.25">
      <c r="A141" s="74" t="s">
        <v>138</v>
      </c>
      <c r="B141" s="75">
        <f>SUM(B133:B140)</f>
        <v>3902978.621973888</v>
      </c>
      <c r="C141" s="75">
        <f t="shared" ref="C141:G141" si="40">SUM(C133:C140)</f>
        <v>384658.30893623747</v>
      </c>
      <c r="D141" s="75">
        <f t="shared" si="40"/>
        <v>85009.2</v>
      </c>
      <c r="E141" s="75">
        <f t="shared" si="40"/>
        <v>0</v>
      </c>
      <c r="F141" s="75">
        <f t="shared" si="40"/>
        <v>265426.0354564318</v>
      </c>
      <c r="G141" s="75">
        <f t="shared" si="40"/>
        <v>68711.199999999997</v>
      </c>
      <c r="H141" s="75">
        <f>SUM(H133:H140)</f>
        <v>4706783.3663665578</v>
      </c>
      <c r="I141" s="7"/>
      <c r="J141" s="7"/>
      <c r="K141" s="75">
        <v>4425598.2440579999</v>
      </c>
      <c r="M141" s="75">
        <f t="shared" si="33"/>
        <v>281185.12230855785</v>
      </c>
      <c r="N141" s="7"/>
    </row>
    <row r="142" spans="1:14" x14ac:dyDescent="0.25">
      <c r="A142" s="71" t="s">
        <v>139</v>
      </c>
      <c r="B142" s="72">
        <f>B132+B141</f>
        <v>10969425.745368889</v>
      </c>
      <c r="C142" s="72">
        <f>C132+C141</f>
        <v>1067985.2159912374</v>
      </c>
      <c r="D142" s="72">
        <f>D132+D141</f>
        <v>240529.2</v>
      </c>
      <c r="E142" s="72">
        <f t="shared" ref="E142:G142" si="41">E132+E141</f>
        <v>0</v>
      </c>
      <c r="F142" s="72">
        <f t="shared" si="41"/>
        <v>755475.8640811817</v>
      </c>
      <c r="G142" s="72">
        <f t="shared" si="41"/>
        <v>195431.2</v>
      </c>
      <c r="H142" s="72">
        <f>H132+H141</f>
        <v>13228847.225441309</v>
      </c>
      <c r="I142" s="7"/>
      <c r="J142" s="7"/>
      <c r="K142" s="72">
        <v>12468931.405708</v>
      </c>
      <c r="M142" s="72">
        <f t="shared" si="33"/>
        <v>759915.81973330863</v>
      </c>
      <c r="N142" s="7"/>
    </row>
    <row r="143" spans="1:14" x14ac:dyDescent="0.25">
      <c r="A143" s="76" t="s">
        <v>140</v>
      </c>
      <c r="B143" s="15" t="str">
        <f t="shared" ref="B143:H143" si="42">B1</f>
        <v>Operating</v>
      </c>
      <c r="C143" s="15" t="str">
        <f t="shared" si="42"/>
        <v>SPED</v>
      </c>
      <c r="D143" s="15" t="str">
        <f t="shared" si="42"/>
        <v>NSLP</v>
      </c>
      <c r="E143" s="15" t="str">
        <f t="shared" si="42"/>
        <v>Other</v>
      </c>
      <c r="F143" s="15" t="str">
        <f t="shared" si="42"/>
        <v>Title I</v>
      </c>
      <c r="G143" s="15" t="str">
        <f t="shared" si="42"/>
        <v>Title II/III/IV</v>
      </c>
      <c r="H143" s="15" t="str">
        <f t="shared" si="42"/>
        <v>Total (28-29)</v>
      </c>
      <c r="I143" s="7"/>
      <c r="J143" s="7"/>
      <c r="K143" s="15" t="s">
        <v>242</v>
      </c>
      <c r="M143" s="15" t="str">
        <f>M1</f>
        <v>Variance</v>
      </c>
      <c r="N143" s="7"/>
    </row>
    <row r="144" spans="1:14" x14ac:dyDescent="0.25">
      <c r="A144" s="77" t="s">
        <v>141</v>
      </c>
      <c r="B144" s="10">
        <f>B17*210</f>
        <v>370650</v>
      </c>
      <c r="C144" s="10"/>
      <c r="D144" s="10"/>
      <c r="E144" s="10">
        <v>0</v>
      </c>
      <c r="F144" s="10">
        <v>0</v>
      </c>
      <c r="G144" s="10">
        <v>0</v>
      </c>
      <c r="H144" s="5">
        <f t="shared" ref="H144:H153" si="43">SUM(B144:G144)</f>
        <v>370650</v>
      </c>
      <c r="I144" s="6" t="s">
        <v>142</v>
      </c>
      <c r="K144" s="10">
        <v>352800</v>
      </c>
      <c r="M144" s="5">
        <f t="shared" ref="M144:M154" si="44">H144-K144</f>
        <v>17850</v>
      </c>
    </row>
    <row r="145" spans="1:14" x14ac:dyDescent="0.25">
      <c r="A145" s="78" t="s">
        <v>143</v>
      </c>
      <c r="B145" s="5">
        <v>0</v>
      </c>
      <c r="C145" s="10"/>
      <c r="D145" s="10"/>
      <c r="E145" s="10"/>
      <c r="F145" s="10"/>
      <c r="G145" s="10"/>
      <c r="H145" s="5">
        <f t="shared" si="43"/>
        <v>0</v>
      </c>
      <c r="I145" s="11"/>
      <c r="K145" s="10">
        <v>0</v>
      </c>
      <c r="M145" s="5">
        <f t="shared" si="44"/>
        <v>0</v>
      </c>
    </row>
    <row r="146" spans="1:14" x14ac:dyDescent="0.25">
      <c r="A146" s="30" t="s">
        <v>144</v>
      </c>
      <c r="B146" s="10">
        <v>0</v>
      </c>
      <c r="C146" s="10"/>
      <c r="D146" s="10"/>
      <c r="E146" s="10">
        <v>100000</v>
      </c>
      <c r="F146" s="10"/>
      <c r="G146" s="10"/>
      <c r="H146" s="5">
        <f t="shared" si="43"/>
        <v>100000</v>
      </c>
      <c r="I146" s="11"/>
      <c r="K146" s="10">
        <v>150000</v>
      </c>
      <c r="M146" s="5">
        <f t="shared" si="44"/>
        <v>-50000</v>
      </c>
    </row>
    <row r="147" spans="1:14" x14ac:dyDescent="0.25">
      <c r="A147" s="30" t="s">
        <v>145</v>
      </c>
      <c r="B147" s="5">
        <f>30*B17</f>
        <v>52950</v>
      </c>
      <c r="C147" s="10"/>
      <c r="D147" s="10"/>
      <c r="E147" s="10"/>
      <c r="F147" s="10"/>
      <c r="G147" s="10"/>
      <c r="H147" s="5">
        <f t="shared" si="43"/>
        <v>52950</v>
      </c>
      <c r="I147" s="6" t="s">
        <v>146</v>
      </c>
      <c r="K147" s="10">
        <v>50400</v>
      </c>
      <c r="M147" s="5">
        <f t="shared" si="44"/>
        <v>2550</v>
      </c>
    </row>
    <row r="148" spans="1:14" x14ac:dyDescent="0.25">
      <c r="A148" s="30" t="s">
        <v>147</v>
      </c>
      <c r="B148" s="5">
        <f>40*B17</f>
        <v>70600</v>
      </c>
      <c r="C148" s="10"/>
      <c r="D148" s="10"/>
      <c r="E148" s="10"/>
      <c r="F148" s="10"/>
      <c r="G148" s="10"/>
      <c r="H148" s="5">
        <f t="shared" si="43"/>
        <v>70600</v>
      </c>
      <c r="I148" s="6" t="s">
        <v>148</v>
      </c>
      <c r="K148" s="10">
        <v>67200</v>
      </c>
      <c r="M148" s="5">
        <f t="shared" si="44"/>
        <v>3400</v>
      </c>
    </row>
    <row r="149" spans="1:14" x14ac:dyDescent="0.25">
      <c r="A149" s="30" t="s">
        <v>149</v>
      </c>
      <c r="B149" s="5">
        <f>10*B17</f>
        <v>17650</v>
      </c>
      <c r="C149" s="10"/>
      <c r="D149" s="10"/>
      <c r="E149" s="10"/>
      <c r="F149" s="10"/>
      <c r="G149" s="10"/>
      <c r="H149" s="5">
        <f t="shared" si="43"/>
        <v>17650</v>
      </c>
      <c r="I149" s="6" t="s">
        <v>150</v>
      </c>
      <c r="K149" s="10">
        <v>16800</v>
      </c>
      <c r="M149" s="5">
        <f t="shared" si="44"/>
        <v>850</v>
      </c>
    </row>
    <row r="150" spans="1:14" x14ac:dyDescent="0.25">
      <c r="A150" s="30" t="s">
        <v>151</v>
      </c>
      <c r="B150" s="5">
        <f>8*B17</f>
        <v>14120</v>
      </c>
      <c r="C150" s="10"/>
      <c r="D150" s="10"/>
      <c r="E150" s="10"/>
      <c r="F150" s="10"/>
      <c r="G150" s="10"/>
      <c r="H150" s="5">
        <f t="shared" si="43"/>
        <v>14120</v>
      </c>
      <c r="I150" s="6" t="s">
        <v>152</v>
      </c>
      <c r="K150" s="10">
        <v>13440</v>
      </c>
      <c r="M150" s="5">
        <f t="shared" si="44"/>
        <v>680</v>
      </c>
    </row>
    <row r="151" spans="1:14" x14ac:dyDescent="0.25">
      <c r="A151" s="30" t="s">
        <v>153</v>
      </c>
      <c r="B151" s="5"/>
      <c r="C151" s="10">
        <f>150*(C20)</f>
        <v>19231.839622641506</v>
      </c>
      <c r="D151" s="10"/>
      <c r="E151" s="10"/>
      <c r="F151" s="10"/>
      <c r="G151" s="10"/>
      <c r="H151" s="5">
        <f t="shared" si="43"/>
        <v>19231.839622641506</v>
      </c>
      <c r="I151" s="6" t="s">
        <v>154</v>
      </c>
      <c r="K151" s="10">
        <v>18305.66037735849</v>
      </c>
      <c r="M151" s="5">
        <f t="shared" si="44"/>
        <v>926.17924528301592</v>
      </c>
    </row>
    <row r="152" spans="1:14" x14ac:dyDescent="0.25">
      <c r="A152" s="30" t="s">
        <v>155</v>
      </c>
      <c r="B152" s="5">
        <v>100000</v>
      </c>
      <c r="C152" s="5"/>
      <c r="D152" s="5"/>
      <c r="E152" s="5"/>
      <c r="F152" s="5"/>
      <c r="G152" s="5"/>
      <c r="H152" s="5">
        <f t="shared" si="43"/>
        <v>100000</v>
      </c>
      <c r="I152" s="11"/>
      <c r="K152" s="10">
        <v>90000</v>
      </c>
      <c r="M152" s="5">
        <f t="shared" si="44"/>
        <v>10000</v>
      </c>
    </row>
    <row r="153" spans="1:14" x14ac:dyDescent="0.25">
      <c r="A153" s="79" t="s">
        <v>156</v>
      </c>
      <c r="B153" s="83">
        <f>B17*42</f>
        <v>74130</v>
      </c>
      <c r="C153" s="5"/>
      <c r="D153" s="5"/>
      <c r="E153" s="5"/>
      <c r="F153" s="5"/>
      <c r="G153" s="5"/>
      <c r="H153" s="5">
        <f t="shared" si="43"/>
        <v>74130</v>
      </c>
      <c r="I153" s="11" t="s">
        <v>157</v>
      </c>
      <c r="K153" s="10">
        <v>70560</v>
      </c>
      <c r="M153" s="5">
        <f t="shared" si="44"/>
        <v>3570</v>
      </c>
    </row>
    <row r="154" spans="1:14" x14ac:dyDescent="0.25">
      <c r="A154" s="71" t="s">
        <v>158</v>
      </c>
      <c r="B154" s="72">
        <f>SUM(B144:B153)</f>
        <v>700100</v>
      </c>
      <c r="C154" s="72">
        <f t="shared" ref="C154:H154" si="45">SUM(C144:C153)</f>
        <v>19231.839622641506</v>
      </c>
      <c r="D154" s="72">
        <f t="shared" si="45"/>
        <v>0</v>
      </c>
      <c r="E154" s="72">
        <f t="shared" si="45"/>
        <v>100000</v>
      </c>
      <c r="F154" s="72">
        <f t="shared" si="45"/>
        <v>0</v>
      </c>
      <c r="G154" s="72">
        <f t="shared" si="45"/>
        <v>0</v>
      </c>
      <c r="H154" s="72">
        <f t="shared" si="45"/>
        <v>819331.83962264145</v>
      </c>
      <c r="I154" s="7"/>
      <c r="J154" s="7"/>
      <c r="K154" s="72">
        <v>829505.66037735844</v>
      </c>
      <c r="M154" s="72">
        <f t="shared" si="44"/>
        <v>-10173.820754716988</v>
      </c>
      <c r="N154" s="7"/>
    </row>
    <row r="155" spans="1:14" x14ac:dyDescent="0.25">
      <c r="A155" s="76" t="s">
        <v>159</v>
      </c>
      <c r="B155" s="15" t="str">
        <f t="shared" ref="B155:H155" si="46">B1</f>
        <v>Operating</v>
      </c>
      <c r="C155" s="15" t="str">
        <f t="shared" si="46"/>
        <v>SPED</v>
      </c>
      <c r="D155" s="15" t="str">
        <f t="shared" si="46"/>
        <v>NSLP</v>
      </c>
      <c r="E155" s="15" t="str">
        <f t="shared" si="46"/>
        <v>Other</v>
      </c>
      <c r="F155" s="15" t="str">
        <f t="shared" si="46"/>
        <v>Title I</v>
      </c>
      <c r="G155" s="15" t="str">
        <f t="shared" si="46"/>
        <v>Title II/III/IV</v>
      </c>
      <c r="H155" s="15" t="str">
        <f t="shared" si="46"/>
        <v>Total (28-29)</v>
      </c>
      <c r="I155" s="7"/>
      <c r="J155" s="7"/>
      <c r="K155" s="15" t="s">
        <v>242</v>
      </c>
      <c r="M155" s="15" t="str">
        <f>M1</f>
        <v>Variance</v>
      </c>
      <c r="N155" s="7"/>
    </row>
    <row r="156" spans="1:14" x14ac:dyDescent="0.25">
      <c r="A156" s="30" t="s">
        <v>160</v>
      </c>
      <c r="B156" s="10">
        <f>'27-28'!B156*1.05</f>
        <v>0</v>
      </c>
      <c r="C156" s="10"/>
      <c r="D156" s="10"/>
      <c r="E156" s="10"/>
      <c r="F156" s="10"/>
      <c r="G156" s="10"/>
      <c r="H156" s="5">
        <f t="shared" ref="H156:H169" si="47">SUM(B156:G156)</f>
        <v>0</v>
      </c>
      <c r="I156" s="11"/>
      <c r="K156" s="10">
        <v>0</v>
      </c>
      <c r="M156" s="5">
        <f t="shared" ref="M156:M197" si="48">H156-K156</f>
        <v>0</v>
      </c>
    </row>
    <row r="157" spans="1:14" x14ac:dyDescent="0.25">
      <c r="A157" s="30" t="s">
        <v>161</v>
      </c>
      <c r="B157" s="10">
        <v>0</v>
      </c>
      <c r="C157" s="10">
        <f>230*B17</f>
        <v>405950</v>
      </c>
      <c r="D157" s="5"/>
      <c r="E157" s="10"/>
      <c r="F157" s="10"/>
      <c r="G157" s="10"/>
      <c r="H157" s="5">
        <f t="shared" si="47"/>
        <v>405950</v>
      </c>
      <c r="I157" s="11" t="s">
        <v>162</v>
      </c>
      <c r="K157" s="10">
        <v>386400</v>
      </c>
      <c r="M157" s="5">
        <f t="shared" si="48"/>
        <v>19550</v>
      </c>
    </row>
    <row r="158" spans="1:14" x14ac:dyDescent="0.25">
      <c r="A158" s="30" t="s">
        <v>163</v>
      </c>
      <c r="B158" s="10">
        <v>0</v>
      </c>
      <c r="C158" s="5"/>
      <c r="D158" s="5"/>
      <c r="E158" s="5"/>
      <c r="F158" s="5"/>
      <c r="G158" s="5"/>
      <c r="H158" s="5">
        <f t="shared" si="47"/>
        <v>0</v>
      </c>
      <c r="I158" s="11"/>
      <c r="K158" s="10">
        <v>0</v>
      </c>
      <c r="M158" s="5">
        <f t="shared" si="48"/>
        <v>0</v>
      </c>
    </row>
    <row r="159" spans="1:14" x14ac:dyDescent="0.25">
      <c r="A159" s="30" t="s">
        <v>164</v>
      </c>
      <c r="B159" s="10">
        <v>0</v>
      </c>
      <c r="C159" s="5"/>
      <c r="D159" s="5"/>
      <c r="E159" s="5"/>
      <c r="F159" s="5"/>
      <c r="G159" s="5"/>
      <c r="H159" s="5">
        <f t="shared" si="47"/>
        <v>0</v>
      </c>
      <c r="I159" s="11" t="s">
        <v>235</v>
      </c>
      <c r="K159" s="10">
        <v>0</v>
      </c>
      <c r="M159" s="5">
        <f t="shared" si="48"/>
        <v>0</v>
      </c>
    </row>
    <row r="160" spans="1:14" x14ac:dyDescent="0.25">
      <c r="A160" s="30" t="s">
        <v>165</v>
      </c>
      <c r="B160" s="10">
        <f>(495*1.03*1.015*1.015*1.015)*B17</f>
        <v>940990.54590646864</v>
      </c>
      <c r="C160" s="5"/>
      <c r="D160" s="5"/>
      <c r="E160" s="5"/>
      <c r="F160" s="5"/>
      <c r="G160" s="5"/>
      <c r="H160" s="5">
        <f t="shared" si="47"/>
        <v>940990.54590646864</v>
      </c>
      <c r="I160" s="11"/>
      <c r="K160" s="10">
        <v>882437.16330000001</v>
      </c>
      <c r="M160" s="5">
        <f t="shared" si="48"/>
        <v>58553.382606468629</v>
      </c>
    </row>
    <row r="161" spans="1:14" x14ac:dyDescent="0.25">
      <c r="A161" s="30" t="s">
        <v>167</v>
      </c>
      <c r="B161" s="10">
        <f>250*H65</f>
        <v>37750</v>
      </c>
      <c r="C161" s="10"/>
      <c r="D161" s="10"/>
      <c r="E161" s="10"/>
      <c r="F161" s="10"/>
      <c r="G161" s="10"/>
      <c r="H161" s="5">
        <f t="shared" si="47"/>
        <v>37750</v>
      </c>
      <c r="I161" s="11"/>
      <c r="K161" s="10">
        <v>36750</v>
      </c>
      <c r="M161" s="5">
        <f t="shared" si="48"/>
        <v>1000</v>
      </c>
    </row>
    <row r="162" spans="1:14" x14ac:dyDescent="0.25">
      <c r="A162" s="30" t="s">
        <v>168</v>
      </c>
      <c r="B162" s="10">
        <f>'27-28'!B162*1.05</f>
        <v>121550.625</v>
      </c>
      <c r="C162" s="5"/>
      <c r="D162" s="5"/>
      <c r="E162" s="5"/>
      <c r="F162" s="5"/>
      <c r="G162" s="5"/>
      <c r="H162" s="5">
        <f t="shared" si="47"/>
        <v>121550.625</v>
      </c>
      <c r="I162" s="11"/>
      <c r="K162" s="10">
        <v>115762.5</v>
      </c>
      <c r="M162" s="5">
        <f t="shared" si="48"/>
        <v>5788.125</v>
      </c>
    </row>
    <row r="163" spans="1:14" x14ac:dyDescent="0.25">
      <c r="A163" s="30" t="s">
        <v>169</v>
      </c>
      <c r="B163" s="5">
        <f>10000</f>
        <v>10000</v>
      </c>
      <c r="C163" s="5"/>
      <c r="D163" s="5"/>
      <c r="E163" s="5"/>
      <c r="F163" s="5"/>
      <c r="G163" s="5"/>
      <c r="H163" s="5">
        <f t="shared" si="47"/>
        <v>10000</v>
      </c>
      <c r="I163" s="11"/>
      <c r="K163" s="10">
        <v>10000</v>
      </c>
      <c r="M163" s="5">
        <f t="shared" si="48"/>
        <v>0</v>
      </c>
    </row>
    <row r="164" spans="1:14" x14ac:dyDescent="0.25">
      <c r="A164" s="30" t="s">
        <v>170</v>
      </c>
      <c r="B164" s="10">
        <f>48*B17+(60*12)</f>
        <v>85440</v>
      </c>
      <c r="C164" s="5"/>
      <c r="D164" s="5"/>
      <c r="E164" s="5"/>
      <c r="F164" s="5"/>
      <c r="G164" s="5"/>
      <c r="H164" s="5">
        <f t="shared" si="47"/>
        <v>85440</v>
      </c>
      <c r="I164" s="11" t="s">
        <v>171</v>
      </c>
      <c r="K164" s="10">
        <v>81360</v>
      </c>
      <c r="M164" s="5">
        <f t="shared" si="48"/>
        <v>4080</v>
      </c>
    </row>
    <row r="165" spans="1:14" x14ac:dyDescent="0.25">
      <c r="A165" s="30" t="s">
        <v>172</v>
      </c>
      <c r="B165" s="10">
        <v>27500</v>
      </c>
      <c r="C165" s="5"/>
      <c r="D165" s="5"/>
      <c r="E165" s="5"/>
      <c r="F165" s="5"/>
      <c r="G165" s="5"/>
      <c r="H165" s="5">
        <f t="shared" si="47"/>
        <v>27500</v>
      </c>
      <c r="I165" s="11"/>
      <c r="K165" s="10">
        <v>27500</v>
      </c>
      <c r="M165" s="5">
        <f t="shared" si="48"/>
        <v>0</v>
      </c>
    </row>
    <row r="166" spans="1:14" x14ac:dyDescent="0.25">
      <c r="A166" s="30" t="s">
        <v>173</v>
      </c>
      <c r="B166" s="10">
        <f>(B74+B75+B76+B77)*0.0125</f>
        <v>248262.50364049227</v>
      </c>
      <c r="C166" s="5"/>
      <c r="D166" s="5"/>
      <c r="E166" s="5"/>
      <c r="F166" s="5"/>
      <c r="G166" s="5"/>
      <c r="H166" s="5">
        <f t="shared" si="47"/>
        <v>248262.50364049227</v>
      </c>
      <c r="I166" s="80">
        <v>1.2500000000000001E-2</v>
      </c>
      <c r="J166" s="132"/>
      <c r="K166" s="10">
        <v>232895.45518449997</v>
      </c>
      <c r="M166" s="5">
        <f t="shared" si="48"/>
        <v>15367.048455992306</v>
      </c>
      <c r="N166" s="132"/>
    </row>
    <row r="167" spans="1:14" x14ac:dyDescent="0.25">
      <c r="A167" s="30" t="s">
        <v>174</v>
      </c>
      <c r="B167" s="10">
        <f>B74*0.005</f>
        <v>89479.646456196904</v>
      </c>
      <c r="C167" s="5"/>
      <c r="D167" s="5"/>
      <c r="E167" s="5"/>
      <c r="F167" s="5"/>
      <c r="G167" s="5"/>
      <c r="H167" s="5">
        <f t="shared" si="47"/>
        <v>89479.646456196904</v>
      </c>
      <c r="I167" s="80" t="s">
        <v>175</v>
      </c>
      <c r="J167" s="132"/>
      <c r="K167" s="10">
        <v>83911.752073799988</v>
      </c>
      <c r="M167" s="5">
        <f t="shared" si="48"/>
        <v>5567.8943823969166</v>
      </c>
      <c r="N167" s="132"/>
    </row>
    <row r="168" spans="1:14" x14ac:dyDescent="0.25">
      <c r="A168" s="30" t="s">
        <v>176</v>
      </c>
      <c r="B168" s="10">
        <f>B74*0.005</f>
        <v>89479.646456196904</v>
      </c>
      <c r="C168" s="5"/>
      <c r="D168" s="5"/>
      <c r="E168" s="5"/>
      <c r="F168" s="5"/>
      <c r="G168" s="5"/>
      <c r="H168" s="5">
        <f t="shared" si="47"/>
        <v>89479.646456196904</v>
      </c>
      <c r="I168" s="80" t="s">
        <v>175</v>
      </c>
      <c r="J168" s="132"/>
      <c r="K168" s="10">
        <v>83911.752073799988</v>
      </c>
      <c r="M168" s="5">
        <f t="shared" si="48"/>
        <v>5567.8943823969166</v>
      </c>
      <c r="N168" s="132"/>
    </row>
    <row r="169" spans="1:14" x14ac:dyDescent="0.25">
      <c r="A169" s="79" t="s">
        <v>177</v>
      </c>
      <c r="B169" s="10">
        <v>0</v>
      </c>
      <c r="C169" s="5"/>
      <c r="D169" s="5"/>
      <c r="E169" s="5"/>
      <c r="F169" s="5"/>
      <c r="G169" s="5">
        <f>G87</f>
        <v>44196.82</v>
      </c>
      <c r="H169" s="5">
        <f t="shared" si="47"/>
        <v>44196.82</v>
      </c>
      <c r="I169" s="80"/>
      <c r="J169" s="132"/>
      <c r="K169" s="10">
        <v>44196.82</v>
      </c>
      <c r="M169" s="5">
        <f t="shared" si="48"/>
        <v>0</v>
      </c>
      <c r="N169" s="132"/>
    </row>
    <row r="170" spans="1:14" x14ac:dyDescent="0.25">
      <c r="A170" s="71" t="s">
        <v>178</v>
      </c>
      <c r="B170" s="72">
        <f>SUM(B156:B169)</f>
        <v>1650452.9674593548</v>
      </c>
      <c r="C170" s="72">
        <f t="shared" ref="C170:G170" si="49">SUM(C156:C169)</f>
        <v>405950</v>
      </c>
      <c r="D170" s="72">
        <f t="shared" si="49"/>
        <v>0</v>
      </c>
      <c r="E170" s="72">
        <f t="shared" si="49"/>
        <v>0</v>
      </c>
      <c r="F170" s="72">
        <f t="shared" si="49"/>
        <v>0</v>
      </c>
      <c r="G170" s="72">
        <f t="shared" si="49"/>
        <v>44196.82</v>
      </c>
      <c r="H170" s="72">
        <f>SUM(H156:H169)</f>
        <v>2100599.7874593548</v>
      </c>
      <c r="I170" s="7"/>
      <c r="J170" s="7"/>
      <c r="K170" s="72">
        <v>1985125.4426321001</v>
      </c>
      <c r="M170" s="72">
        <f t="shared" si="48"/>
        <v>115474.34482725477</v>
      </c>
      <c r="N170" s="7"/>
    </row>
    <row r="171" spans="1:14" x14ac:dyDescent="0.25">
      <c r="A171" s="76" t="s">
        <v>179</v>
      </c>
      <c r="B171" s="15" t="str">
        <f t="shared" ref="B171:H171" si="50">B1</f>
        <v>Operating</v>
      </c>
      <c r="C171" s="15" t="str">
        <f t="shared" si="50"/>
        <v>SPED</v>
      </c>
      <c r="D171" s="15" t="str">
        <f t="shared" si="50"/>
        <v>NSLP</v>
      </c>
      <c r="E171" s="15" t="str">
        <f t="shared" si="50"/>
        <v>Other</v>
      </c>
      <c r="F171" s="15" t="str">
        <f t="shared" si="50"/>
        <v>Title I</v>
      </c>
      <c r="G171" s="15" t="str">
        <f t="shared" si="50"/>
        <v>Title II/III/IV</v>
      </c>
      <c r="H171" s="15" t="str">
        <f t="shared" si="50"/>
        <v>Total (28-29)</v>
      </c>
      <c r="I171" s="7"/>
      <c r="J171" s="7"/>
      <c r="K171" s="15" t="s">
        <v>242</v>
      </c>
      <c r="M171" s="15" t="str">
        <f t="shared" ref="M171" si="51">M1</f>
        <v>Variance</v>
      </c>
      <c r="N171" s="7"/>
    </row>
    <row r="172" spans="1:14" x14ac:dyDescent="0.25">
      <c r="A172" s="81" t="s">
        <v>180</v>
      </c>
      <c r="B172" s="10">
        <f>'27-28'!B172*1.05</f>
        <v>5591.3287499999997</v>
      </c>
      <c r="C172" s="5"/>
      <c r="D172" s="5"/>
      <c r="E172" s="5"/>
      <c r="F172" s="5"/>
      <c r="G172" s="5"/>
      <c r="H172" s="5">
        <f t="shared" ref="H172:H196" si="52">SUM(B172:G172)</f>
        <v>5591.3287499999997</v>
      </c>
      <c r="I172" s="11" t="s">
        <v>181</v>
      </c>
      <c r="K172" s="10">
        <v>5325.0749999999998</v>
      </c>
      <c r="M172" s="5">
        <f t="shared" si="48"/>
        <v>266.25374999999985</v>
      </c>
    </row>
    <row r="173" spans="1:14" x14ac:dyDescent="0.25">
      <c r="A173" s="30" t="s">
        <v>182</v>
      </c>
      <c r="B173" s="10">
        <f>'27-28'!B173*1.05</f>
        <v>7341.6577500000003</v>
      </c>
      <c r="C173" s="23"/>
      <c r="D173" s="5"/>
      <c r="E173" s="5"/>
      <c r="F173" s="5"/>
      <c r="G173" s="5"/>
      <c r="H173" s="5">
        <f t="shared" si="52"/>
        <v>7341.6577500000003</v>
      </c>
      <c r="I173" s="11" t="s">
        <v>181</v>
      </c>
      <c r="K173" s="10">
        <v>6992.0550000000003</v>
      </c>
      <c r="M173" s="5">
        <f t="shared" si="48"/>
        <v>349.60275000000001</v>
      </c>
    </row>
    <row r="174" spans="1:14" x14ac:dyDescent="0.25">
      <c r="A174" s="30" t="s">
        <v>183</v>
      </c>
      <c r="B174" s="83"/>
      <c r="C174" s="5"/>
      <c r="D174" s="5"/>
      <c r="E174" s="5"/>
      <c r="F174" s="5"/>
      <c r="G174" s="5"/>
      <c r="H174" s="5">
        <f t="shared" si="52"/>
        <v>0</v>
      </c>
      <c r="I174" s="11"/>
      <c r="K174" s="10">
        <v>0</v>
      </c>
      <c r="M174" s="5">
        <f t="shared" si="48"/>
        <v>0</v>
      </c>
    </row>
    <row r="175" spans="1:14" x14ac:dyDescent="0.25">
      <c r="A175" s="30" t="s">
        <v>184</v>
      </c>
      <c r="B175" s="83">
        <v>1400</v>
      </c>
      <c r="C175" s="5"/>
      <c r="D175" s="5"/>
      <c r="E175" s="5"/>
      <c r="F175" s="5"/>
      <c r="G175" s="5"/>
      <c r="H175" s="5">
        <f t="shared" si="52"/>
        <v>1400</v>
      </c>
      <c r="I175" s="11"/>
      <c r="K175" s="10">
        <v>1400</v>
      </c>
      <c r="M175" s="5">
        <f t="shared" si="48"/>
        <v>0</v>
      </c>
    </row>
    <row r="176" spans="1:14" x14ac:dyDescent="0.25">
      <c r="A176" s="30" t="s">
        <v>185</v>
      </c>
      <c r="B176" s="10">
        <f>'27-28'!B176*1.05</f>
        <v>6685.2843750000002</v>
      </c>
      <c r="C176" s="5"/>
      <c r="D176" s="5"/>
      <c r="E176" s="5"/>
      <c r="F176" s="5"/>
      <c r="G176" s="5"/>
      <c r="H176" s="5">
        <f t="shared" si="52"/>
        <v>6685.2843750000002</v>
      </c>
      <c r="I176" s="11"/>
      <c r="K176" s="10">
        <v>6366.9375</v>
      </c>
      <c r="M176" s="5">
        <f t="shared" si="48"/>
        <v>318.34687500000018</v>
      </c>
    </row>
    <row r="177" spans="1:14" x14ac:dyDescent="0.25">
      <c r="A177" s="30" t="s">
        <v>186</v>
      </c>
      <c r="B177" s="10">
        <v>90000</v>
      </c>
      <c r="C177" s="5"/>
      <c r="D177" s="5"/>
      <c r="E177" s="5"/>
      <c r="F177" s="5"/>
      <c r="G177" s="5"/>
      <c r="H177" s="5">
        <f t="shared" si="52"/>
        <v>90000</v>
      </c>
      <c r="I177" s="11"/>
      <c r="K177" s="10">
        <v>66150</v>
      </c>
      <c r="M177" s="5">
        <f t="shared" si="48"/>
        <v>23850</v>
      </c>
    </row>
    <row r="178" spans="1:14" x14ac:dyDescent="0.25">
      <c r="A178" s="30" t="s">
        <v>187</v>
      </c>
      <c r="B178" s="82">
        <f>(2.5*B17)+8500</f>
        <v>12912.5</v>
      </c>
      <c r="C178" s="5"/>
      <c r="D178" s="5"/>
      <c r="E178" s="5"/>
      <c r="F178" s="5"/>
      <c r="G178" s="5"/>
      <c r="H178" s="5">
        <f t="shared" si="52"/>
        <v>12912.5</v>
      </c>
      <c r="I178" s="11"/>
      <c r="K178" s="10">
        <v>12700</v>
      </c>
      <c r="M178" s="5">
        <f t="shared" si="48"/>
        <v>212.5</v>
      </c>
    </row>
    <row r="179" spans="1:14" x14ac:dyDescent="0.25">
      <c r="A179" s="30" t="s">
        <v>188</v>
      </c>
      <c r="B179" s="10">
        <f>'27-28'!B179*1.1</f>
        <v>30364.26272000001</v>
      </c>
      <c r="C179" s="5"/>
      <c r="D179" s="5"/>
      <c r="E179" s="5"/>
      <c r="F179" s="5"/>
      <c r="G179" s="5"/>
      <c r="H179" s="5">
        <f t="shared" si="52"/>
        <v>30364.26272000001</v>
      </c>
      <c r="I179" s="11"/>
      <c r="K179" s="10">
        <v>27603.875200000006</v>
      </c>
      <c r="M179" s="5">
        <f t="shared" si="48"/>
        <v>2760.3875200000039</v>
      </c>
    </row>
    <row r="180" spans="1:14" x14ac:dyDescent="0.25">
      <c r="A180" s="30" t="s">
        <v>189</v>
      </c>
      <c r="B180" s="10">
        <f>'27-28'!B180*1.1</f>
        <v>26568.729880000003</v>
      </c>
      <c r="C180" s="5"/>
      <c r="D180" s="5"/>
      <c r="E180" s="5"/>
      <c r="F180" s="5"/>
      <c r="G180" s="5"/>
      <c r="H180" s="5">
        <f t="shared" si="52"/>
        <v>26568.729880000003</v>
      </c>
      <c r="I180" s="11"/>
      <c r="K180" s="10">
        <v>24153.390800000001</v>
      </c>
      <c r="M180" s="5">
        <f t="shared" si="48"/>
        <v>2415.3390800000016</v>
      </c>
    </row>
    <row r="181" spans="1:14" x14ac:dyDescent="0.25">
      <c r="A181" s="30" t="s">
        <v>190</v>
      </c>
      <c r="B181" s="10">
        <f>'27-28'!B181*1.1</f>
        <v>37955.328400000006</v>
      </c>
      <c r="C181" s="5"/>
      <c r="D181" s="5"/>
      <c r="E181" s="5"/>
      <c r="F181" s="5"/>
      <c r="G181" s="5"/>
      <c r="H181" s="5">
        <f t="shared" si="52"/>
        <v>37955.328400000006</v>
      </c>
      <c r="I181" s="11"/>
      <c r="K181" s="10">
        <v>34504.844000000005</v>
      </c>
      <c r="M181" s="5">
        <f t="shared" si="48"/>
        <v>3450.4844000000012</v>
      </c>
    </row>
    <row r="182" spans="1:14" x14ac:dyDescent="0.25">
      <c r="A182" s="30" t="s">
        <v>191</v>
      </c>
      <c r="B182" s="5"/>
      <c r="C182" s="10"/>
      <c r="D182" s="10">
        <f>((B17*D23*0.5)*2.4*180)</f>
        <v>381240</v>
      </c>
      <c r="E182" s="10"/>
      <c r="F182" s="10"/>
      <c r="G182" s="10"/>
      <c r="H182" s="5">
        <f t="shared" si="52"/>
        <v>381240</v>
      </c>
      <c r="I182" s="58">
        <v>2.4</v>
      </c>
      <c r="J182" s="133"/>
      <c r="K182" s="10">
        <v>362880</v>
      </c>
      <c r="M182" s="5">
        <f t="shared" si="48"/>
        <v>18360</v>
      </c>
      <c r="N182" s="133"/>
    </row>
    <row r="183" spans="1:14" x14ac:dyDescent="0.25">
      <c r="A183" s="30" t="s">
        <v>192</v>
      </c>
      <c r="B183" s="5"/>
      <c r="C183" s="10"/>
      <c r="D183" s="10">
        <f>((B17*D23*0.5)*3.91*180)</f>
        <v>621103.5</v>
      </c>
      <c r="E183" s="10"/>
      <c r="F183" s="10"/>
      <c r="G183" s="10"/>
      <c r="H183" s="5">
        <f t="shared" si="52"/>
        <v>621103.5</v>
      </c>
      <c r="I183" s="58">
        <v>3.91</v>
      </c>
      <c r="J183" s="133"/>
      <c r="K183" s="10">
        <v>591192</v>
      </c>
      <c r="M183" s="5">
        <f t="shared" si="48"/>
        <v>29911.5</v>
      </c>
      <c r="N183" s="133"/>
    </row>
    <row r="184" spans="1:14" x14ac:dyDescent="0.25">
      <c r="A184" s="30" t="s">
        <v>193</v>
      </c>
      <c r="B184" s="5">
        <v>15000</v>
      </c>
      <c r="C184" s="5"/>
      <c r="D184" s="5"/>
      <c r="E184" s="5"/>
      <c r="F184" s="5"/>
      <c r="G184" s="5"/>
      <c r="H184" s="5">
        <f t="shared" si="52"/>
        <v>15000</v>
      </c>
      <c r="I184" s="11"/>
      <c r="K184" s="10">
        <v>15000</v>
      </c>
      <c r="M184" s="5">
        <f t="shared" si="48"/>
        <v>0</v>
      </c>
    </row>
    <row r="185" spans="1:14" x14ac:dyDescent="0.25">
      <c r="A185" s="30" t="s">
        <v>194</v>
      </c>
      <c r="B185" s="5">
        <v>7500</v>
      </c>
      <c r="C185" s="5"/>
      <c r="D185" s="5"/>
      <c r="E185" s="5"/>
      <c r="F185" s="5"/>
      <c r="G185" s="5">
        <f>G88</f>
        <v>30624.400000000001</v>
      </c>
      <c r="H185" s="5">
        <f t="shared" si="52"/>
        <v>38124.400000000001</v>
      </c>
      <c r="I185" s="11"/>
      <c r="K185" s="10">
        <v>38124.400000000001</v>
      </c>
      <c r="M185" s="5">
        <f t="shared" si="48"/>
        <v>0</v>
      </c>
    </row>
    <row r="186" spans="1:14" x14ac:dyDescent="0.25">
      <c r="A186" s="30" t="s">
        <v>195</v>
      </c>
      <c r="B186" s="5">
        <f>75*55</f>
        <v>4125</v>
      </c>
      <c r="C186" s="5">
        <v>0</v>
      </c>
      <c r="D186" s="5">
        <v>0</v>
      </c>
      <c r="E186" s="5"/>
      <c r="F186" s="5"/>
      <c r="G186" s="5"/>
      <c r="H186" s="5">
        <f t="shared" si="52"/>
        <v>4125</v>
      </c>
      <c r="I186" s="11"/>
      <c r="K186" s="10">
        <v>4125</v>
      </c>
      <c r="M186" s="5">
        <f t="shared" si="48"/>
        <v>0</v>
      </c>
    </row>
    <row r="187" spans="1:14" x14ac:dyDescent="0.25">
      <c r="A187" s="30" t="s">
        <v>196</v>
      </c>
      <c r="B187" s="10">
        <f>(5*B17)+14000</f>
        <v>22825</v>
      </c>
      <c r="C187" s="5"/>
      <c r="D187" s="5"/>
      <c r="E187" s="5"/>
      <c r="F187" s="5"/>
      <c r="G187" s="5"/>
      <c r="H187" s="5">
        <f t="shared" si="52"/>
        <v>22825</v>
      </c>
      <c r="I187" s="11" t="s">
        <v>197</v>
      </c>
      <c r="K187" s="10">
        <v>22400</v>
      </c>
      <c r="M187" s="5">
        <f t="shared" si="48"/>
        <v>425</v>
      </c>
    </row>
    <row r="188" spans="1:14" x14ac:dyDescent="0.25">
      <c r="A188" s="30" t="s">
        <v>198</v>
      </c>
      <c r="B188" s="10"/>
      <c r="C188" s="5"/>
      <c r="D188" s="5"/>
      <c r="E188" s="5"/>
      <c r="F188" s="5"/>
      <c r="G188" s="5"/>
      <c r="H188" s="5">
        <f t="shared" si="52"/>
        <v>0</v>
      </c>
      <c r="I188" s="11"/>
      <c r="K188" s="10">
        <v>0</v>
      </c>
      <c r="M188" s="5">
        <f t="shared" si="48"/>
        <v>0</v>
      </c>
    </row>
    <row r="189" spans="1:14" x14ac:dyDescent="0.25">
      <c r="A189" s="30" t="s">
        <v>199</v>
      </c>
      <c r="B189" s="10">
        <v>40000</v>
      </c>
      <c r="C189" s="5"/>
      <c r="D189" s="5"/>
      <c r="E189" s="5"/>
      <c r="F189" s="5"/>
      <c r="G189" s="5"/>
      <c r="H189" s="5">
        <f t="shared" si="52"/>
        <v>40000</v>
      </c>
      <c r="I189" s="11"/>
      <c r="K189" s="10">
        <v>35000</v>
      </c>
      <c r="M189" s="5">
        <f t="shared" si="48"/>
        <v>5000</v>
      </c>
    </row>
    <row r="190" spans="1:14" x14ac:dyDescent="0.25">
      <c r="A190" s="30" t="s">
        <v>200</v>
      </c>
      <c r="B190" s="10"/>
      <c r="C190" s="5"/>
      <c r="D190" s="5"/>
      <c r="E190" s="5"/>
      <c r="F190" s="5"/>
      <c r="G190" s="5"/>
      <c r="H190" s="5">
        <f t="shared" si="52"/>
        <v>0</v>
      </c>
      <c r="I190" s="11"/>
      <c r="K190" s="10">
        <v>0</v>
      </c>
      <c r="M190" s="5">
        <f t="shared" si="48"/>
        <v>0</v>
      </c>
    </row>
    <row r="191" spans="1:14" x14ac:dyDescent="0.25">
      <c r="A191" s="30" t="s">
        <v>202</v>
      </c>
      <c r="B191" s="10">
        <v>255000</v>
      </c>
      <c r="C191" s="10"/>
      <c r="D191" s="10"/>
      <c r="E191" s="10"/>
      <c r="F191" s="10"/>
      <c r="G191" s="10"/>
      <c r="H191" s="5">
        <f t="shared" si="52"/>
        <v>255000</v>
      </c>
      <c r="I191" s="11"/>
      <c r="K191" s="10">
        <v>290000</v>
      </c>
      <c r="M191" s="5">
        <f t="shared" si="48"/>
        <v>-35000</v>
      </c>
    </row>
    <row r="192" spans="1:14" x14ac:dyDescent="0.25">
      <c r="A192" s="30" t="s">
        <v>203</v>
      </c>
      <c r="B192" s="10"/>
      <c r="C192" s="10"/>
      <c r="D192" s="10"/>
      <c r="E192" s="10"/>
      <c r="F192" s="10"/>
      <c r="G192" s="10"/>
      <c r="H192" s="5">
        <f t="shared" si="52"/>
        <v>0</v>
      </c>
      <c r="I192" s="11"/>
      <c r="K192" s="10">
        <v>0</v>
      </c>
      <c r="M192" s="5">
        <f t="shared" si="48"/>
        <v>0</v>
      </c>
    </row>
    <row r="193" spans="1:14" x14ac:dyDescent="0.25">
      <c r="A193" s="30" t="s">
        <v>204</v>
      </c>
      <c r="B193" s="10"/>
      <c r="C193" s="10"/>
      <c r="D193" s="10"/>
      <c r="E193" s="10"/>
      <c r="F193" s="10"/>
      <c r="G193" s="10"/>
      <c r="H193" s="5">
        <f t="shared" si="52"/>
        <v>0</v>
      </c>
      <c r="I193" s="11"/>
      <c r="K193" s="10">
        <v>0</v>
      </c>
      <c r="M193" s="5">
        <f t="shared" si="48"/>
        <v>0</v>
      </c>
    </row>
    <row r="194" spans="1:14" x14ac:dyDescent="0.25">
      <c r="A194" s="30" t="s">
        <v>205</v>
      </c>
      <c r="B194" s="10"/>
      <c r="C194" s="10"/>
      <c r="D194" s="10"/>
      <c r="E194" s="10">
        <f>E93</f>
        <v>333000</v>
      </c>
      <c r="F194" s="10"/>
      <c r="G194" s="10"/>
      <c r="H194" s="5">
        <f t="shared" si="52"/>
        <v>333000</v>
      </c>
      <c r="I194" s="11"/>
      <c r="K194" s="10">
        <v>317000</v>
      </c>
      <c r="M194" s="5"/>
    </row>
    <row r="195" spans="1:14" x14ac:dyDescent="0.25">
      <c r="A195" s="30" t="s">
        <v>206</v>
      </c>
      <c r="B195" s="10">
        <v>5000</v>
      </c>
      <c r="C195" s="10"/>
      <c r="D195" s="10"/>
      <c r="E195" s="10"/>
      <c r="F195" s="10"/>
      <c r="G195" s="10"/>
      <c r="H195" s="5">
        <f t="shared" si="52"/>
        <v>5000</v>
      </c>
      <c r="I195" s="11"/>
      <c r="K195" s="10">
        <v>5000</v>
      </c>
      <c r="M195" s="5">
        <f t="shared" si="48"/>
        <v>0</v>
      </c>
    </row>
    <row r="196" spans="1:14" x14ac:dyDescent="0.25">
      <c r="A196" s="79" t="s">
        <v>207</v>
      </c>
      <c r="B196" s="5">
        <f>B74*0.02</f>
        <v>357918.58582478762</v>
      </c>
      <c r="C196" s="5"/>
      <c r="D196" s="5"/>
      <c r="E196" s="5"/>
      <c r="F196" s="5"/>
      <c r="G196" s="5"/>
      <c r="H196" s="5">
        <f t="shared" si="52"/>
        <v>357918.58582478762</v>
      </c>
      <c r="I196" s="54" t="s">
        <v>236</v>
      </c>
      <c r="J196" s="129"/>
      <c r="K196" s="10">
        <v>335647.00829519995</v>
      </c>
      <c r="M196" s="5">
        <f t="shared" si="48"/>
        <v>22271.577529587667</v>
      </c>
      <c r="N196" s="129"/>
    </row>
    <row r="197" spans="1:14" x14ac:dyDescent="0.25">
      <c r="A197" s="71" t="s">
        <v>209</v>
      </c>
      <c r="B197" s="72">
        <f>SUM(B172:B196)</f>
        <v>926187.67769978766</v>
      </c>
      <c r="C197" s="72">
        <f t="shared" ref="C197:H197" si="53">SUM(C172:C196)</f>
        <v>0</v>
      </c>
      <c r="D197" s="72">
        <f t="shared" si="53"/>
        <v>1002343.5</v>
      </c>
      <c r="E197" s="72">
        <f t="shared" si="53"/>
        <v>333000</v>
      </c>
      <c r="F197" s="72">
        <f t="shared" si="53"/>
        <v>0</v>
      </c>
      <c r="G197" s="72">
        <f t="shared" si="53"/>
        <v>30624.400000000001</v>
      </c>
      <c r="H197" s="72">
        <f t="shared" si="53"/>
        <v>2292155.5776997874</v>
      </c>
      <c r="I197" s="7"/>
      <c r="J197" s="7"/>
      <c r="K197" s="72">
        <v>2201564.5857952</v>
      </c>
      <c r="M197" s="72">
        <f t="shared" si="48"/>
        <v>90590.991904587485</v>
      </c>
      <c r="N197" s="7"/>
    </row>
    <row r="198" spans="1:14" x14ac:dyDescent="0.25">
      <c r="A198" s="76" t="s">
        <v>210</v>
      </c>
      <c r="B198" s="15" t="str">
        <f t="shared" ref="B198:H198" si="54">B1</f>
        <v>Operating</v>
      </c>
      <c r="C198" s="15" t="str">
        <f t="shared" si="54"/>
        <v>SPED</v>
      </c>
      <c r="D198" s="15" t="str">
        <f t="shared" si="54"/>
        <v>NSLP</v>
      </c>
      <c r="E198" s="15" t="str">
        <f t="shared" si="54"/>
        <v>Other</v>
      </c>
      <c r="F198" s="15" t="str">
        <f t="shared" si="54"/>
        <v>Title I</v>
      </c>
      <c r="G198" s="15" t="str">
        <f t="shared" si="54"/>
        <v>Title II/III/IV</v>
      </c>
      <c r="H198" s="15" t="str">
        <f t="shared" si="54"/>
        <v>Total (28-29)</v>
      </c>
      <c r="I198" s="7"/>
      <c r="J198" s="7"/>
      <c r="K198" s="15" t="s">
        <v>242</v>
      </c>
      <c r="M198" s="15" t="str">
        <f t="shared" ref="M198" si="55">M1</f>
        <v>Variance</v>
      </c>
      <c r="N198" s="7"/>
    </row>
    <row r="199" spans="1:14" x14ac:dyDescent="0.25">
      <c r="A199" s="81" t="s">
        <v>211</v>
      </c>
      <c r="B199" s="10">
        <f>'27-28'!B199*1.25</f>
        <v>196625</v>
      </c>
      <c r="C199" s="5"/>
      <c r="D199" s="5"/>
      <c r="E199" s="5"/>
      <c r="F199" s="5"/>
      <c r="G199" s="5"/>
      <c r="H199" s="5">
        <f t="shared" ref="H199:H208" si="56">SUM(B199:G199)</f>
        <v>196625</v>
      </c>
      <c r="I199" s="6"/>
      <c r="J199" s="60"/>
      <c r="K199" s="10">
        <v>157300</v>
      </c>
      <c r="M199" s="5">
        <f t="shared" ref="M199:M220" si="57">H199-K199</f>
        <v>39325</v>
      </c>
      <c r="N199" s="60"/>
    </row>
    <row r="200" spans="1:14" x14ac:dyDescent="0.25">
      <c r="A200" s="30" t="s">
        <v>212</v>
      </c>
      <c r="B200" s="82">
        <f>0</f>
        <v>0</v>
      </c>
      <c r="C200" s="5"/>
      <c r="D200" s="5"/>
      <c r="E200" s="5"/>
      <c r="F200" s="5"/>
      <c r="G200" s="5"/>
      <c r="H200" s="5">
        <f t="shared" si="56"/>
        <v>0</v>
      </c>
      <c r="I200" s="11"/>
      <c r="K200" s="10">
        <v>0</v>
      </c>
      <c r="M200" s="5">
        <f t="shared" si="57"/>
        <v>0</v>
      </c>
    </row>
    <row r="201" spans="1:14" x14ac:dyDescent="0.25">
      <c r="A201" s="30" t="s">
        <v>213</v>
      </c>
      <c r="B201" s="10">
        <f>'27-28'!B201*1.25</f>
        <v>117975.00000000001</v>
      </c>
      <c r="C201" s="5"/>
      <c r="D201" s="5"/>
      <c r="E201" s="5"/>
      <c r="F201" s="5"/>
      <c r="G201" s="5"/>
      <c r="H201" s="5">
        <f t="shared" si="56"/>
        <v>117975.00000000001</v>
      </c>
      <c r="I201" s="11"/>
      <c r="K201" s="10">
        <v>94380.000000000015</v>
      </c>
      <c r="M201" s="5">
        <f t="shared" si="57"/>
        <v>23595</v>
      </c>
    </row>
    <row r="202" spans="1:14" x14ac:dyDescent="0.25">
      <c r="A202" s="30" t="s">
        <v>214</v>
      </c>
      <c r="B202" s="10">
        <f>'27-28'!B202*1.25</f>
        <v>19662.500000000004</v>
      </c>
      <c r="C202" s="5"/>
      <c r="D202" s="5"/>
      <c r="E202" s="5"/>
      <c r="F202" s="5"/>
      <c r="G202" s="5"/>
      <c r="H202" s="5">
        <f t="shared" si="56"/>
        <v>19662.500000000004</v>
      </c>
      <c r="I202" s="11"/>
      <c r="K202" s="10">
        <v>15730.000000000004</v>
      </c>
      <c r="M202" s="5">
        <f t="shared" si="57"/>
        <v>3932.5</v>
      </c>
    </row>
    <row r="203" spans="1:14" x14ac:dyDescent="0.25">
      <c r="A203" s="30" t="s">
        <v>215</v>
      </c>
      <c r="B203" s="83">
        <v>9000</v>
      </c>
      <c r="C203" s="5"/>
      <c r="D203" s="5"/>
      <c r="E203" s="5"/>
      <c r="F203" s="5"/>
      <c r="G203" s="5"/>
      <c r="H203" s="5">
        <f t="shared" si="56"/>
        <v>9000</v>
      </c>
      <c r="I203" s="11"/>
      <c r="K203" s="10">
        <v>9000</v>
      </c>
      <c r="M203" s="5">
        <f t="shared" si="57"/>
        <v>0</v>
      </c>
    </row>
    <row r="204" spans="1:14" x14ac:dyDescent="0.25">
      <c r="A204" s="30" t="s">
        <v>216</v>
      </c>
      <c r="B204" s="10">
        <f>'27-28'!B204*1.25</f>
        <v>187875.18750000003</v>
      </c>
      <c r="C204" s="5"/>
      <c r="D204" s="5"/>
      <c r="E204" s="5"/>
      <c r="F204" s="5"/>
      <c r="G204" s="5"/>
      <c r="H204" s="5">
        <f t="shared" si="56"/>
        <v>187875.18750000003</v>
      </c>
      <c r="I204" s="11"/>
      <c r="K204" s="10">
        <v>150300.15000000002</v>
      </c>
      <c r="M204" s="5">
        <f t="shared" si="57"/>
        <v>37575.037500000006</v>
      </c>
    </row>
    <row r="205" spans="1:14" x14ac:dyDescent="0.25">
      <c r="A205" s="30" t="s">
        <v>218</v>
      </c>
      <c r="B205" s="10">
        <v>155000</v>
      </c>
      <c r="C205" s="5"/>
      <c r="D205" s="5"/>
      <c r="E205" s="5"/>
      <c r="F205" s="5"/>
      <c r="G205" s="5"/>
      <c r="H205" s="5">
        <f t="shared" si="56"/>
        <v>155000</v>
      </c>
      <c r="I205" s="11"/>
      <c r="K205" s="10">
        <v>150000</v>
      </c>
      <c r="M205" s="5">
        <f t="shared" si="57"/>
        <v>5000</v>
      </c>
    </row>
    <row r="206" spans="1:14" x14ac:dyDescent="0.25">
      <c r="A206" s="30" t="s">
        <v>219</v>
      </c>
      <c r="B206" s="10">
        <v>0</v>
      </c>
      <c r="C206" s="5"/>
      <c r="D206" s="5"/>
      <c r="E206" s="5"/>
      <c r="F206" s="5"/>
      <c r="G206" s="5"/>
      <c r="H206" s="5">
        <f t="shared" si="56"/>
        <v>0</v>
      </c>
      <c r="I206" s="11"/>
      <c r="K206" s="10">
        <v>0</v>
      </c>
      <c r="M206" s="5">
        <f t="shared" si="57"/>
        <v>0</v>
      </c>
    </row>
    <row r="207" spans="1:14" x14ac:dyDescent="0.25">
      <c r="A207" s="30" t="s">
        <v>220</v>
      </c>
      <c r="B207" s="10">
        <f>'27-28'!B207*1.05</f>
        <v>15193.828125</v>
      </c>
      <c r="C207" s="5"/>
      <c r="D207" s="5"/>
      <c r="E207" s="5"/>
      <c r="F207" s="5"/>
      <c r="G207" s="5"/>
      <c r="H207" s="5">
        <f t="shared" si="56"/>
        <v>15193.828125</v>
      </c>
      <c r="I207" s="11"/>
      <c r="K207" s="10">
        <v>14470.3125</v>
      </c>
      <c r="M207" s="5">
        <f t="shared" si="57"/>
        <v>723.515625</v>
      </c>
    </row>
    <row r="208" spans="1:14" x14ac:dyDescent="0.25">
      <c r="A208" s="79" t="s">
        <v>221</v>
      </c>
      <c r="B208" s="10">
        <v>50000</v>
      </c>
      <c r="C208" s="5"/>
      <c r="D208" s="5"/>
      <c r="E208" s="5"/>
      <c r="F208" s="5"/>
      <c r="G208" s="5"/>
      <c r="H208" s="5">
        <f t="shared" si="56"/>
        <v>50000</v>
      </c>
      <c r="I208" s="11"/>
      <c r="K208" s="10">
        <v>30250.000000000007</v>
      </c>
      <c r="M208" s="5">
        <f t="shared" si="57"/>
        <v>19749.999999999993</v>
      </c>
    </row>
    <row r="209" spans="1:14" x14ac:dyDescent="0.25">
      <c r="A209" s="71" t="s">
        <v>222</v>
      </c>
      <c r="B209" s="72">
        <f t="shared" ref="B209:H209" si="58">SUM(B199:B208)</f>
        <v>751331.515625</v>
      </c>
      <c r="C209" s="72">
        <f t="shared" si="58"/>
        <v>0</v>
      </c>
      <c r="D209" s="72">
        <f t="shared" si="58"/>
        <v>0</v>
      </c>
      <c r="E209" s="72">
        <f t="shared" si="58"/>
        <v>0</v>
      </c>
      <c r="F209" s="72">
        <f t="shared" si="58"/>
        <v>0</v>
      </c>
      <c r="G209" s="72">
        <f t="shared" si="58"/>
        <v>0</v>
      </c>
      <c r="H209" s="72">
        <f t="shared" si="58"/>
        <v>751331.515625</v>
      </c>
      <c r="I209" s="7"/>
      <c r="J209" s="7"/>
      <c r="K209" s="72">
        <v>621430.46250000002</v>
      </c>
      <c r="M209" s="72">
        <f t="shared" si="57"/>
        <v>129901.05312499998</v>
      </c>
      <c r="N209" s="7"/>
    </row>
    <row r="210" spans="1:14" x14ac:dyDescent="0.25">
      <c r="A210" s="86"/>
      <c r="B210" s="5"/>
      <c r="C210" s="5"/>
      <c r="D210" s="5"/>
      <c r="E210" s="5"/>
      <c r="F210" s="5"/>
      <c r="G210" s="5"/>
      <c r="H210" s="5"/>
      <c r="I210" s="7"/>
      <c r="J210" s="7"/>
      <c r="K210" s="5"/>
      <c r="M210" s="5">
        <f t="shared" si="57"/>
        <v>0</v>
      </c>
      <c r="N210" s="7"/>
    </row>
    <row r="211" spans="1:14" x14ac:dyDescent="0.25">
      <c r="A211" s="71" t="s">
        <v>223</v>
      </c>
      <c r="B211" s="72">
        <f>B142+B154+B170+B197+B209</f>
        <v>14997497.906153031</v>
      </c>
      <c r="C211" s="72">
        <f t="shared" ref="C211:H211" si="59">C142+C154+C170+C197+C209</f>
        <v>1493167.0556138789</v>
      </c>
      <c r="D211" s="72">
        <f t="shared" si="59"/>
        <v>1242872.7</v>
      </c>
      <c r="E211" s="72">
        <f t="shared" si="59"/>
        <v>433000</v>
      </c>
      <c r="F211" s="72">
        <f t="shared" si="59"/>
        <v>755475.8640811817</v>
      </c>
      <c r="G211" s="72">
        <f t="shared" si="59"/>
        <v>270252.42000000004</v>
      </c>
      <c r="H211" s="72">
        <f t="shared" si="59"/>
        <v>19192265.945848092</v>
      </c>
      <c r="I211" s="7"/>
      <c r="J211" s="7"/>
      <c r="K211" s="72">
        <v>18106557.557012659</v>
      </c>
      <c r="M211" s="72">
        <f t="shared" si="57"/>
        <v>1085708.3888354339</v>
      </c>
      <c r="N211" s="7"/>
    </row>
    <row r="212" spans="1:14" x14ac:dyDescent="0.25">
      <c r="A212" s="87"/>
      <c r="B212" s="52"/>
      <c r="C212" s="52"/>
      <c r="D212" s="52"/>
      <c r="E212" s="52"/>
      <c r="F212" s="52"/>
      <c r="G212" s="52"/>
      <c r="H212" s="52"/>
      <c r="I212" s="7"/>
      <c r="J212" s="7"/>
      <c r="K212" s="52"/>
      <c r="M212" s="52">
        <f t="shared" si="57"/>
        <v>0</v>
      </c>
      <c r="N212" s="7"/>
    </row>
    <row r="213" spans="1:14" x14ac:dyDescent="0.25">
      <c r="A213" s="43" t="s">
        <v>224</v>
      </c>
      <c r="B213" s="9">
        <f>1341011+356808+1243816+621149</f>
        <v>3562784</v>
      </c>
      <c r="C213" s="9"/>
      <c r="D213" s="9"/>
      <c r="E213" s="9"/>
      <c r="F213" s="9"/>
      <c r="G213" s="9"/>
      <c r="H213" s="9">
        <f t="shared" ref="H213:H218" si="60">SUM(B213:G213)</f>
        <v>3562784</v>
      </c>
      <c r="I213" s="11"/>
      <c r="K213" s="265">
        <v>2898162</v>
      </c>
      <c r="M213" s="9">
        <f t="shared" si="57"/>
        <v>664622</v>
      </c>
    </row>
    <row r="214" spans="1:14" x14ac:dyDescent="0.25">
      <c r="A214" s="43" t="s">
        <v>225</v>
      </c>
      <c r="B214" s="9">
        <v>0</v>
      </c>
      <c r="C214" s="9"/>
      <c r="D214" s="9"/>
      <c r="E214" s="9"/>
      <c r="F214" s="9"/>
      <c r="G214" s="9"/>
      <c r="H214" s="9">
        <f t="shared" si="60"/>
        <v>0</v>
      </c>
      <c r="I214" s="11"/>
      <c r="K214" s="265">
        <v>0</v>
      </c>
      <c r="M214" s="9">
        <f t="shared" si="57"/>
        <v>0</v>
      </c>
    </row>
    <row r="215" spans="1:14" x14ac:dyDescent="0.25">
      <c r="A215" s="43" t="s">
        <v>226</v>
      </c>
      <c r="B215" s="9">
        <v>0</v>
      </c>
      <c r="C215" s="9"/>
      <c r="D215" s="9"/>
      <c r="E215" s="9"/>
      <c r="F215" s="9"/>
      <c r="G215" s="9"/>
      <c r="H215" s="9">
        <f t="shared" si="60"/>
        <v>0</v>
      </c>
      <c r="I215" s="11"/>
      <c r="K215" s="265">
        <v>0</v>
      </c>
      <c r="M215" s="9">
        <f t="shared" si="57"/>
        <v>0</v>
      </c>
    </row>
    <row r="216" spans="1:14" x14ac:dyDescent="0.25">
      <c r="A216" s="43" t="s">
        <v>227</v>
      </c>
      <c r="B216" s="9">
        <f>325*12</f>
        <v>3900</v>
      </c>
      <c r="C216" s="9"/>
      <c r="D216" s="9"/>
      <c r="E216" s="9"/>
      <c r="F216" s="9"/>
      <c r="G216" s="9"/>
      <c r="H216" s="9">
        <f t="shared" si="60"/>
        <v>3900</v>
      </c>
      <c r="I216" s="11" t="s">
        <v>240</v>
      </c>
      <c r="K216" s="265">
        <v>3900</v>
      </c>
      <c r="M216" s="9">
        <f t="shared" si="57"/>
        <v>0</v>
      </c>
    </row>
    <row r="217" spans="1:14" x14ac:dyDescent="0.25">
      <c r="A217" s="43"/>
      <c r="B217" s="9">
        <v>0</v>
      </c>
      <c r="C217" s="9">
        <v>0</v>
      </c>
      <c r="D217" s="9">
        <v>0</v>
      </c>
      <c r="E217" s="9"/>
      <c r="F217" s="9"/>
      <c r="G217" s="9"/>
      <c r="H217" s="9">
        <f t="shared" si="60"/>
        <v>0</v>
      </c>
      <c r="I217" s="11"/>
      <c r="K217" s="9">
        <v>0</v>
      </c>
      <c r="M217" s="9">
        <f t="shared" si="57"/>
        <v>0</v>
      </c>
    </row>
    <row r="218" spans="1:14" ht="15.75" thickBot="1" x14ac:dyDescent="0.3">
      <c r="A218" s="30"/>
      <c r="B218" s="35"/>
      <c r="C218" s="35"/>
      <c r="D218" s="35"/>
      <c r="E218" s="35"/>
      <c r="F218" s="35"/>
      <c r="G218" s="35"/>
      <c r="H218" s="5">
        <f t="shared" si="60"/>
        <v>0</v>
      </c>
      <c r="I218" s="7"/>
      <c r="J218" s="7"/>
      <c r="K218" s="5">
        <v>0</v>
      </c>
      <c r="M218" s="5">
        <f t="shared" si="57"/>
        <v>0</v>
      </c>
      <c r="N218" s="7"/>
    </row>
    <row r="219" spans="1:14" ht="15.75" thickBot="1" x14ac:dyDescent="0.3">
      <c r="A219" s="88" t="s">
        <v>229</v>
      </c>
      <c r="B219" s="89">
        <f>(B97+B103)-B211-B213-B214-B216-B215</f>
        <v>1296818.3850863501</v>
      </c>
      <c r="C219" s="89">
        <f t="shared" ref="C219:G219" si="61">(C97+C103)-C211-C213-C214-C216-C215</f>
        <v>-593056.39995350153</v>
      </c>
      <c r="D219" s="89">
        <f t="shared" si="61"/>
        <v>-192874.19999999995</v>
      </c>
      <c r="E219" s="89">
        <f t="shared" si="61"/>
        <v>0</v>
      </c>
      <c r="F219" s="89">
        <f t="shared" si="61"/>
        <v>-305960.37408118171</v>
      </c>
      <c r="G219" s="89">
        <f t="shared" si="61"/>
        <v>-153362.61000000004</v>
      </c>
      <c r="H219" s="89">
        <f>(H97+H103)-H211-H213-H214-H216-H215</f>
        <v>51564.801051668823</v>
      </c>
      <c r="I219" s="16"/>
      <c r="J219" s="7"/>
      <c r="K219" s="89">
        <v>525024.25208695978</v>
      </c>
      <c r="M219" s="89">
        <f t="shared" si="57"/>
        <v>-473459.45103529096</v>
      </c>
      <c r="N219" s="7"/>
    </row>
    <row r="220" spans="1:14" x14ac:dyDescent="0.25">
      <c r="A220" s="90"/>
      <c r="B220" s="91">
        <f t="shared" ref="B220:H220" si="62">B219/(B97)</f>
        <v>6.5294716583754964E-2</v>
      </c>
      <c r="C220" s="91">
        <f t="shared" si="62"/>
        <v>-0.65887054688670288</v>
      </c>
      <c r="D220" s="91">
        <f t="shared" si="62"/>
        <v>-0.18368997669996667</v>
      </c>
      <c r="E220" s="91">
        <f t="shared" si="62"/>
        <v>0</v>
      </c>
      <c r="F220" s="91">
        <f t="shared" si="62"/>
        <v>-0.68064478508000181</v>
      </c>
      <c r="G220" s="91">
        <f t="shared" si="62"/>
        <v>-1.3120271989491645</v>
      </c>
      <c r="H220" s="91">
        <f t="shared" si="62"/>
        <v>2.2705254207726839E-3</v>
      </c>
      <c r="I220" s="7"/>
      <c r="J220" s="7"/>
      <c r="K220" s="91">
        <v>2.4552609310838802E-2</v>
      </c>
      <c r="M220" s="91">
        <f t="shared" si="57"/>
        <v>-2.2282083890066119E-2</v>
      </c>
      <c r="N220" s="7"/>
    </row>
    <row r="221" spans="1:14" x14ac:dyDescent="0.25">
      <c r="B221" s="92"/>
      <c r="C221" s="92"/>
      <c r="D221" s="92"/>
      <c r="E221" s="92"/>
      <c r="F221" s="92"/>
      <c r="G221" s="92"/>
      <c r="H221" s="92"/>
      <c r="K221" s="92"/>
      <c r="L221" s="92"/>
    </row>
    <row r="222" spans="1:14" x14ac:dyDescent="0.25">
      <c r="A222" s="1" t="str">
        <f t="shared" ref="A222:H222" si="63">A1</f>
        <v>CIVICA Nevada - FY29</v>
      </c>
      <c r="B222" s="1" t="str">
        <f t="shared" si="63"/>
        <v>Operating</v>
      </c>
      <c r="C222" s="1" t="str">
        <f t="shared" si="63"/>
        <v>SPED</v>
      </c>
      <c r="D222" s="1" t="str">
        <f t="shared" si="63"/>
        <v>NSLP</v>
      </c>
      <c r="E222" s="1" t="str">
        <f t="shared" si="63"/>
        <v>Other</v>
      </c>
      <c r="F222" s="1" t="str">
        <f t="shared" si="63"/>
        <v>Title I</v>
      </c>
      <c r="G222" s="1" t="str">
        <f t="shared" si="63"/>
        <v>Title II/III/IV</v>
      </c>
      <c r="H222" s="1" t="str">
        <f t="shared" si="63"/>
        <v>Total (28-29)</v>
      </c>
      <c r="I222" s="2"/>
      <c r="J222" s="2"/>
      <c r="K222" s="1" t="s">
        <v>242</v>
      </c>
      <c r="L222" s="1"/>
      <c r="M222" s="1" t="str">
        <f>M1</f>
        <v>Variance</v>
      </c>
      <c r="N222" s="2"/>
    </row>
    <row r="224" spans="1:14" s="61" customFormat="1" x14ac:dyDescent="0.25">
      <c r="A224" s="7"/>
      <c r="B224" s="93"/>
      <c r="C224" s="93"/>
      <c r="D224" s="93"/>
      <c r="E224" s="93"/>
      <c r="F224" s="93"/>
      <c r="G224" s="93"/>
      <c r="H224" s="93"/>
      <c r="K224" s="93"/>
      <c r="L224" s="93"/>
    </row>
  </sheetData>
  <pageMargins left="0.7" right="0.7" top="0.75" bottom="0.75" header="0.3" footer="0.3"/>
  <pageSetup scale="52" orientation="portrait" r:id="rId1"/>
  <headerFooter>
    <oddFooter>&amp;LPage &amp;P&amp;C
&amp;R
 &amp;G</oddFooter>
  </headerFooter>
  <rowBreaks count="2" manualBreakCount="2">
    <brk id="70" max="7" man="1"/>
    <brk id="154" max="7" man="1"/>
  </rowBreaks>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27DA-698F-4EC0-8899-FD7AC519AB7D}">
  <sheetPr>
    <pageSetUpPr fitToPage="1"/>
  </sheetPr>
  <dimension ref="A1:L262"/>
  <sheetViews>
    <sheetView tabSelected="1" zoomScale="75" zoomScaleNormal="75" workbookViewId="0">
      <selection activeCell="E7" sqref="E7"/>
    </sheetView>
  </sheetViews>
  <sheetFormatPr defaultColWidth="8.7109375" defaultRowHeight="15" x14ac:dyDescent="0.25"/>
  <cols>
    <col min="1" max="1" width="56.5703125" style="7" customWidth="1"/>
    <col min="2" max="6" width="15.7109375" style="93" customWidth="1"/>
    <col min="7" max="16384" width="8.7109375" style="7"/>
  </cols>
  <sheetData>
    <row r="1" spans="1:11" s="3" customFormat="1" x14ac:dyDescent="0.25">
      <c r="A1" s="1" t="s">
        <v>245</v>
      </c>
      <c r="B1" s="1" t="s">
        <v>246</v>
      </c>
      <c r="C1" s="1" t="s">
        <v>247</v>
      </c>
      <c r="D1" s="1" t="s">
        <v>248</v>
      </c>
      <c r="E1" s="1" t="s">
        <v>249</v>
      </c>
      <c r="F1" s="1" t="s">
        <v>250</v>
      </c>
    </row>
    <row r="2" spans="1:11" x14ac:dyDescent="0.25">
      <c r="A2" s="4" t="s">
        <v>14</v>
      </c>
      <c r="B2" s="5">
        <f>'24-25'!H2</f>
        <v>9414</v>
      </c>
      <c r="C2" s="5">
        <f>'25-26'!H2</f>
        <v>9696.42</v>
      </c>
      <c r="D2" s="5">
        <f>'26-27'!H2</f>
        <v>9841.8662999999997</v>
      </c>
      <c r="E2" s="5">
        <f>'27-28'!H2</f>
        <v>9989.4942944999984</v>
      </c>
      <c r="F2" s="5">
        <f>'28-29'!H2</f>
        <v>10139.336708917497</v>
      </c>
      <c r="H2" s="158">
        <f>(C2-B2)/B2</f>
        <v>3.0000000000000009E-2</v>
      </c>
      <c r="I2" s="158">
        <f t="shared" ref="I2:K2" si="0">(D2-C2)/C2</f>
        <v>1.499999999999996E-2</v>
      </c>
      <c r="J2" s="158">
        <f t="shared" si="0"/>
        <v>1.4999999999999873E-2</v>
      </c>
      <c r="K2" s="158">
        <f t="shared" si="0"/>
        <v>1.4999999999999875E-2</v>
      </c>
    </row>
    <row r="3" spans="1:11" x14ac:dyDescent="0.25">
      <c r="A3" s="8" t="s">
        <v>15</v>
      </c>
      <c r="B3" s="9">
        <f t="shared" ref="B3:C3" si="1">B4+B5+B6+B7+B8+B9+B10+B11+B12+B13+B14+B15+B16</f>
        <v>1060</v>
      </c>
      <c r="C3" s="9">
        <f t="shared" si="1"/>
        <v>1358</v>
      </c>
      <c r="D3" s="9">
        <f t="shared" ref="D3:F3" si="2">D4+D5+D6+D7+D8+D9+D10+D11+D12+D13+D14+D15+D16</f>
        <v>1553</v>
      </c>
      <c r="E3" s="9">
        <f t="shared" si="2"/>
        <v>1680</v>
      </c>
      <c r="F3" s="9">
        <f t="shared" si="2"/>
        <v>1765</v>
      </c>
    </row>
    <row r="4" spans="1:11" x14ac:dyDescent="0.25">
      <c r="A4" s="99" t="s">
        <v>16</v>
      </c>
      <c r="B4" s="10">
        <f>'24-25'!H4</f>
        <v>116</v>
      </c>
      <c r="C4" s="10">
        <f>'25-26'!H4</f>
        <v>135</v>
      </c>
      <c r="D4" s="10">
        <f>'26-27'!H4</f>
        <v>135</v>
      </c>
      <c r="E4" s="10">
        <f>'27-28'!H4</f>
        <v>135</v>
      </c>
      <c r="F4" s="10">
        <f>'28-29'!H4</f>
        <v>135</v>
      </c>
    </row>
    <row r="5" spans="1:11" x14ac:dyDescent="0.25">
      <c r="A5" s="8" t="s">
        <v>17</v>
      </c>
      <c r="B5" s="10">
        <f>'24-25'!H5</f>
        <v>129</v>
      </c>
      <c r="C5" s="10">
        <f>'25-26'!H5</f>
        <v>135</v>
      </c>
      <c r="D5" s="10">
        <f>'26-27'!H5</f>
        <v>135</v>
      </c>
      <c r="E5" s="10">
        <f>'27-28'!H5</f>
        <v>135</v>
      </c>
      <c r="F5" s="10">
        <f>'28-29'!H5</f>
        <v>135</v>
      </c>
    </row>
    <row r="6" spans="1:11" x14ac:dyDescent="0.25">
      <c r="A6" s="8" t="s">
        <v>18</v>
      </c>
      <c r="B6" s="10">
        <f>'24-25'!H6</f>
        <v>126</v>
      </c>
      <c r="C6" s="10">
        <f>'25-26'!H6</f>
        <v>135</v>
      </c>
      <c r="D6" s="10">
        <f>'26-27'!H6</f>
        <v>135</v>
      </c>
      <c r="E6" s="10">
        <f>'27-28'!H6</f>
        <v>135</v>
      </c>
      <c r="F6" s="10">
        <f>'28-29'!H6</f>
        <v>135</v>
      </c>
    </row>
    <row r="7" spans="1:11" x14ac:dyDescent="0.25">
      <c r="A7" s="12" t="s">
        <v>19</v>
      </c>
      <c r="B7" s="10">
        <f>'24-25'!H7</f>
        <v>129</v>
      </c>
      <c r="C7" s="10">
        <f>'25-26'!H7</f>
        <v>135</v>
      </c>
      <c r="D7" s="10">
        <f>'26-27'!H7</f>
        <v>135</v>
      </c>
      <c r="E7" s="10">
        <f>'27-28'!H7</f>
        <v>135</v>
      </c>
      <c r="F7" s="10">
        <f>'28-29'!H7</f>
        <v>135</v>
      </c>
    </row>
    <row r="8" spans="1:11" x14ac:dyDescent="0.25">
      <c r="A8" s="12" t="s">
        <v>20</v>
      </c>
      <c r="B8" s="10">
        <f>'24-25'!H8</f>
        <v>98</v>
      </c>
      <c r="C8" s="10">
        <f>'25-26'!H8</f>
        <v>135</v>
      </c>
      <c r="D8" s="10">
        <f>'26-27'!H8</f>
        <v>135</v>
      </c>
      <c r="E8" s="10">
        <f>'27-28'!H8</f>
        <v>135</v>
      </c>
      <c r="F8" s="10">
        <f>'28-29'!H8</f>
        <v>135</v>
      </c>
    </row>
    <row r="9" spans="1:11" x14ac:dyDescent="0.25">
      <c r="A9" s="12" t="s">
        <v>21</v>
      </c>
      <c r="B9" s="10">
        <f>'24-25'!H9</f>
        <v>99</v>
      </c>
      <c r="C9" s="10">
        <f>'25-26'!H9</f>
        <v>125</v>
      </c>
      <c r="D9" s="10">
        <f>'26-27'!H9</f>
        <v>135</v>
      </c>
      <c r="E9" s="10">
        <f>'27-28'!H9</f>
        <v>135</v>
      </c>
      <c r="F9" s="10">
        <f>'28-29'!H9</f>
        <v>135</v>
      </c>
    </row>
    <row r="10" spans="1:11" x14ac:dyDescent="0.25">
      <c r="A10" s="12" t="s">
        <v>22</v>
      </c>
      <c r="B10" s="10">
        <f>'24-25'!H10</f>
        <v>127</v>
      </c>
      <c r="C10" s="10">
        <f>'25-26'!H10</f>
        <v>105</v>
      </c>
      <c r="D10" s="10">
        <f>'26-27'!H10</f>
        <v>155</v>
      </c>
      <c r="E10" s="10">
        <f>'27-28'!H10</f>
        <v>155</v>
      </c>
      <c r="F10" s="10">
        <f>'28-29'!H10</f>
        <v>155</v>
      </c>
    </row>
    <row r="11" spans="1:11" x14ac:dyDescent="0.25">
      <c r="A11" s="12" t="s">
        <v>23</v>
      </c>
      <c r="B11" s="10">
        <f>'24-25'!H11</f>
        <v>67</v>
      </c>
      <c r="C11" s="10">
        <f>'25-26'!H11</f>
        <v>135</v>
      </c>
      <c r="D11" s="10">
        <f>'26-27'!H11</f>
        <v>105</v>
      </c>
      <c r="E11" s="10">
        <f>'27-28'!H11</f>
        <v>155</v>
      </c>
      <c r="F11" s="10">
        <f>'28-29'!H11</f>
        <v>155</v>
      </c>
    </row>
    <row r="12" spans="1:11" x14ac:dyDescent="0.25">
      <c r="A12" s="12" t="s">
        <v>24</v>
      </c>
      <c r="B12" s="10">
        <f>'24-25'!H12</f>
        <v>70</v>
      </c>
      <c r="C12" s="10">
        <f>'25-26'!H12</f>
        <v>70</v>
      </c>
      <c r="D12" s="10">
        <f>'26-27'!H12</f>
        <v>135</v>
      </c>
      <c r="E12" s="10">
        <f>'27-28'!H12</f>
        <v>120</v>
      </c>
      <c r="F12" s="10">
        <f>'28-29'!H12</f>
        <v>155</v>
      </c>
    </row>
    <row r="13" spans="1:11" x14ac:dyDescent="0.25">
      <c r="A13" s="12" t="s">
        <v>25</v>
      </c>
      <c r="B13" s="10">
        <f>'24-25'!H13</f>
        <v>57</v>
      </c>
      <c r="C13" s="10">
        <f>'25-26'!H13</f>
        <v>135</v>
      </c>
      <c r="D13" s="10">
        <f>'26-27'!H13</f>
        <v>100</v>
      </c>
      <c r="E13" s="10">
        <f>'27-28'!H13</f>
        <v>135</v>
      </c>
      <c r="F13" s="10">
        <f>'28-29'!H13</f>
        <v>120</v>
      </c>
    </row>
    <row r="14" spans="1:11" x14ac:dyDescent="0.25">
      <c r="A14" s="12" t="s">
        <v>26</v>
      </c>
      <c r="B14" s="10">
        <f>'24-25'!H14</f>
        <v>42</v>
      </c>
      <c r="C14" s="10">
        <f>'25-26'!H14</f>
        <v>70</v>
      </c>
      <c r="D14" s="10">
        <f>'26-27'!H14</f>
        <v>135</v>
      </c>
      <c r="E14" s="10">
        <f>'27-28'!H14</f>
        <v>100</v>
      </c>
      <c r="F14" s="10">
        <f>'28-29'!H14</f>
        <v>135</v>
      </c>
    </row>
    <row r="15" spans="1:11" x14ac:dyDescent="0.25">
      <c r="A15" s="12" t="s">
        <v>27</v>
      </c>
      <c r="B15" s="10">
        <f>'24-25'!H15</f>
        <v>0</v>
      </c>
      <c r="C15" s="10">
        <f>'25-26'!H15</f>
        <v>43</v>
      </c>
      <c r="D15" s="10">
        <f>'26-27'!H15</f>
        <v>70</v>
      </c>
      <c r="E15" s="10">
        <f>'27-28'!H15</f>
        <v>135</v>
      </c>
      <c r="F15" s="10">
        <f>'28-29'!H15</f>
        <v>100</v>
      </c>
    </row>
    <row r="16" spans="1:11" x14ac:dyDescent="0.25">
      <c r="A16" s="12" t="s">
        <v>28</v>
      </c>
      <c r="B16" s="10">
        <f>'24-25'!H16</f>
        <v>0</v>
      </c>
      <c r="C16" s="10">
        <f>'25-26'!H16</f>
        <v>0</v>
      </c>
      <c r="D16" s="10">
        <f>'26-27'!H16</f>
        <v>43</v>
      </c>
      <c r="E16" s="10">
        <f>'27-28'!H16</f>
        <v>70</v>
      </c>
      <c r="F16" s="10">
        <f>'28-29'!H16</f>
        <v>135</v>
      </c>
    </row>
    <row r="17" spans="1:6" x14ac:dyDescent="0.25">
      <c r="A17" s="100" t="s">
        <v>15</v>
      </c>
      <c r="B17" s="9">
        <f t="shared" ref="B17:C17" si="3">SUM(B4:B16)</f>
        <v>1060</v>
      </c>
      <c r="C17" s="9">
        <f t="shared" si="3"/>
        <v>1358</v>
      </c>
      <c r="D17" s="9">
        <f t="shared" ref="D17:F17" si="4">SUM(D4:D16)</f>
        <v>1553</v>
      </c>
      <c r="E17" s="9">
        <f t="shared" si="4"/>
        <v>1680</v>
      </c>
      <c r="F17" s="9">
        <f t="shared" si="4"/>
        <v>1765</v>
      </c>
    </row>
    <row r="18" spans="1:6" x14ac:dyDescent="0.25">
      <c r="A18" s="12"/>
      <c r="B18" s="5"/>
      <c r="C18" s="5"/>
      <c r="D18" s="5"/>
      <c r="E18" s="5"/>
      <c r="F18" s="5"/>
    </row>
    <row r="19" spans="1:6" x14ac:dyDescent="0.25">
      <c r="A19" s="14" t="s">
        <v>29</v>
      </c>
      <c r="B19" s="15" t="str">
        <f>B1</f>
        <v>FY25 (24-25)</v>
      </c>
      <c r="C19" s="15" t="str">
        <f>C1</f>
        <v>FY26 (25-26)</v>
      </c>
      <c r="D19" s="15" t="str">
        <f>D1</f>
        <v>FY27 (26-27)</v>
      </c>
      <c r="E19" s="15" t="str">
        <f>E1</f>
        <v>FY28 (27-28)</v>
      </c>
      <c r="F19" s="15" t="str">
        <f>F1</f>
        <v>FY29 (28-29)</v>
      </c>
    </row>
    <row r="20" spans="1:6" x14ac:dyDescent="0.25">
      <c r="A20" s="12" t="s">
        <v>31</v>
      </c>
      <c r="B20" s="5">
        <f>'24-25'!H20</f>
        <v>77</v>
      </c>
      <c r="C20" s="5">
        <f>'25-26'!H20</f>
        <v>98.647169811320751</v>
      </c>
      <c r="D20" s="5">
        <f>'26-27'!H20</f>
        <v>112.81226415094339</v>
      </c>
      <c r="E20" s="5">
        <f>'27-28'!H20</f>
        <v>122.0377358490566</v>
      </c>
      <c r="F20" s="5">
        <f>'28-29'!H20</f>
        <v>128.21226415094338</v>
      </c>
    </row>
    <row r="21" spans="1:6" x14ac:dyDescent="0.25">
      <c r="A21" s="12" t="s">
        <v>33</v>
      </c>
      <c r="B21" s="5">
        <f>'24-25'!H21</f>
        <v>276</v>
      </c>
      <c r="C21" s="5">
        <f>'25-26'!H21</f>
        <v>301</v>
      </c>
      <c r="D21" s="5">
        <f>'26-27'!H21</f>
        <v>326</v>
      </c>
      <c r="E21" s="5">
        <f>'27-28'!H21</f>
        <v>351</v>
      </c>
      <c r="F21" s="5">
        <f>'28-29'!H21</f>
        <v>376</v>
      </c>
    </row>
    <row r="22" spans="1:6" x14ac:dyDescent="0.25">
      <c r="A22" s="12" t="s">
        <v>34</v>
      </c>
      <c r="B22" s="5">
        <f>'24-25'!H22</f>
        <v>0</v>
      </c>
      <c r="C22" s="5">
        <f>'25-26'!H22</f>
        <v>0</v>
      </c>
      <c r="D22" s="5">
        <f>'26-27'!H22</f>
        <v>0</v>
      </c>
      <c r="E22" s="5">
        <f>'27-28'!H22</f>
        <v>0</v>
      </c>
      <c r="F22" s="5">
        <f>'28-29'!H22</f>
        <v>0</v>
      </c>
    </row>
    <row r="23" spans="1:6" x14ac:dyDescent="0.25">
      <c r="A23" s="12" t="s">
        <v>35</v>
      </c>
      <c r="B23" s="266">
        <f>'24-25'!H23</f>
        <v>1</v>
      </c>
      <c r="C23" s="266">
        <f>'25-26'!H23</f>
        <v>1</v>
      </c>
      <c r="D23" s="266">
        <f>'26-27'!H23</f>
        <v>1</v>
      </c>
      <c r="E23" s="266">
        <f>'27-28'!H23</f>
        <v>1</v>
      </c>
      <c r="F23" s="266">
        <f>'28-29'!H23</f>
        <v>1</v>
      </c>
    </row>
    <row r="24" spans="1:6" x14ac:dyDescent="0.25">
      <c r="A24" s="12" t="s">
        <v>36</v>
      </c>
      <c r="B24" s="5">
        <f>'24-25'!H24</f>
        <v>101</v>
      </c>
      <c r="C24" s="5">
        <f>'25-26'!H24</f>
        <v>104</v>
      </c>
      <c r="D24" s="5">
        <f>'26-27'!H24</f>
        <v>107</v>
      </c>
      <c r="E24" s="5">
        <f>'27-28'!H24</f>
        <v>110</v>
      </c>
      <c r="F24" s="5">
        <f>'28-29'!H24</f>
        <v>113</v>
      </c>
    </row>
    <row r="25" spans="1:6" x14ac:dyDescent="0.25">
      <c r="A25" s="12"/>
      <c r="B25" s="5"/>
      <c r="C25" s="5"/>
      <c r="D25" s="5"/>
      <c r="E25" s="5"/>
      <c r="F25" s="5"/>
    </row>
    <row r="26" spans="1:6" x14ac:dyDescent="0.25">
      <c r="A26" s="21" t="s">
        <v>37</v>
      </c>
      <c r="B26" s="15" t="str">
        <f>B1</f>
        <v>FY25 (24-25)</v>
      </c>
      <c r="C26" s="15" t="str">
        <f>C1</f>
        <v>FY26 (25-26)</v>
      </c>
      <c r="D26" s="15" t="str">
        <f>D1</f>
        <v>FY27 (26-27)</v>
      </c>
      <c r="E26" s="15" t="str">
        <f>E1</f>
        <v>FY28 (27-28)</v>
      </c>
      <c r="F26" s="15" t="str">
        <f>F1</f>
        <v>FY29 (28-29)</v>
      </c>
    </row>
    <row r="27" spans="1:6" x14ac:dyDescent="0.25">
      <c r="A27" s="29" t="s">
        <v>38</v>
      </c>
      <c r="B27" s="23">
        <f>'24-25'!H27</f>
        <v>40</v>
      </c>
      <c r="C27" s="23">
        <f>'25-26'!H27</f>
        <v>49</v>
      </c>
      <c r="D27" s="23">
        <f>'26-27'!H27</f>
        <v>55</v>
      </c>
      <c r="E27" s="23">
        <f>'27-28'!H27</f>
        <v>59</v>
      </c>
      <c r="F27" s="23">
        <f>'28-29'!H27</f>
        <v>62</v>
      </c>
    </row>
    <row r="28" spans="1:6" x14ac:dyDescent="0.25">
      <c r="A28" s="29" t="s">
        <v>39</v>
      </c>
      <c r="B28" s="23">
        <f>'24-25'!H28</f>
        <v>6</v>
      </c>
      <c r="C28" s="23">
        <f>'25-26'!H28</f>
        <v>6</v>
      </c>
      <c r="D28" s="23">
        <f>'26-27'!H28</f>
        <v>6</v>
      </c>
      <c r="E28" s="23">
        <f>'27-28'!H28</f>
        <v>7</v>
      </c>
      <c r="F28" s="23">
        <f>'28-29'!H28</f>
        <v>7</v>
      </c>
    </row>
    <row r="29" spans="1:6" x14ac:dyDescent="0.25">
      <c r="A29" s="29" t="s">
        <v>40</v>
      </c>
      <c r="B29" s="23">
        <f>'24-25'!H29</f>
        <v>1</v>
      </c>
      <c r="C29" s="23">
        <f>'25-26'!H29</f>
        <v>1</v>
      </c>
      <c r="D29" s="23">
        <f>'26-27'!H29</f>
        <v>2</v>
      </c>
      <c r="E29" s="23">
        <f>'27-28'!H29</f>
        <v>2</v>
      </c>
      <c r="F29" s="23">
        <f>'28-29'!H29</f>
        <v>2</v>
      </c>
    </row>
    <row r="30" spans="1:6" x14ac:dyDescent="0.25">
      <c r="A30" s="29" t="s">
        <v>41</v>
      </c>
      <c r="B30" s="23">
        <f>'24-25'!H30</f>
        <v>1</v>
      </c>
      <c r="C30" s="23">
        <f>'25-26'!H30</f>
        <v>1</v>
      </c>
      <c r="D30" s="23">
        <f>'26-27'!H30</f>
        <v>1</v>
      </c>
      <c r="E30" s="23">
        <f>'27-28'!H30</f>
        <v>1</v>
      </c>
      <c r="F30" s="23">
        <f>'28-29'!H30</f>
        <v>1</v>
      </c>
    </row>
    <row r="31" spans="1:6" x14ac:dyDescent="0.25">
      <c r="A31" s="29" t="s">
        <v>42</v>
      </c>
      <c r="B31" s="23">
        <f>'24-25'!H31</f>
        <v>1</v>
      </c>
      <c r="C31" s="23">
        <f>'25-26'!H31</f>
        <v>1</v>
      </c>
      <c r="D31" s="23">
        <f>'26-27'!H31</f>
        <v>1</v>
      </c>
      <c r="E31" s="23">
        <f>'27-28'!H31</f>
        <v>1</v>
      </c>
      <c r="F31" s="23">
        <f>'28-29'!H31</f>
        <v>2</v>
      </c>
    </row>
    <row r="32" spans="1:6" x14ac:dyDescent="0.25">
      <c r="A32" s="97" t="s">
        <v>43</v>
      </c>
      <c r="B32" s="23">
        <f>'24-25'!H32</f>
        <v>0</v>
      </c>
      <c r="C32" s="23">
        <f>'25-26'!H32</f>
        <v>1</v>
      </c>
      <c r="D32" s="23">
        <f>'26-27'!H32</f>
        <v>1</v>
      </c>
      <c r="E32" s="23">
        <f>'27-28'!H32</f>
        <v>1</v>
      </c>
      <c r="F32" s="23">
        <f>'28-29'!H32</f>
        <v>1</v>
      </c>
    </row>
    <row r="33" spans="1:6" x14ac:dyDescent="0.25">
      <c r="A33" s="97" t="s">
        <v>44</v>
      </c>
      <c r="B33" s="23">
        <f>'24-25'!H33</f>
        <v>1</v>
      </c>
      <c r="C33" s="23">
        <f>'25-26'!H33</f>
        <v>0</v>
      </c>
      <c r="D33" s="23">
        <f>'26-27'!H33</f>
        <v>1</v>
      </c>
      <c r="E33" s="23">
        <f>'27-28'!H33</f>
        <v>1</v>
      </c>
      <c r="F33" s="23">
        <f>'28-29'!H33</f>
        <v>1</v>
      </c>
    </row>
    <row r="34" spans="1:6" x14ac:dyDescent="0.25">
      <c r="A34" s="97" t="s">
        <v>45</v>
      </c>
      <c r="B34" s="23">
        <f>'24-25'!H34</f>
        <v>2</v>
      </c>
      <c r="C34" s="23">
        <f>'25-26'!H34</f>
        <v>0</v>
      </c>
      <c r="D34" s="23">
        <f>'26-27'!H34</f>
        <v>2</v>
      </c>
      <c r="E34" s="23">
        <f>'27-28'!H34</f>
        <v>2</v>
      </c>
      <c r="F34" s="23">
        <f>'28-29'!H34</f>
        <v>2</v>
      </c>
    </row>
    <row r="35" spans="1:6" x14ac:dyDescent="0.25">
      <c r="A35" s="30" t="s">
        <v>46</v>
      </c>
      <c r="B35" s="23">
        <f>'24-25'!H35</f>
        <v>0</v>
      </c>
      <c r="C35" s="23">
        <f>'25-26'!H35</f>
        <v>0</v>
      </c>
      <c r="D35" s="23">
        <f>'26-27'!H35</f>
        <v>0</v>
      </c>
      <c r="E35" s="23">
        <f>'27-28'!H35</f>
        <v>0</v>
      </c>
      <c r="F35" s="23">
        <f>'28-29'!H35</f>
        <v>0</v>
      </c>
    </row>
    <row r="36" spans="1:6" x14ac:dyDescent="0.25">
      <c r="A36" s="21" t="s">
        <v>47</v>
      </c>
      <c r="B36" s="28">
        <f>SUM(B27:B35)</f>
        <v>52</v>
      </c>
      <c r="C36" s="28">
        <f>SUM(C27:C35)</f>
        <v>59</v>
      </c>
      <c r="D36" s="28">
        <f>SUM(D27:D35)</f>
        <v>69</v>
      </c>
      <c r="E36" s="28">
        <f>SUM(E27:E35)</f>
        <v>74</v>
      </c>
      <c r="F36" s="28">
        <f>SUM(F27:F35)</f>
        <v>78</v>
      </c>
    </row>
    <row r="37" spans="1:6" x14ac:dyDescent="0.25">
      <c r="A37" s="27"/>
      <c r="B37" s="5"/>
      <c r="C37" s="5"/>
      <c r="D37" s="5"/>
      <c r="E37" s="5"/>
      <c r="F37" s="5"/>
    </row>
    <row r="38" spans="1:6" x14ac:dyDescent="0.25">
      <c r="A38" s="21" t="s">
        <v>48</v>
      </c>
      <c r="B38" s="15" t="str">
        <f>B1</f>
        <v>FY25 (24-25)</v>
      </c>
      <c r="C38" s="15" t="str">
        <f>C1</f>
        <v>FY26 (25-26)</v>
      </c>
      <c r="D38" s="15" t="str">
        <f>D1</f>
        <v>FY27 (26-27)</v>
      </c>
      <c r="E38" s="15" t="str">
        <f>E1</f>
        <v>FY28 (27-28)</v>
      </c>
      <c r="F38" s="15" t="str">
        <f>F1</f>
        <v>FY29 (28-29)</v>
      </c>
    </row>
    <row r="39" spans="1:6" x14ac:dyDescent="0.25">
      <c r="A39" s="29" t="s">
        <v>49</v>
      </c>
      <c r="B39" s="23">
        <f>'24-25'!H39</f>
        <v>1</v>
      </c>
      <c r="C39" s="23">
        <f>'25-26'!H39</f>
        <v>1</v>
      </c>
      <c r="D39" s="23">
        <f>'26-27'!H39</f>
        <v>1</v>
      </c>
      <c r="E39" s="23">
        <f>'27-28'!H39</f>
        <v>1</v>
      </c>
      <c r="F39" s="23">
        <f>'28-29'!H39</f>
        <v>1</v>
      </c>
    </row>
    <row r="40" spans="1:6" x14ac:dyDescent="0.25">
      <c r="A40" s="29" t="s">
        <v>50</v>
      </c>
      <c r="B40" s="23">
        <f>'24-25'!H40</f>
        <v>4</v>
      </c>
      <c r="C40" s="23">
        <f>'25-26'!H40</f>
        <v>4</v>
      </c>
      <c r="D40" s="23">
        <f>'26-27'!H40</f>
        <v>4</v>
      </c>
      <c r="E40" s="23">
        <f>'27-28'!H40</f>
        <v>4</v>
      </c>
      <c r="F40" s="23">
        <f>'28-29'!H40</f>
        <v>4</v>
      </c>
    </row>
    <row r="41" spans="1:6" x14ac:dyDescent="0.25">
      <c r="A41" s="30" t="s">
        <v>51</v>
      </c>
      <c r="B41" s="23">
        <f>'24-25'!H41</f>
        <v>1</v>
      </c>
      <c r="C41" s="23">
        <f>'25-26'!H41</f>
        <v>1</v>
      </c>
      <c r="D41" s="23">
        <f>'26-27'!H41</f>
        <v>1</v>
      </c>
      <c r="E41" s="23">
        <f>'27-28'!H41</f>
        <v>1</v>
      </c>
      <c r="F41" s="23">
        <f>'28-29'!H41</f>
        <v>1</v>
      </c>
    </row>
    <row r="42" spans="1:6" x14ac:dyDescent="0.25">
      <c r="A42" s="31" t="s">
        <v>52</v>
      </c>
      <c r="B42" s="23">
        <f>'24-25'!H42</f>
        <v>1</v>
      </c>
      <c r="C42" s="23">
        <f>'25-26'!H42</f>
        <v>2</v>
      </c>
      <c r="D42" s="23">
        <f>'26-27'!H42</f>
        <v>2</v>
      </c>
      <c r="E42" s="23">
        <f>'27-28'!H42</f>
        <v>2</v>
      </c>
      <c r="F42" s="23">
        <f>'28-29'!H42</f>
        <v>2</v>
      </c>
    </row>
    <row r="43" spans="1:6" x14ac:dyDescent="0.25">
      <c r="A43" s="31" t="s">
        <v>53</v>
      </c>
      <c r="B43" s="23">
        <f>'24-25'!H43</f>
        <v>4</v>
      </c>
      <c r="C43" s="23">
        <f>'25-26'!H43</f>
        <v>3</v>
      </c>
      <c r="D43" s="23">
        <f>'26-27'!H43</f>
        <v>3</v>
      </c>
      <c r="E43" s="23">
        <f>'27-28'!H43</f>
        <v>3</v>
      </c>
      <c r="F43" s="23">
        <f>'28-29'!H43</f>
        <v>3</v>
      </c>
    </row>
    <row r="44" spans="1:6" x14ac:dyDescent="0.25">
      <c r="A44" s="31" t="s">
        <v>54</v>
      </c>
      <c r="B44" s="23">
        <f>'24-25'!H44</f>
        <v>3</v>
      </c>
      <c r="C44" s="23">
        <f>'25-26'!H44</f>
        <v>3</v>
      </c>
      <c r="D44" s="23">
        <f>'26-27'!H44</f>
        <v>3</v>
      </c>
      <c r="E44" s="23">
        <f>'27-28'!H44</f>
        <v>3</v>
      </c>
      <c r="F44" s="23">
        <f>'28-29'!H44</f>
        <v>3</v>
      </c>
    </row>
    <row r="45" spans="1:6" x14ac:dyDescent="0.25">
      <c r="A45" s="31" t="s">
        <v>55</v>
      </c>
      <c r="B45" s="23">
        <f>'24-25'!H45</f>
        <v>0</v>
      </c>
      <c r="C45" s="23">
        <f>'25-26'!H45</f>
        <v>0</v>
      </c>
      <c r="D45" s="23">
        <f>'26-27'!H45</f>
        <v>0</v>
      </c>
      <c r="E45" s="23">
        <f>'27-28'!H45</f>
        <v>0</v>
      </c>
      <c r="F45" s="23">
        <f>'28-29'!H45</f>
        <v>0</v>
      </c>
    </row>
    <row r="46" spans="1:6" x14ac:dyDescent="0.25">
      <c r="A46" s="29" t="s">
        <v>56</v>
      </c>
      <c r="B46" s="23">
        <f>'24-25'!H46</f>
        <v>2</v>
      </c>
      <c r="C46" s="23">
        <f>'25-26'!H46</f>
        <v>2</v>
      </c>
      <c r="D46" s="23">
        <f>'26-27'!H46</f>
        <v>2</v>
      </c>
      <c r="E46" s="23">
        <f>'27-28'!H46</f>
        <v>2</v>
      </c>
      <c r="F46" s="23">
        <f>'28-29'!H46</f>
        <v>2</v>
      </c>
    </row>
    <row r="47" spans="1:6" x14ac:dyDescent="0.25">
      <c r="A47" s="29" t="s">
        <v>57</v>
      </c>
      <c r="B47" s="23">
        <f>'24-25'!H47</f>
        <v>1</v>
      </c>
      <c r="C47" s="23">
        <f>'25-26'!H47</f>
        <v>2</v>
      </c>
      <c r="D47" s="23">
        <f>'26-27'!H47</f>
        <v>2</v>
      </c>
      <c r="E47" s="23">
        <f>'27-28'!H47</f>
        <v>2</v>
      </c>
      <c r="F47" s="23">
        <f>'28-29'!H47</f>
        <v>2</v>
      </c>
    </row>
    <row r="48" spans="1:6" x14ac:dyDescent="0.25">
      <c r="A48" s="29" t="s">
        <v>58</v>
      </c>
      <c r="B48" s="23">
        <f>'24-25'!H48</f>
        <v>1</v>
      </c>
      <c r="C48" s="23">
        <f>'25-26'!H48</f>
        <v>4</v>
      </c>
      <c r="D48" s="23">
        <f>'26-27'!H48</f>
        <v>5</v>
      </c>
      <c r="E48" s="23">
        <f>'27-28'!H48</f>
        <v>5</v>
      </c>
      <c r="F48" s="23">
        <f>'28-29'!H48</f>
        <v>5</v>
      </c>
    </row>
    <row r="49" spans="1:6" x14ac:dyDescent="0.25">
      <c r="A49" s="29" t="s">
        <v>59</v>
      </c>
      <c r="B49" s="23">
        <f>'24-25'!H49</f>
        <v>2</v>
      </c>
      <c r="C49" s="23">
        <f>'25-26'!H49</f>
        <v>3</v>
      </c>
      <c r="D49" s="23">
        <f>'26-27'!H49</f>
        <v>4</v>
      </c>
      <c r="E49" s="23">
        <f>'27-28'!H49</f>
        <v>4</v>
      </c>
      <c r="F49" s="23">
        <f>'28-29'!H49</f>
        <v>4</v>
      </c>
    </row>
    <row r="50" spans="1:6" x14ac:dyDescent="0.25">
      <c r="A50" s="29" t="s">
        <v>60</v>
      </c>
      <c r="B50" s="23">
        <f>'24-25'!H50</f>
        <v>24</v>
      </c>
      <c r="C50" s="23">
        <f>'25-26'!H50</f>
        <v>26</v>
      </c>
      <c r="D50" s="23">
        <f>'26-27'!H50</f>
        <v>28</v>
      </c>
      <c r="E50" s="23">
        <f>'27-28'!H50</f>
        <v>29</v>
      </c>
      <c r="F50" s="23">
        <f>'28-29'!H50</f>
        <v>29</v>
      </c>
    </row>
    <row r="51" spans="1:6" x14ac:dyDescent="0.25">
      <c r="A51" s="29" t="s">
        <v>61</v>
      </c>
      <c r="B51" s="23">
        <f>'24-25'!H51</f>
        <v>4</v>
      </c>
      <c r="C51" s="23">
        <f>'25-26'!H51</f>
        <v>6</v>
      </c>
      <c r="D51" s="23">
        <f>'26-27'!H51</f>
        <v>6</v>
      </c>
      <c r="E51" s="23">
        <f>'27-28'!H51</f>
        <v>6</v>
      </c>
      <c r="F51" s="23">
        <f>'28-29'!H51</f>
        <v>6</v>
      </c>
    </row>
    <row r="52" spans="1:6" x14ac:dyDescent="0.25">
      <c r="A52" s="29" t="s">
        <v>62</v>
      </c>
      <c r="B52" s="23">
        <f>'24-25'!H52</f>
        <v>4</v>
      </c>
      <c r="C52" s="23">
        <f>'25-26'!H52</f>
        <v>5</v>
      </c>
      <c r="D52" s="23">
        <f>'26-27'!H52</f>
        <v>6</v>
      </c>
      <c r="E52" s="23">
        <f>'27-28'!H52</f>
        <v>6</v>
      </c>
      <c r="F52" s="23">
        <f>'28-29'!H52</f>
        <v>6</v>
      </c>
    </row>
    <row r="53" spans="1:6" x14ac:dyDescent="0.25">
      <c r="A53" s="29" t="s">
        <v>63</v>
      </c>
      <c r="B53" s="23">
        <f>'24-25'!H53</f>
        <v>1</v>
      </c>
      <c r="C53" s="23">
        <f>'25-26'!H53</f>
        <v>1</v>
      </c>
      <c r="D53" s="23">
        <f>'26-27'!H53</f>
        <v>1</v>
      </c>
      <c r="E53" s="23">
        <f>'27-28'!H53</f>
        <v>1</v>
      </c>
      <c r="F53" s="23">
        <f>'28-29'!H53</f>
        <v>1</v>
      </c>
    </row>
    <row r="54" spans="1:6" x14ac:dyDescent="0.25">
      <c r="A54" s="30" t="s">
        <v>64</v>
      </c>
      <c r="B54" s="23">
        <f>'24-25'!H54</f>
        <v>1</v>
      </c>
      <c r="C54" s="23">
        <f>'25-26'!H54</f>
        <v>1</v>
      </c>
      <c r="D54" s="23">
        <f>'26-27'!H54</f>
        <v>1</v>
      </c>
      <c r="E54" s="23">
        <f>'27-28'!H54</f>
        <v>1</v>
      </c>
      <c r="F54" s="23">
        <f>'28-29'!H54</f>
        <v>1</v>
      </c>
    </row>
    <row r="55" spans="1:6" x14ac:dyDescent="0.25">
      <c r="A55" s="30" t="s">
        <v>65</v>
      </c>
      <c r="B55" s="23">
        <f>'24-25'!H55</f>
        <v>0</v>
      </c>
      <c r="C55" s="23">
        <f>'25-26'!H55</f>
        <v>0</v>
      </c>
      <c r="D55" s="23">
        <f>'26-27'!H55</f>
        <v>0</v>
      </c>
      <c r="E55" s="23">
        <f>'27-28'!H55</f>
        <v>0</v>
      </c>
      <c r="F55" s="23">
        <f>'28-29'!H55</f>
        <v>0</v>
      </c>
    </row>
    <row r="56" spans="1:6" x14ac:dyDescent="0.25">
      <c r="A56" s="30" t="s">
        <v>66</v>
      </c>
      <c r="B56" s="23">
        <f>'24-25'!H56</f>
        <v>0</v>
      </c>
      <c r="C56" s="23">
        <f>'25-26'!H56</f>
        <v>0</v>
      </c>
      <c r="D56" s="23">
        <f>'26-27'!H56</f>
        <v>0</v>
      </c>
      <c r="E56" s="23">
        <f>'27-28'!H56</f>
        <v>0</v>
      </c>
      <c r="F56" s="23">
        <f>'28-29'!H56</f>
        <v>0</v>
      </c>
    </row>
    <row r="57" spans="1:6" x14ac:dyDescent="0.25">
      <c r="A57" s="30" t="s">
        <v>67</v>
      </c>
      <c r="B57" s="23">
        <f>'24-25'!H57</f>
        <v>0</v>
      </c>
      <c r="C57" s="23">
        <f>'25-26'!H57</f>
        <v>0</v>
      </c>
      <c r="D57" s="23">
        <f>'26-27'!H57</f>
        <v>0</v>
      </c>
      <c r="E57" s="23">
        <f>'27-28'!H57</f>
        <v>0</v>
      </c>
      <c r="F57" s="23">
        <f>'28-29'!H57</f>
        <v>0</v>
      </c>
    </row>
    <row r="58" spans="1:6" x14ac:dyDescent="0.25">
      <c r="A58" s="30" t="s">
        <v>68</v>
      </c>
      <c r="B58" s="23">
        <f>'24-25'!H58</f>
        <v>0</v>
      </c>
      <c r="C58" s="23">
        <f>'25-26'!H58</f>
        <v>0</v>
      </c>
      <c r="D58" s="23">
        <f>'26-27'!H58</f>
        <v>0</v>
      </c>
      <c r="E58" s="23">
        <f>'27-28'!H58</f>
        <v>0</v>
      </c>
      <c r="F58" s="23">
        <f>'28-29'!H58</f>
        <v>0</v>
      </c>
    </row>
    <row r="59" spans="1:6" x14ac:dyDescent="0.25">
      <c r="A59" s="30" t="s">
        <v>69</v>
      </c>
      <c r="B59" s="23">
        <f>'24-25'!H59</f>
        <v>2</v>
      </c>
      <c r="C59" s="23">
        <f>'25-26'!H59</f>
        <v>2</v>
      </c>
      <c r="D59" s="23">
        <f>'26-27'!H59</f>
        <v>3</v>
      </c>
      <c r="E59" s="23">
        <f>'27-28'!H59</f>
        <v>3</v>
      </c>
      <c r="F59" s="23">
        <f>'28-29'!H59</f>
        <v>3</v>
      </c>
    </row>
    <row r="60" spans="1:6" x14ac:dyDescent="0.25">
      <c r="A60" s="29" t="s">
        <v>70</v>
      </c>
      <c r="B60" s="23">
        <f>'24-25'!H60</f>
        <v>0</v>
      </c>
      <c r="C60" s="23">
        <f>'25-26'!H60</f>
        <v>0</v>
      </c>
      <c r="D60" s="23">
        <f>'26-27'!H60</f>
        <v>0</v>
      </c>
      <c r="E60" s="23">
        <f>'27-28'!H60</f>
        <v>0</v>
      </c>
      <c r="F60" s="23">
        <f>'28-29'!H60</f>
        <v>0</v>
      </c>
    </row>
    <row r="61" spans="1:6" x14ac:dyDescent="0.25">
      <c r="A61" s="21" t="s">
        <v>71</v>
      </c>
      <c r="B61" s="33">
        <f>SUM(B39:B60)</f>
        <v>56</v>
      </c>
      <c r="C61" s="33">
        <f>SUM(C39:C60)</f>
        <v>66</v>
      </c>
      <c r="D61" s="33">
        <f>SUM(D39:D60)</f>
        <v>72</v>
      </c>
      <c r="E61" s="33">
        <f>SUM(E39:E60)</f>
        <v>73</v>
      </c>
      <c r="F61" s="33">
        <f>SUM(F39:F60)</f>
        <v>73</v>
      </c>
    </row>
    <row r="62" spans="1:6" ht="15.75" thickBot="1" x14ac:dyDescent="0.3">
      <c r="A62" s="34"/>
      <c r="B62" s="35"/>
      <c r="C62" s="35"/>
      <c r="D62" s="35"/>
      <c r="E62" s="35"/>
      <c r="F62" s="35"/>
    </row>
    <row r="63" spans="1:6" x14ac:dyDescent="0.25">
      <c r="A63" s="36" t="s">
        <v>72</v>
      </c>
      <c r="B63" s="37">
        <f>B36</f>
        <v>52</v>
      </c>
      <c r="C63" s="37">
        <f>C36</f>
        <v>59</v>
      </c>
      <c r="D63" s="37">
        <f>D36</f>
        <v>69</v>
      </c>
      <c r="E63" s="37">
        <f>E36</f>
        <v>74</v>
      </c>
      <c r="F63" s="37">
        <f>F36</f>
        <v>78</v>
      </c>
    </row>
    <row r="64" spans="1:6" x14ac:dyDescent="0.25">
      <c r="A64" s="38" t="s">
        <v>73</v>
      </c>
      <c r="B64" s="39">
        <f>B61</f>
        <v>56</v>
      </c>
      <c r="C64" s="39">
        <f>C61</f>
        <v>66</v>
      </c>
      <c r="D64" s="39">
        <f>D61</f>
        <v>72</v>
      </c>
      <c r="E64" s="39">
        <f>E61</f>
        <v>73</v>
      </c>
      <c r="F64" s="39">
        <f>F61</f>
        <v>73</v>
      </c>
    </row>
    <row r="65" spans="1:6" ht="15.75" thickBot="1" x14ac:dyDescent="0.3">
      <c r="A65" s="40" t="s">
        <v>74</v>
      </c>
      <c r="B65" s="41">
        <f>SUM(B63:B64)</f>
        <v>108</v>
      </c>
      <c r="C65" s="41">
        <f>SUM(C63:C64)</f>
        <v>125</v>
      </c>
      <c r="D65" s="41">
        <f>SUM(D63:D64)</f>
        <v>141</v>
      </c>
      <c r="E65" s="41">
        <f>SUM(E63:E64)</f>
        <v>147</v>
      </c>
      <c r="F65" s="41">
        <f>SUM(F63:F64)</f>
        <v>151</v>
      </c>
    </row>
    <row r="66" spans="1:6" x14ac:dyDescent="0.25">
      <c r="A66" s="30"/>
      <c r="B66" s="42"/>
      <c r="C66" s="42"/>
      <c r="D66" s="42"/>
      <c r="E66" s="42"/>
      <c r="F66" s="42"/>
    </row>
    <row r="67" spans="1:6" x14ac:dyDescent="0.25">
      <c r="A67" s="43" t="s">
        <v>75</v>
      </c>
      <c r="B67" s="45">
        <f>B142/(B211+B213+B214+B215+B216+B217)</f>
        <v>0.60587433769513366</v>
      </c>
      <c r="C67" s="45">
        <f>C142/(C211+C213+C214+C215+C216+C217)</f>
        <v>0.57768845634536559</v>
      </c>
      <c r="D67" s="45">
        <f>D142/(D211+D213+D214+D215+D216+D217)</f>
        <v>0.59032980550714187</v>
      </c>
      <c r="E67" s="45">
        <f>E142/(E211+E213+E214+E215+E216+E217)</f>
        <v>0.59351502709971637</v>
      </c>
      <c r="F67" s="45">
        <f>F142/(F211+F213+F214+F215+F216+F217)</f>
        <v>0.58125912034244109</v>
      </c>
    </row>
    <row r="68" spans="1:6" x14ac:dyDescent="0.25">
      <c r="A68" s="43" t="s">
        <v>76</v>
      </c>
      <c r="B68" s="45">
        <f>(B114+B115+B118+B128)/B132</f>
        <v>0.67511229435161679</v>
      </c>
      <c r="C68" s="45">
        <f>(C114+C115+C118+C128)/C132</f>
        <v>0.65134802203088893</v>
      </c>
      <c r="D68" s="45">
        <f>(D114+D115+D118+D128)/D132</f>
        <v>0.67149952780569422</v>
      </c>
      <c r="E68" s="45">
        <f>(E114+E115+E118+E128)/E132</f>
        <v>0.68826192931990493</v>
      </c>
      <c r="F68" s="45">
        <f>(F114+F115+F118+F128)/F132</f>
        <v>0.7003937190219599</v>
      </c>
    </row>
    <row r="69" spans="1:6" x14ac:dyDescent="0.25">
      <c r="A69" s="43" t="s">
        <v>77</v>
      </c>
      <c r="B69" s="45">
        <f>(B107+B108+B109+B112+B116+B117+B119+B120++B123+B124+B125+B126+B127+B129+B130)/B132</f>
        <v>0.26165126966242419</v>
      </c>
      <c r="C69" s="45">
        <f>(C107+C108+C109+C112+C116+C117+C119+C120++C123+C124+C125+C126+C127+C129+C130)/C132</f>
        <v>0.2875310851454842</v>
      </c>
      <c r="D69" s="45">
        <f>(D107+D108+D109+D112+D116+D117+D119+D120++D123+D124+D125+D126+D127+D129+D130)/D132</f>
        <v>0.27478253812109416</v>
      </c>
      <c r="E69" s="45">
        <f>(E107+E108+E109+E112+E116+E117+E119+E120++E123+E124+E125+E126+E127+E129+E130)/E132</f>
        <v>0.26093469901966088</v>
      </c>
      <c r="F69" s="45">
        <f>(F107+F108+F109+F112+F116+F117+F119+F120++F123+F124+F125+F126+F127+F129+F130)/F132</f>
        <v>0.25093756908868425</v>
      </c>
    </row>
    <row r="70" spans="1:6" x14ac:dyDescent="0.25">
      <c r="A70" s="43" t="s">
        <v>78</v>
      </c>
      <c r="B70" s="45">
        <f>(B213+B214+B215+B216)/(B97)</f>
        <v>0.13341315386401106</v>
      </c>
      <c r="C70" s="45">
        <f>(C213+C214+C215+C216)/(C97)</f>
        <v>0.15103786323412247</v>
      </c>
      <c r="D70" s="45">
        <f>(D213+D214+D215+D216)/(D97)</f>
        <v>0.14569969339964839</v>
      </c>
      <c r="E70" s="45">
        <f>(E213+E214+E215+E216)/(E97)</f>
        <v>0.13571410120313795</v>
      </c>
      <c r="F70" s="45">
        <f>(F213+F214+F215+F216)/(F97)</f>
        <v>0.1570498969199671</v>
      </c>
    </row>
    <row r="71" spans="1:6" ht="15.75" thickBot="1" x14ac:dyDescent="0.3">
      <c r="B71" s="42"/>
      <c r="C71" s="42"/>
      <c r="D71" s="42"/>
      <c r="E71" s="42"/>
      <c r="F71" s="42"/>
    </row>
    <row r="72" spans="1:6" ht="15.75" thickBot="1" x14ac:dyDescent="0.3">
      <c r="A72" s="46" t="s">
        <v>79</v>
      </c>
      <c r="B72" s="47" t="str">
        <f>B1</f>
        <v>FY25 (24-25)</v>
      </c>
      <c r="C72" s="47" t="str">
        <f>C1</f>
        <v>FY26 (25-26)</v>
      </c>
      <c r="D72" s="47" t="str">
        <f>D1</f>
        <v>FY27 (26-27)</v>
      </c>
      <c r="E72" s="47" t="str">
        <f>E1</f>
        <v>FY28 (27-28)</v>
      </c>
      <c r="F72" s="47" t="str">
        <f>F1</f>
        <v>FY29 (28-29)</v>
      </c>
    </row>
    <row r="73" spans="1:6" x14ac:dyDescent="0.25">
      <c r="A73" s="48" t="s">
        <v>80</v>
      </c>
      <c r="B73" s="49"/>
      <c r="C73" s="49"/>
      <c r="D73" s="49"/>
      <c r="E73" s="49"/>
      <c r="F73" s="49"/>
    </row>
    <row r="74" spans="1:6" x14ac:dyDescent="0.25">
      <c r="A74" s="30" t="s">
        <v>81</v>
      </c>
      <c r="B74" s="5">
        <f>'24-25'!H74</f>
        <v>9978840</v>
      </c>
      <c r="C74" s="5">
        <f>'25-26'!H74</f>
        <v>13167738.359999999</v>
      </c>
      <c r="D74" s="5">
        <f>'26-27'!H74</f>
        <v>15284418.3639</v>
      </c>
      <c r="E74" s="5">
        <f>'27-28'!H74</f>
        <v>16782350.414759997</v>
      </c>
      <c r="F74" s="5">
        <f>'28-29'!H74</f>
        <v>17895929.291239381</v>
      </c>
    </row>
    <row r="75" spans="1:6" x14ac:dyDescent="0.25">
      <c r="A75" s="30" t="s">
        <v>82</v>
      </c>
      <c r="B75" s="5">
        <f>'24-25'!H75</f>
        <v>1169214</v>
      </c>
      <c r="C75" s="5">
        <f>'25-26'!H75</f>
        <v>1275036</v>
      </c>
      <c r="D75" s="5">
        <f>'26-27'!H75</f>
        <v>1380936</v>
      </c>
      <c r="E75" s="5">
        <f>'27-28'!H75</f>
        <v>1486836</v>
      </c>
      <c r="F75" s="5">
        <f>'28-29'!H75</f>
        <v>1592736</v>
      </c>
    </row>
    <row r="76" spans="1:6" x14ac:dyDescent="0.25">
      <c r="A76" s="30" t="s">
        <v>83</v>
      </c>
      <c r="B76" s="5">
        <f>'24-25'!H76</f>
        <v>0</v>
      </c>
      <c r="C76" s="5">
        <f>'25-26'!H76</f>
        <v>0</v>
      </c>
      <c r="D76" s="5">
        <f>'26-27'!H76</f>
        <v>0</v>
      </c>
      <c r="E76" s="5">
        <f>'27-28'!H76</f>
        <v>0</v>
      </c>
      <c r="F76" s="5">
        <f>'28-29'!H76</f>
        <v>0</v>
      </c>
    </row>
    <row r="77" spans="1:6" x14ac:dyDescent="0.25">
      <c r="A77" s="30" t="s">
        <v>84</v>
      </c>
      <c r="B77" s="5">
        <f>'24-25'!H77</f>
        <v>332784</v>
      </c>
      <c r="C77" s="5">
        <f>'25-26'!H77</f>
        <v>342680</v>
      </c>
      <c r="D77" s="5">
        <f>'26-27'!H77</f>
        <v>352565</v>
      </c>
      <c r="E77" s="5">
        <f>'27-28'!H77</f>
        <v>362450</v>
      </c>
      <c r="F77" s="5">
        <f>'28-29'!H77</f>
        <v>372335</v>
      </c>
    </row>
    <row r="78" spans="1:6" x14ac:dyDescent="0.25">
      <c r="A78" s="30" t="s">
        <v>85</v>
      </c>
      <c r="B78" s="5">
        <f>'24-25'!H78</f>
        <v>257689</v>
      </c>
      <c r="C78" s="5">
        <f>'25-26'!H78</f>
        <v>257639</v>
      </c>
      <c r="D78" s="5">
        <f>'26-27'!H78</f>
        <v>257639</v>
      </c>
      <c r="E78" s="5">
        <f>'27-28'!H78</f>
        <v>257639</v>
      </c>
      <c r="F78" s="5">
        <f>'28-29'!H78</f>
        <v>257639</v>
      </c>
    </row>
    <row r="79" spans="1:6" x14ac:dyDescent="0.25">
      <c r="A79" s="30" t="s">
        <v>86</v>
      </c>
      <c r="B79" s="5">
        <f>'24-25'!H79</f>
        <v>299537.7</v>
      </c>
      <c r="C79" s="5">
        <f>'25-26'!H79</f>
        <v>378805.13207547169</v>
      </c>
      <c r="D79" s="5">
        <f>'26-27'!H79</f>
        <v>433199.09433962265</v>
      </c>
      <c r="E79" s="5">
        <f>'27-28'!H79</f>
        <v>468624.90566037735</v>
      </c>
      <c r="F79" s="5">
        <f>'28-29'!H79</f>
        <v>492335.09433962259</v>
      </c>
    </row>
    <row r="80" spans="1:6" x14ac:dyDescent="0.25">
      <c r="A80" s="55" t="s">
        <v>87</v>
      </c>
      <c r="B80" s="56">
        <f>SUM(B74:B79)</f>
        <v>12038064.699999999</v>
      </c>
      <c r="C80" s="56">
        <f>SUM(C74:C79)</f>
        <v>15421898.492075471</v>
      </c>
      <c r="D80" s="56">
        <f>SUM(D74:D79)</f>
        <v>17708757.458239622</v>
      </c>
      <c r="E80" s="56">
        <f>SUM(E74:E79)</f>
        <v>19357900.320420373</v>
      </c>
      <c r="F80" s="56">
        <f>SUM(F74:F79)</f>
        <v>20610974.385579005</v>
      </c>
    </row>
    <row r="81" spans="1:6" x14ac:dyDescent="0.25">
      <c r="A81" s="57" t="s">
        <v>88</v>
      </c>
      <c r="B81" s="49"/>
      <c r="C81" s="49"/>
      <c r="D81" s="49"/>
      <c r="E81" s="49"/>
      <c r="F81" s="49"/>
    </row>
    <row r="82" spans="1:6" x14ac:dyDescent="0.25">
      <c r="A82" s="30" t="s">
        <v>89</v>
      </c>
      <c r="B82" s="5">
        <f>'24-25'!H82</f>
        <v>90161.34</v>
      </c>
      <c r="C82" s="5">
        <f>'25-26'!H82</f>
        <v>115515.8358490566</v>
      </c>
      <c r="D82" s="5">
        <f>'26-27'!H82</f>
        <v>132103.16132075471</v>
      </c>
      <c r="E82" s="5">
        <f>'27-28'!H82</f>
        <v>142906.18867924527</v>
      </c>
      <c r="F82" s="5">
        <f>'28-29'!H82</f>
        <v>150136.5613207547</v>
      </c>
    </row>
    <row r="83" spans="1:6" x14ac:dyDescent="0.25">
      <c r="A83" s="30" t="s">
        <v>90</v>
      </c>
      <c r="B83" s="5">
        <f>'24-25'!H83</f>
        <v>217511.99999999997</v>
      </c>
      <c r="C83" s="5">
        <f>'25-26'!H83</f>
        <v>278661.59999999998</v>
      </c>
      <c r="D83" s="5">
        <f>'26-27'!H83</f>
        <v>318675.59999999998</v>
      </c>
      <c r="E83" s="5">
        <f>'27-28'!H83</f>
        <v>344735.99999999994</v>
      </c>
      <c r="F83" s="5">
        <f>'28-29'!H83</f>
        <v>362178</v>
      </c>
    </row>
    <row r="84" spans="1:6" x14ac:dyDescent="0.25">
      <c r="A84" s="30" t="s">
        <v>91</v>
      </c>
      <c r="B84" s="5">
        <f>'24-25'!H84</f>
        <v>413082</v>
      </c>
      <c r="C84" s="5">
        <f>'25-26'!H84</f>
        <v>529212.6</v>
      </c>
      <c r="D84" s="5">
        <f>'26-27'!H84</f>
        <v>605204.1</v>
      </c>
      <c r="E84" s="5">
        <f>'27-28'!H84</f>
        <v>654696</v>
      </c>
      <c r="F84" s="5">
        <f>'28-29'!H84</f>
        <v>687820.5</v>
      </c>
    </row>
    <row r="85" spans="1:6" x14ac:dyDescent="0.25">
      <c r="A85" s="30" t="s">
        <v>5</v>
      </c>
      <c r="B85" s="5">
        <f>'24-25'!H85</f>
        <v>486621.51</v>
      </c>
      <c r="C85" s="5">
        <f>'25-26'!H85</f>
        <v>449515.49</v>
      </c>
      <c r="D85" s="5">
        <f>'26-27'!H85</f>
        <v>449515.49</v>
      </c>
      <c r="E85" s="5">
        <f>'27-28'!H85</f>
        <v>449515.49</v>
      </c>
      <c r="F85" s="5">
        <f>'28-29'!H85</f>
        <v>449515.49</v>
      </c>
    </row>
    <row r="86" spans="1:6" x14ac:dyDescent="0.25">
      <c r="A86" s="30" t="s">
        <v>92</v>
      </c>
      <c r="B86" s="5">
        <f>'24-25'!H86</f>
        <v>42068.59</v>
      </c>
      <c r="C86" s="5">
        <f>'25-26'!H86</f>
        <v>42068.59</v>
      </c>
      <c r="D86" s="5">
        <f>'26-27'!H86</f>
        <v>42068.59</v>
      </c>
      <c r="E86" s="5">
        <f>'27-28'!H86</f>
        <v>42068.59</v>
      </c>
      <c r="F86" s="5">
        <f>'28-29'!H86</f>
        <v>42068.59</v>
      </c>
    </row>
    <row r="87" spans="1:6" x14ac:dyDescent="0.25">
      <c r="A87" s="30" t="s">
        <v>93</v>
      </c>
      <c r="B87" s="5">
        <f>'24-25'!H87</f>
        <v>51752.33</v>
      </c>
      <c r="C87" s="5">
        <f>'25-26'!H87</f>
        <v>44196.82</v>
      </c>
      <c r="D87" s="5">
        <f>'26-27'!H87</f>
        <v>44196.82</v>
      </c>
      <c r="E87" s="5">
        <f>'27-28'!H87</f>
        <v>44196.82</v>
      </c>
      <c r="F87" s="5">
        <f>'28-29'!H87</f>
        <v>44196.82</v>
      </c>
    </row>
    <row r="88" spans="1:6" x14ac:dyDescent="0.25">
      <c r="A88" s="30" t="s">
        <v>94</v>
      </c>
      <c r="B88" s="5">
        <f>'24-25'!H88</f>
        <v>34661.18</v>
      </c>
      <c r="C88" s="5">
        <f>'25-26'!H88</f>
        <v>30624.400000000001</v>
      </c>
      <c r="D88" s="5">
        <f>'26-27'!H88</f>
        <v>30624.400000000001</v>
      </c>
      <c r="E88" s="5">
        <f>'27-28'!H88</f>
        <v>30624.400000000001</v>
      </c>
      <c r="F88" s="5">
        <f>'28-29'!H88</f>
        <v>30624.400000000001</v>
      </c>
    </row>
    <row r="89" spans="1:6" x14ac:dyDescent="0.25">
      <c r="A89" s="30" t="s">
        <v>95</v>
      </c>
      <c r="B89" s="5">
        <f>'24-25'!H89</f>
        <v>322000</v>
      </c>
      <c r="C89" s="5">
        <f>'25-26'!H89</f>
        <v>0</v>
      </c>
      <c r="D89" s="5">
        <f>'26-27'!H89</f>
        <v>0</v>
      </c>
      <c r="E89" s="5">
        <f>'27-28'!H89</f>
        <v>0</v>
      </c>
      <c r="F89" s="5">
        <f>'28-29'!H89</f>
        <v>0</v>
      </c>
    </row>
    <row r="90" spans="1:6" x14ac:dyDescent="0.25">
      <c r="A90" s="55" t="s">
        <v>96</v>
      </c>
      <c r="B90" s="56">
        <f t="shared" ref="B90:C90" si="5">SUM(B82:B89)</f>
        <v>1657858.9500000002</v>
      </c>
      <c r="C90" s="56">
        <f t="shared" si="5"/>
        <v>1489795.3358490565</v>
      </c>
      <c r="D90" s="56">
        <f t="shared" ref="D90:F90" si="6">SUM(D82:D89)</f>
        <v>1622388.1613207546</v>
      </c>
      <c r="E90" s="56">
        <f t="shared" si="6"/>
        <v>1708743.4886792453</v>
      </c>
      <c r="F90" s="56">
        <f t="shared" si="6"/>
        <v>1766540.3613207547</v>
      </c>
    </row>
    <row r="91" spans="1:6" x14ac:dyDescent="0.25">
      <c r="A91" s="57" t="s">
        <v>97</v>
      </c>
      <c r="B91" s="49"/>
      <c r="C91" s="49"/>
      <c r="D91" s="49"/>
      <c r="E91" s="49"/>
      <c r="F91" s="49"/>
    </row>
    <row r="92" spans="1:6" x14ac:dyDescent="0.25">
      <c r="A92" s="30" t="s">
        <v>98</v>
      </c>
      <c r="B92" s="5">
        <f>'24-25'!H92</f>
        <v>0</v>
      </c>
      <c r="C92" s="5">
        <f>'25-26'!H92</f>
        <v>0</v>
      </c>
      <c r="D92" s="5">
        <f>'26-27'!H92</f>
        <v>0</v>
      </c>
      <c r="E92" s="5">
        <f>'27-28'!H92</f>
        <v>0</v>
      </c>
      <c r="F92" s="5">
        <f>'28-29'!H92</f>
        <v>0</v>
      </c>
    </row>
    <row r="93" spans="1:6" x14ac:dyDescent="0.25">
      <c r="A93" s="30" t="s">
        <v>99</v>
      </c>
      <c r="B93" s="5">
        <f>'24-25'!H93</f>
        <v>200000</v>
      </c>
      <c r="C93" s="5">
        <f>'25-26'!H93</f>
        <v>256200</v>
      </c>
      <c r="D93" s="5">
        <f>'26-27'!H93</f>
        <v>293000</v>
      </c>
      <c r="E93" s="5">
        <f>'27-28'!H93</f>
        <v>317000</v>
      </c>
      <c r="F93" s="5">
        <f>'28-29'!H93</f>
        <v>333000</v>
      </c>
    </row>
    <row r="94" spans="1:6" x14ac:dyDescent="0.25">
      <c r="A94" s="30" t="s">
        <v>100</v>
      </c>
      <c r="B94" s="5">
        <f>'24-25'!H94</f>
        <v>0</v>
      </c>
      <c r="C94" s="5">
        <f>'25-26'!H94</f>
        <v>0</v>
      </c>
      <c r="D94" s="5">
        <f>'26-27'!H94</f>
        <v>0</v>
      </c>
      <c r="E94" s="5">
        <f>'27-28'!H94</f>
        <v>0</v>
      </c>
      <c r="F94" s="5">
        <f>'28-29'!H94</f>
        <v>0</v>
      </c>
    </row>
    <row r="95" spans="1:6" x14ac:dyDescent="0.25">
      <c r="A95" s="30" t="s">
        <v>101</v>
      </c>
      <c r="B95" s="5">
        <f>'24-25'!H95</f>
        <v>0</v>
      </c>
      <c r="C95" s="5">
        <f>'25-26'!H95</f>
        <v>0</v>
      </c>
      <c r="D95" s="5">
        <f>'26-27'!H95</f>
        <v>0</v>
      </c>
      <c r="E95" s="5">
        <f>'27-28'!H95</f>
        <v>0</v>
      </c>
      <c r="F95" s="5">
        <f>'28-29'!H95</f>
        <v>0</v>
      </c>
    </row>
    <row r="96" spans="1:6" x14ac:dyDescent="0.25">
      <c r="A96" s="55" t="s">
        <v>102</v>
      </c>
      <c r="B96" s="56">
        <f>SUM(B92:B95)</f>
        <v>200000</v>
      </c>
      <c r="C96" s="56">
        <f>SUM(C92:C95)</f>
        <v>256200</v>
      </c>
      <c r="D96" s="56">
        <f>SUM(D92:D95)</f>
        <v>293000</v>
      </c>
      <c r="E96" s="56">
        <f>SUM(E92:E95)</f>
        <v>317000</v>
      </c>
      <c r="F96" s="56">
        <f>SUM(F92:F95)</f>
        <v>333000</v>
      </c>
    </row>
    <row r="97" spans="1:6" x14ac:dyDescent="0.25">
      <c r="A97" s="62" t="s">
        <v>103</v>
      </c>
      <c r="B97" s="63">
        <f>B80+B90+B96</f>
        <v>13895923.649999999</v>
      </c>
      <c r="C97" s="63">
        <f>C80+C90+C96</f>
        <v>17167893.827924527</v>
      </c>
      <c r="D97" s="63">
        <f>D80+D90+D96</f>
        <v>19624145.619560376</v>
      </c>
      <c r="E97" s="63">
        <f>E80+E90+E96</f>
        <v>21383643.809099618</v>
      </c>
      <c r="F97" s="63">
        <f>F80+F90+F96</f>
        <v>22710514.746899761</v>
      </c>
    </row>
    <row r="98" spans="1:6" x14ac:dyDescent="0.25">
      <c r="A98" s="57" t="s">
        <v>104</v>
      </c>
      <c r="B98" s="49"/>
      <c r="C98" s="49"/>
      <c r="D98" s="49"/>
      <c r="E98" s="49"/>
      <c r="F98" s="49"/>
    </row>
    <row r="99" spans="1:6" x14ac:dyDescent="0.25">
      <c r="A99" s="30" t="s">
        <v>105</v>
      </c>
      <c r="B99" s="5">
        <f>'24-25'!H99</f>
        <v>0</v>
      </c>
      <c r="C99" s="5">
        <f>'25-26'!H99</f>
        <v>0</v>
      </c>
      <c r="D99" s="5">
        <f>'26-27'!H99</f>
        <v>0</v>
      </c>
      <c r="E99" s="5">
        <f>'27-28'!H99</f>
        <v>0</v>
      </c>
      <c r="F99" s="5">
        <f>'28-29'!H99</f>
        <v>0</v>
      </c>
    </row>
    <row r="100" spans="1:6" x14ac:dyDescent="0.25">
      <c r="A100" s="30" t="s">
        <v>106</v>
      </c>
      <c r="B100" s="5">
        <f>'24-25'!H100</f>
        <v>324644.76</v>
      </c>
      <c r="C100" s="5">
        <f>'25-26'!H100</f>
        <v>300000</v>
      </c>
      <c r="D100" s="5">
        <f>'26-27'!H100</f>
        <v>150000</v>
      </c>
      <c r="E100" s="5">
        <f>'27-28'!H100</f>
        <v>150000</v>
      </c>
      <c r="F100" s="5">
        <f>'28-29'!H100</f>
        <v>100000</v>
      </c>
    </row>
    <row r="101" spans="1:6" x14ac:dyDescent="0.25">
      <c r="A101" s="30" t="s">
        <v>108</v>
      </c>
      <c r="B101" s="5">
        <f>'24-25'!H101</f>
        <v>100078.08</v>
      </c>
      <c r="C101" s="5">
        <f>'25-26'!H101</f>
        <v>0</v>
      </c>
      <c r="D101" s="5">
        <f>'26-27'!H101</f>
        <v>0</v>
      </c>
      <c r="E101" s="5">
        <f>'27-28'!H101</f>
        <v>0</v>
      </c>
      <c r="F101" s="5">
        <f>'28-29'!H101</f>
        <v>0</v>
      </c>
    </row>
    <row r="102" spans="1:6" x14ac:dyDescent="0.25">
      <c r="A102" s="30" t="s">
        <v>109</v>
      </c>
      <c r="B102" s="5">
        <f>'24-25'!H102</f>
        <v>290847</v>
      </c>
      <c r="C102" s="5">
        <f>'25-26'!H102</f>
        <v>0</v>
      </c>
      <c r="D102" s="5">
        <f>'26-27'!H102</f>
        <v>0</v>
      </c>
      <c r="E102" s="5">
        <f>'27-28'!H102</f>
        <v>0</v>
      </c>
      <c r="F102" s="5">
        <f>'28-29'!H102</f>
        <v>0</v>
      </c>
    </row>
    <row r="103" spans="1:6" x14ac:dyDescent="0.25">
      <c r="A103" s="55" t="s">
        <v>110</v>
      </c>
      <c r="B103" s="56">
        <f>SUM(B99:B102)</f>
        <v>715569.84000000008</v>
      </c>
      <c r="C103" s="56">
        <f>SUM(C99:C102)</f>
        <v>300000</v>
      </c>
      <c r="D103" s="56">
        <f>SUM(D99:D102)</f>
        <v>150000</v>
      </c>
      <c r="E103" s="56">
        <f>SUM(E99:E102)</f>
        <v>150000</v>
      </c>
      <c r="F103" s="56">
        <f>SUM(F99:F102)</f>
        <v>100000</v>
      </c>
    </row>
    <row r="104" spans="1:6" ht="15.75" thickBot="1" x14ac:dyDescent="0.3">
      <c r="A104" s="30"/>
      <c r="B104" s="42"/>
      <c r="C104" s="42"/>
      <c r="D104" s="42"/>
      <c r="E104" s="42"/>
      <c r="F104" s="42"/>
    </row>
    <row r="105" spans="1:6" ht="15.75" thickBot="1" x14ac:dyDescent="0.3">
      <c r="A105" s="64" t="s">
        <v>111</v>
      </c>
      <c r="B105" s="65" t="str">
        <f t="shared" ref="B105:C105" si="7">B1</f>
        <v>FY25 (24-25)</v>
      </c>
      <c r="C105" s="65" t="str">
        <f t="shared" si="7"/>
        <v>FY26 (25-26)</v>
      </c>
      <c r="D105" s="65" t="str">
        <f t="shared" ref="D105:F105" si="8">D1</f>
        <v>FY27 (26-27)</v>
      </c>
      <c r="E105" s="65" t="str">
        <f t="shared" si="8"/>
        <v>FY28 (27-28)</v>
      </c>
      <c r="F105" s="65" t="str">
        <f t="shared" si="8"/>
        <v>FY29 (28-29)</v>
      </c>
    </row>
    <row r="106" spans="1:6" x14ac:dyDescent="0.25">
      <c r="A106" s="48" t="s">
        <v>112</v>
      </c>
      <c r="B106" s="49"/>
      <c r="C106" s="49"/>
      <c r="D106" s="49"/>
      <c r="E106" s="49"/>
      <c r="F106" s="49"/>
    </row>
    <row r="107" spans="1:6" x14ac:dyDescent="0.25">
      <c r="A107" s="30" t="s">
        <v>49</v>
      </c>
      <c r="B107" s="5">
        <f>'24-25'!H107</f>
        <v>125000</v>
      </c>
      <c r="C107" s="5">
        <f>'25-26'!H107</f>
        <v>140000</v>
      </c>
      <c r="D107" s="5">
        <f>'26-27'!H107</f>
        <v>142100</v>
      </c>
      <c r="E107" s="5">
        <f>'27-28'!H107</f>
        <v>144231.5</v>
      </c>
      <c r="F107" s="5">
        <f>'28-29'!H107</f>
        <v>146394.97249999997</v>
      </c>
    </row>
    <row r="108" spans="1:6" x14ac:dyDescent="0.25">
      <c r="A108" s="30" t="s">
        <v>113</v>
      </c>
      <c r="B108" s="5">
        <f>'24-25'!H108</f>
        <v>355350</v>
      </c>
      <c r="C108" s="5">
        <f>'25-26'!H108</f>
        <v>373700</v>
      </c>
      <c r="D108" s="5">
        <f>'26-27'!H108</f>
        <v>379305.49999999994</v>
      </c>
      <c r="E108" s="5">
        <f>'27-28'!H108</f>
        <v>384995.0824999999</v>
      </c>
      <c r="F108" s="5">
        <f>'28-29'!H108</f>
        <v>390770.00873749988</v>
      </c>
    </row>
    <row r="109" spans="1:6" x14ac:dyDescent="0.25">
      <c r="A109" s="30" t="s">
        <v>114</v>
      </c>
      <c r="B109" s="5">
        <f>'24-25'!H109</f>
        <v>162400</v>
      </c>
      <c r="C109" s="5">
        <f>'25-26'!H109</f>
        <v>164360</v>
      </c>
      <c r="D109" s="5">
        <f>'26-27'!H109</f>
        <v>166825.39999999997</v>
      </c>
      <c r="E109" s="5">
        <f>'27-28'!H109</f>
        <v>169327.78099999996</v>
      </c>
      <c r="F109" s="5">
        <f>'28-29'!H109</f>
        <v>171867.69771499996</v>
      </c>
    </row>
    <row r="110" spans="1:6" x14ac:dyDescent="0.25">
      <c r="A110" s="31" t="s">
        <v>52</v>
      </c>
      <c r="B110" s="5">
        <f>'24-25'!H110</f>
        <v>77250</v>
      </c>
      <c r="C110" s="5">
        <f>'25-26'!H110</f>
        <v>157080</v>
      </c>
      <c r="D110" s="5">
        <f>'26-27'!H110</f>
        <v>159436.20000000001</v>
      </c>
      <c r="E110" s="5">
        <f>'27-28'!H110</f>
        <v>161827.74299999996</v>
      </c>
      <c r="F110" s="5">
        <f>'28-29'!H110</f>
        <v>164255.15914499998</v>
      </c>
    </row>
    <row r="111" spans="1:6" x14ac:dyDescent="0.25">
      <c r="A111" s="31" t="s">
        <v>53</v>
      </c>
      <c r="B111" s="5">
        <f>'24-25'!H111</f>
        <v>288400</v>
      </c>
      <c r="C111" s="5">
        <f>'25-26'!H111</f>
        <v>239560</v>
      </c>
      <c r="D111" s="5">
        <f>'26-27'!H111</f>
        <v>243153.39999999997</v>
      </c>
      <c r="E111" s="5">
        <f>'27-28'!H111</f>
        <v>246800.70099999994</v>
      </c>
      <c r="F111" s="5">
        <f>'28-29'!H111</f>
        <v>250502.71151499992</v>
      </c>
    </row>
    <row r="112" spans="1:6" x14ac:dyDescent="0.25">
      <c r="A112" s="30" t="s">
        <v>115</v>
      </c>
      <c r="B112" s="5">
        <f>'24-25'!H112</f>
        <v>211150</v>
      </c>
      <c r="C112" s="5">
        <f>'25-26'!H112</f>
        <v>201274</v>
      </c>
      <c r="D112" s="5">
        <f>'26-27'!H112</f>
        <v>204293.11</v>
      </c>
      <c r="E112" s="5">
        <f>'27-28'!H112</f>
        <v>207357.50664999997</v>
      </c>
      <c r="F112" s="5">
        <f>'28-29'!H112</f>
        <v>210467.86924974993</v>
      </c>
    </row>
    <row r="113" spans="1:6" x14ac:dyDescent="0.25">
      <c r="A113" s="30" t="s">
        <v>116</v>
      </c>
      <c r="B113" s="5">
        <f>'24-25'!H113</f>
        <v>0</v>
      </c>
      <c r="C113" s="5">
        <f>'25-26'!H113</f>
        <v>0</v>
      </c>
      <c r="D113" s="5">
        <f>'26-27'!H113</f>
        <v>0</v>
      </c>
      <c r="E113" s="5">
        <f>'27-28'!H113</f>
        <v>0</v>
      </c>
      <c r="F113" s="5">
        <f>'28-29'!H113</f>
        <v>0</v>
      </c>
    </row>
    <row r="114" spans="1:6" x14ac:dyDescent="0.25">
      <c r="A114" s="30" t="s">
        <v>117</v>
      </c>
      <c r="B114" s="5">
        <f>'24-25'!H114</f>
        <v>2852000</v>
      </c>
      <c r="C114" s="5">
        <f>'25-26'!H114</f>
        <v>3180000</v>
      </c>
      <c r="D114" s="5">
        <f>'26-27'!H114</f>
        <v>3906000</v>
      </c>
      <c r="E114" s="5">
        <f>'27-28'!H114</f>
        <v>4288000</v>
      </c>
      <c r="F114" s="5">
        <f>'28-29'!H114</f>
        <v>4686000</v>
      </c>
    </row>
    <row r="115" spans="1:6" x14ac:dyDescent="0.25">
      <c r="A115" s="30" t="s">
        <v>39</v>
      </c>
      <c r="B115" s="5">
        <f>'24-25'!H115</f>
        <v>372000</v>
      </c>
      <c r="C115" s="5">
        <f>'25-26'!H115</f>
        <v>360000</v>
      </c>
      <c r="D115" s="5">
        <f>'26-27'!H115</f>
        <v>372000</v>
      </c>
      <c r="E115" s="5">
        <f>'27-28'!H115</f>
        <v>448000</v>
      </c>
      <c r="F115" s="5">
        <f>'28-29'!H115</f>
        <v>462000</v>
      </c>
    </row>
    <row r="116" spans="1:6" x14ac:dyDescent="0.25">
      <c r="A116" s="30" t="s">
        <v>118</v>
      </c>
      <c r="B116" s="5">
        <f>'24-25'!H116</f>
        <v>164857.68</v>
      </c>
      <c r="C116" s="5">
        <f>'25-26'!H116</f>
        <v>237100</v>
      </c>
      <c r="D116" s="5">
        <f>'26-27'!H116</f>
        <v>285656.5</v>
      </c>
      <c r="E116" s="5">
        <f>'27-28'!H116</f>
        <v>289941.34749999997</v>
      </c>
      <c r="F116" s="5">
        <f>'28-29'!H116</f>
        <v>294290.46771249996</v>
      </c>
    </row>
    <row r="117" spans="1:6" x14ac:dyDescent="0.25">
      <c r="A117" s="30" t="s">
        <v>119</v>
      </c>
      <c r="B117" s="5">
        <f>'24-25'!H117</f>
        <v>101460</v>
      </c>
      <c r="C117" s="5">
        <f>'25-26'!H117</f>
        <v>209160</v>
      </c>
      <c r="D117" s="5">
        <f>'26-27'!H117</f>
        <v>270984.59999999998</v>
      </c>
      <c r="E117" s="5">
        <f>'27-28'!H117</f>
        <v>278093.16899999999</v>
      </c>
      <c r="F117" s="5">
        <f>'28-29'!H117</f>
        <v>285205.766535</v>
      </c>
    </row>
    <row r="118" spans="1:6" x14ac:dyDescent="0.25">
      <c r="A118" s="30" t="s">
        <v>120</v>
      </c>
      <c r="B118" s="5">
        <f>'24-25'!H118</f>
        <v>679680</v>
      </c>
      <c r="C118" s="5">
        <f>'25-26'!H118</f>
        <v>686880</v>
      </c>
      <c r="D118" s="5">
        <f>'26-27'!H118</f>
        <v>754560</v>
      </c>
      <c r="E118" s="5">
        <f>'27-28'!H118</f>
        <v>799920</v>
      </c>
      <c r="F118" s="5">
        <f>'28-29'!H118</f>
        <v>820800</v>
      </c>
    </row>
    <row r="119" spans="1:6" x14ac:dyDescent="0.25">
      <c r="A119" s="30" t="s">
        <v>121</v>
      </c>
      <c r="B119" s="5">
        <f>'24-25'!H119</f>
        <v>155520</v>
      </c>
      <c r="C119" s="5">
        <f>'25-26'!H119</f>
        <v>270800</v>
      </c>
      <c r="D119" s="5">
        <f>'26-27'!H119</f>
        <v>277079.59999999998</v>
      </c>
      <c r="E119" s="5">
        <f>'27-28'!H119</f>
        <v>283366.99400000001</v>
      </c>
      <c r="F119" s="5">
        <f>'28-29'!H119</f>
        <v>289662.29891000001</v>
      </c>
    </row>
    <row r="120" spans="1:6" x14ac:dyDescent="0.25">
      <c r="A120" s="30" t="s">
        <v>62</v>
      </c>
      <c r="B120" s="5">
        <f>'24-25'!H120</f>
        <v>0</v>
      </c>
      <c r="C120" s="5">
        <f>'25-26'!H120</f>
        <v>0</v>
      </c>
      <c r="D120" s="5">
        <f>'26-27'!H120</f>
        <v>0</v>
      </c>
      <c r="E120" s="5">
        <f>'27-28'!H120</f>
        <v>0</v>
      </c>
      <c r="F120" s="5">
        <f>'28-29'!H120</f>
        <v>0</v>
      </c>
    </row>
    <row r="121" spans="1:6" x14ac:dyDescent="0.25">
      <c r="A121" s="66" t="s">
        <v>122</v>
      </c>
      <c r="B121" s="67">
        <f>SUM(B107:B120)</f>
        <v>5545067.6799999997</v>
      </c>
      <c r="C121" s="67">
        <f>SUM(C107:C120)</f>
        <v>6219914</v>
      </c>
      <c r="D121" s="67">
        <f>SUM(D107:D120)</f>
        <v>7161394.3099999987</v>
      </c>
      <c r="E121" s="67">
        <f>SUM(E107:E120)</f>
        <v>7701861.8246499998</v>
      </c>
      <c r="F121" s="67">
        <f>SUM(F107:F120)</f>
        <v>8172216.9520197501</v>
      </c>
    </row>
    <row r="122" spans="1:6" x14ac:dyDescent="0.25">
      <c r="A122" s="68" t="s">
        <v>123</v>
      </c>
      <c r="B122" s="49"/>
      <c r="C122" s="49"/>
      <c r="D122" s="49"/>
      <c r="E122" s="49"/>
      <c r="F122" s="49"/>
    </row>
    <row r="123" spans="1:6" x14ac:dyDescent="0.25">
      <c r="A123" s="30" t="s">
        <v>64</v>
      </c>
      <c r="B123" s="5">
        <f>'24-25'!H123</f>
        <v>82400</v>
      </c>
      <c r="C123" s="5">
        <f>'25-26'!H123</f>
        <v>87720</v>
      </c>
      <c r="D123" s="5">
        <f>'26-27'!H123</f>
        <v>89035.799999999988</v>
      </c>
      <c r="E123" s="5">
        <f>'27-28'!H123</f>
        <v>90371.336999999985</v>
      </c>
      <c r="F123" s="5">
        <f>'28-29'!H123</f>
        <v>91726.907054999974</v>
      </c>
    </row>
    <row r="124" spans="1:6" x14ac:dyDescent="0.25">
      <c r="A124" s="30" t="s">
        <v>65</v>
      </c>
      <c r="B124" s="5">
        <f>'24-25'!H124</f>
        <v>0</v>
      </c>
      <c r="C124" s="5">
        <f>'25-26'!H124</f>
        <v>0</v>
      </c>
      <c r="D124" s="5">
        <f>'26-27'!H124</f>
        <v>0</v>
      </c>
      <c r="E124" s="5">
        <f>'27-28'!H124</f>
        <v>0</v>
      </c>
      <c r="F124" s="5">
        <f>'28-29'!H124</f>
        <v>0</v>
      </c>
    </row>
    <row r="125" spans="1:6" x14ac:dyDescent="0.25">
      <c r="A125" s="30" t="s">
        <v>66</v>
      </c>
      <c r="B125" s="5">
        <f>'24-25'!H125</f>
        <v>0</v>
      </c>
      <c r="C125" s="5">
        <f>'25-26'!H125</f>
        <v>0</v>
      </c>
      <c r="D125" s="5">
        <f>'26-27'!H125</f>
        <v>0</v>
      </c>
      <c r="E125" s="5">
        <f>'27-28'!H125</f>
        <v>0</v>
      </c>
      <c r="F125" s="5">
        <f>'28-29'!H125</f>
        <v>0</v>
      </c>
    </row>
    <row r="126" spans="1:6" x14ac:dyDescent="0.25">
      <c r="A126" s="30" t="s">
        <v>124</v>
      </c>
      <c r="B126" s="5">
        <f>'24-25'!H126</f>
        <v>0</v>
      </c>
      <c r="C126" s="5">
        <f>'25-26'!H126</f>
        <v>0</v>
      </c>
      <c r="D126" s="5">
        <f>'26-27'!H126</f>
        <v>0</v>
      </c>
      <c r="E126" s="5">
        <f>'27-28'!H126</f>
        <v>0</v>
      </c>
      <c r="F126" s="5">
        <f>'28-29'!H126</f>
        <v>0</v>
      </c>
    </row>
    <row r="127" spans="1:6" x14ac:dyDescent="0.25">
      <c r="A127" s="30" t="s">
        <v>68</v>
      </c>
      <c r="B127" s="5">
        <f>'24-25'!H127</f>
        <v>0</v>
      </c>
      <c r="C127" s="5">
        <f>'25-26'!H127</f>
        <v>0</v>
      </c>
      <c r="D127" s="5">
        <f>'26-27'!H127</f>
        <v>0</v>
      </c>
      <c r="E127" s="5">
        <f>'27-28'!H127</f>
        <v>0</v>
      </c>
      <c r="F127" s="5">
        <f>'28-29'!H127</f>
        <v>0</v>
      </c>
    </row>
    <row r="128" spans="1:6" x14ac:dyDescent="0.25">
      <c r="A128" s="30" t="s">
        <v>125</v>
      </c>
      <c r="B128" s="5">
        <f>'24-25'!H128</f>
        <v>0</v>
      </c>
      <c r="C128" s="5">
        <f>'25-26'!H128</f>
        <v>0</v>
      </c>
      <c r="D128" s="5">
        <f>'26-27'!H128</f>
        <v>0</v>
      </c>
      <c r="E128" s="5">
        <f>'27-28'!H128</f>
        <v>0</v>
      </c>
      <c r="F128" s="5">
        <f>'28-29'!H128</f>
        <v>0</v>
      </c>
    </row>
    <row r="129" spans="1:12" x14ac:dyDescent="0.25">
      <c r="A129" s="30" t="s">
        <v>126</v>
      </c>
      <c r="B129" s="5">
        <f>'24-25'!H129</f>
        <v>93600</v>
      </c>
      <c r="C129" s="5">
        <f>'25-26'!H129</f>
        <v>118800</v>
      </c>
      <c r="D129" s="5">
        <f>'26-27'!H129</f>
        <v>146880</v>
      </c>
      <c r="E129" s="5">
        <f>'27-28'!H129</f>
        <v>151200</v>
      </c>
      <c r="F129" s="5">
        <f>'28-29'!H129</f>
        <v>155520</v>
      </c>
    </row>
    <row r="130" spans="1:12" x14ac:dyDescent="0.25">
      <c r="A130" s="30" t="s">
        <v>69</v>
      </c>
      <c r="B130" s="5">
        <f>'24-25'!H130</f>
        <v>61200</v>
      </c>
      <c r="C130" s="5">
        <f>'25-26'!H130</f>
        <v>63000</v>
      </c>
      <c r="D130" s="5">
        <f>'26-27'!H130</f>
        <v>97200</v>
      </c>
      <c r="E130" s="5">
        <f>'27-28'!H130</f>
        <v>99900</v>
      </c>
      <c r="F130" s="5">
        <f>'28-29'!H130</f>
        <v>102600</v>
      </c>
    </row>
    <row r="131" spans="1:12" x14ac:dyDescent="0.25">
      <c r="A131" s="69" t="s">
        <v>127</v>
      </c>
      <c r="B131" s="70">
        <f>SUM(B123:B130)</f>
        <v>237200</v>
      </c>
      <c r="C131" s="70">
        <f>SUM(C123:C130)</f>
        <v>269520</v>
      </c>
      <c r="D131" s="70">
        <f>SUM(D123:D130)</f>
        <v>333115.8</v>
      </c>
      <c r="E131" s="70">
        <f>SUM(E123:E130)</f>
        <v>341471.337</v>
      </c>
      <c r="F131" s="70">
        <f>SUM(F123:F130)</f>
        <v>349846.90705499996</v>
      </c>
    </row>
    <row r="132" spans="1:12" x14ac:dyDescent="0.25">
      <c r="A132" s="71" t="s">
        <v>128</v>
      </c>
      <c r="B132" s="72">
        <f>B121+B131</f>
        <v>5782267.6799999997</v>
      </c>
      <c r="C132" s="72">
        <f>C121+C131</f>
        <v>6489434</v>
      </c>
      <c r="D132" s="72">
        <f>D121+D131</f>
        <v>7494510.1099999985</v>
      </c>
      <c r="E132" s="72">
        <f>E121+E131</f>
        <v>8043333.1616500001</v>
      </c>
      <c r="F132" s="72">
        <f>F121+F131</f>
        <v>8522063.8590747509</v>
      </c>
    </row>
    <row r="133" spans="1:12" x14ac:dyDescent="0.25">
      <c r="A133" s="30" t="s">
        <v>129</v>
      </c>
      <c r="B133" s="5">
        <f>'24-25'!H133</f>
        <v>1937059.6728000001</v>
      </c>
      <c r="C133" s="5">
        <f>'25-26'!H133</f>
        <v>2384866.9950000001</v>
      </c>
      <c r="D133" s="5">
        <f>'26-27'!H133</f>
        <v>2754232.4654249996</v>
      </c>
      <c r="E133" s="5">
        <f>'27-28'!H133</f>
        <v>2955924.9369063745</v>
      </c>
      <c r="F133" s="5">
        <f>'28-29'!H133</f>
        <v>3131858.4682099707</v>
      </c>
      <c r="H133" s="158">
        <f>B133/B132</f>
        <v>0.33500000000000002</v>
      </c>
      <c r="I133" s="158">
        <f t="shared" ref="I133:L133" si="9">C133/C132</f>
        <v>0.36749999999999999</v>
      </c>
      <c r="J133" s="158">
        <f t="shared" si="9"/>
        <v>0.36749999999999999</v>
      </c>
      <c r="K133" s="158">
        <f t="shared" si="9"/>
        <v>0.36749999999999994</v>
      </c>
      <c r="L133" s="158">
        <f t="shared" si="9"/>
        <v>0.36749999999999999</v>
      </c>
    </row>
    <row r="134" spans="1:12" x14ac:dyDescent="0.25">
      <c r="A134" s="123" t="s">
        <v>130</v>
      </c>
      <c r="B134" s="5">
        <f>'24-25'!H134</f>
        <v>855365.17944000009</v>
      </c>
      <c r="C134" s="5">
        <f>'25-26'!H134</f>
        <v>957191.51500000001</v>
      </c>
      <c r="D134" s="5">
        <f>'26-27'!H134</f>
        <v>1124176.5164999999</v>
      </c>
      <c r="E134" s="5">
        <f>'27-28'!H134</f>
        <v>1226608.3071516249</v>
      </c>
      <c r="F134" s="5">
        <f>'28-29'!H134</f>
        <v>1320919.8981565866</v>
      </c>
      <c r="H134" s="158">
        <f>B134/B132</f>
        <v>0.14792901795234775</v>
      </c>
      <c r="I134" s="158">
        <f t="shared" ref="I134:L134" si="10">C134/C132</f>
        <v>0.14749999999999999</v>
      </c>
      <c r="J134" s="158">
        <f t="shared" si="10"/>
        <v>0.15000000000000002</v>
      </c>
      <c r="K134" s="158">
        <f t="shared" si="10"/>
        <v>0.1525</v>
      </c>
      <c r="L134" s="158">
        <f t="shared" si="10"/>
        <v>0.15500000000000003</v>
      </c>
    </row>
    <row r="135" spans="1:12" x14ac:dyDescent="0.25">
      <c r="A135" s="30" t="s">
        <v>131</v>
      </c>
      <c r="B135" s="5">
        <f>'24-25'!H135</f>
        <v>116000</v>
      </c>
      <c r="C135" s="5">
        <f>'25-26'!H135</f>
        <v>131000</v>
      </c>
      <c r="D135" s="5">
        <f>'26-27'!H135</f>
        <v>146500</v>
      </c>
      <c r="E135" s="5">
        <f>'27-28'!H135</f>
        <v>153250</v>
      </c>
      <c r="F135" s="5">
        <f>'28-29'!H135</f>
        <v>158250</v>
      </c>
    </row>
    <row r="136" spans="1:12" x14ac:dyDescent="0.25">
      <c r="A136" s="123" t="s">
        <v>132</v>
      </c>
      <c r="B136" s="5">
        <f>'24-25'!H136</f>
        <v>14250</v>
      </c>
      <c r="C136" s="5">
        <f>'25-26'!H136</f>
        <v>16375</v>
      </c>
      <c r="D136" s="5">
        <f>'26-27'!H136</f>
        <v>18375</v>
      </c>
      <c r="E136" s="5">
        <f>'27-28'!H136</f>
        <v>19125</v>
      </c>
      <c r="F136" s="5">
        <f>'28-29'!H136</f>
        <v>19625</v>
      </c>
    </row>
    <row r="137" spans="1:12" x14ac:dyDescent="0.25">
      <c r="A137" s="30" t="s">
        <v>133</v>
      </c>
      <c r="B137" s="5">
        <f>'24-25'!H137</f>
        <v>34661.18</v>
      </c>
      <c r="C137" s="5">
        <f>'25-26'!H137</f>
        <v>0</v>
      </c>
      <c r="D137" s="5">
        <f>'26-27'!H137</f>
        <v>0</v>
      </c>
      <c r="E137" s="5">
        <f>'27-28'!H137</f>
        <v>0</v>
      </c>
      <c r="F137" s="5">
        <f>'28-29'!H137</f>
        <v>0</v>
      </c>
    </row>
    <row r="138" spans="1:12" x14ac:dyDescent="0.25">
      <c r="A138" s="30" t="s">
        <v>134</v>
      </c>
      <c r="B138" s="5">
        <f>'24-25'!H138</f>
        <v>0</v>
      </c>
      <c r="C138" s="5">
        <f>'25-26'!H138</f>
        <v>0</v>
      </c>
      <c r="D138" s="5">
        <f>'26-27'!H138</f>
        <v>0</v>
      </c>
      <c r="E138" s="5">
        <f>'27-28'!H138</f>
        <v>0</v>
      </c>
      <c r="F138" s="5">
        <f>'28-29'!H138</f>
        <v>0</v>
      </c>
    </row>
    <row r="139" spans="1:12" x14ac:dyDescent="0.25">
      <c r="A139" s="30" t="s">
        <v>135</v>
      </c>
      <c r="B139" s="5">
        <f>'24-25'!H139</f>
        <v>20000</v>
      </c>
      <c r="C139" s="5">
        <f>'25-26'!H139</f>
        <v>20000</v>
      </c>
      <c r="D139" s="5">
        <f>'26-27'!H139</f>
        <v>20000</v>
      </c>
      <c r="E139" s="5">
        <f>'27-28'!H139</f>
        <v>20000</v>
      </c>
      <c r="F139" s="5">
        <f>'28-29'!H139</f>
        <v>20000</v>
      </c>
    </row>
    <row r="140" spans="1:12" x14ac:dyDescent="0.25">
      <c r="A140" s="30" t="s">
        <v>136</v>
      </c>
      <c r="B140" s="5">
        <f>'24-25'!H140</f>
        <v>44620</v>
      </c>
      <c r="C140" s="5">
        <f>'25-26'!H140</f>
        <v>57065</v>
      </c>
      <c r="D140" s="5">
        <f>'26-27'!H140</f>
        <v>43215</v>
      </c>
      <c r="E140" s="5">
        <f>'27-28'!H140</f>
        <v>50690</v>
      </c>
      <c r="F140" s="5">
        <f>'28-29'!H140</f>
        <v>56130</v>
      </c>
    </row>
    <row r="141" spans="1:12" x14ac:dyDescent="0.25">
      <c r="A141" s="74" t="s">
        <v>138</v>
      </c>
      <c r="B141" s="75">
        <f>SUM(B133:B140)</f>
        <v>3021956.0322400001</v>
      </c>
      <c r="C141" s="75">
        <f>SUM(C133:C140)</f>
        <v>3566498.5100000002</v>
      </c>
      <c r="D141" s="75">
        <f>SUM(D133:D140)</f>
        <v>4106498.9819249995</v>
      </c>
      <c r="E141" s="75">
        <f>SUM(E133:E140)</f>
        <v>4425598.2440579999</v>
      </c>
      <c r="F141" s="75">
        <f>SUM(F133:F140)</f>
        <v>4706783.3663665578</v>
      </c>
    </row>
    <row r="142" spans="1:12" x14ac:dyDescent="0.25">
      <c r="A142" s="71" t="s">
        <v>139</v>
      </c>
      <c r="B142" s="72">
        <f>B132+B141</f>
        <v>8804223.7122399993</v>
      </c>
      <c r="C142" s="72">
        <f>C132+C141</f>
        <v>10055932.51</v>
      </c>
      <c r="D142" s="72">
        <f>D132+D141</f>
        <v>11601009.091924999</v>
      </c>
      <c r="E142" s="72">
        <f>E132+E141</f>
        <v>12468931.405708</v>
      </c>
      <c r="F142" s="72">
        <f>F132+F141</f>
        <v>13228847.225441309</v>
      </c>
    </row>
    <row r="143" spans="1:12" x14ac:dyDescent="0.25">
      <c r="A143" s="76" t="s">
        <v>140</v>
      </c>
      <c r="B143" s="15" t="str">
        <f t="shared" ref="B143:C143" si="11">B1</f>
        <v>FY25 (24-25)</v>
      </c>
      <c r="C143" s="15" t="str">
        <f t="shared" si="11"/>
        <v>FY26 (25-26)</v>
      </c>
      <c r="D143" s="15" t="str">
        <f t="shared" ref="D143:F143" si="12">D1</f>
        <v>FY27 (26-27)</v>
      </c>
      <c r="E143" s="15" t="str">
        <f t="shared" si="12"/>
        <v>FY28 (27-28)</v>
      </c>
      <c r="F143" s="15" t="str">
        <f t="shared" si="12"/>
        <v>FY29 (28-29)</v>
      </c>
    </row>
    <row r="144" spans="1:12" x14ac:dyDescent="0.25">
      <c r="A144" s="77" t="s">
        <v>141</v>
      </c>
      <c r="B144" s="5">
        <f>'24-25'!H144</f>
        <v>215040</v>
      </c>
      <c r="C144" s="5">
        <f>'25-26'!H144</f>
        <v>285180</v>
      </c>
      <c r="D144" s="5">
        <f>'26-27'!H144</f>
        <v>326130</v>
      </c>
      <c r="E144" s="5">
        <f>'27-28'!H144</f>
        <v>352800</v>
      </c>
      <c r="F144" s="5">
        <f>'28-29'!H144</f>
        <v>370650</v>
      </c>
    </row>
    <row r="145" spans="1:6" x14ac:dyDescent="0.25">
      <c r="A145" s="78" t="s">
        <v>143</v>
      </c>
      <c r="B145" s="5">
        <f>'24-25'!H145</f>
        <v>0</v>
      </c>
      <c r="C145" s="5">
        <f>'25-26'!H145</f>
        <v>0</v>
      </c>
      <c r="D145" s="5">
        <f>'26-27'!H145</f>
        <v>0</v>
      </c>
      <c r="E145" s="5">
        <f>'27-28'!H145</f>
        <v>0</v>
      </c>
      <c r="F145" s="5">
        <f>'28-29'!H145</f>
        <v>0</v>
      </c>
    </row>
    <row r="146" spans="1:6" x14ac:dyDescent="0.25">
      <c r="A146" s="30" t="s">
        <v>144</v>
      </c>
      <c r="B146" s="5">
        <f>'24-25'!H146</f>
        <v>324644.76</v>
      </c>
      <c r="C146" s="5">
        <f>'25-26'!H146</f>
        <v>300000</v>
      </c>
      <c r="D146" s="5">
        <f>'26-27'!H146</f>
        <v>150000</v>
      </c>
      <c r="E146" s="5">
        <f>'27-28'!H146</f>
        <v>150000</v>
      </c>
      <c r="F146" s="5">
        <f>'28-29'!H146</f>
        <v>100000</v>
      </c>
    </row>
    <row r="147" spans="1:6" x14ac:dyDescent="0.25">
      <c r="A147" s="30" t="s">
        <v>145</v>
      </c>
      <c r="B147" s="5">
        <f>'24-25'!H147</f>
        <v>31800</v>
      </c>
      <c r="C147" s="5">
        <f>'25-26'!H147</f>
        <v>40740</v>
      </c>
      <c r="D147" s="5">
        <f>'26-27'!H147</f>
        <v>46590</v>
      </c>
      <c r="E147" s="5">
        <f>'27-28'!H147</f>
        <v>50400</v>
      </c>
      <c r="F147" s="5">
        <f>'28-29'!H147</f>
        <v>52950</v>
      </c>
    </row>
    <row r="148" spans="1:6" x14ac:dyDescent="0.25">
      <c r="A148" s="30" t="s">
        <v>147</v>
      </c>
      <c r="B148" s="5">
        <f>'24-25'!H148</f>
        <v>42400</v>
      </c>
      <c r="C148" s="5">
        <f>'25-26'!H148</f>
        <v>54320</v>
      </c>
      <c r="D148" s="5">
        <f>'26-27'!H148</f>
        <v>62120</v>
      </c>
      <c r="E148" s="5">
        <f>'27-28'!H148</f>
        <v>67200</v>
      </c>
      <c r="F148" s="5">
        <f>'28-29'!H148</f>
        <v>70600</v>
      </c>
    </row>
    <row r="149" spans="1:6" x14ac:dyDescent="0.25">
      <c r="A149" s="30" t="s">
        <v>149</v>
      </c>
      <c r="B149" s="5">
        <f>'24-25'!H149</f>
        <v>10600</v>
      </c>
      <c r="C149" s="5">
        <f>'25-26'!H149</f>
        <v>13580</v>
      </c>
      <c r="D149" s="5">
        <f>'26-27'!H149</f>
        <v>15530</v>
      </c>
      <c r="E149" s="5">
        <f>'27-28'!H149</f>
        <v>16800</v>
      </c>
      <c r="F149" s="5">
        <f>'28-29'!H149</f>
        <v>17650</v>
      </c>
    </row>
    <row r="150" spans="1:6" x14ac:dyDescent="0.25">
      <c r="A150" s="30" t="s">
        <v>151</v>
      </c>
      <c r="B150" s="5">
        <f>'24-25'!H150</f>
        <v>8480</v>
      </c>
      <c r="C150" s="5">
        <f>'25-26'!H150</f>
        <v>10864</v>
      </c>
      <c r="D150" s="5">
        <f>'26-27'!H150</f>
        <v>12424</v>
      </c>
      <c r="E150" s="5">
        <f>'27-28'!H150</f>
        <v>13440</v>
      </c>
      <c r="F150" s="5">
        <f>'28-29'!H150</f>
        <v>14120</v>
      </c>
    </row>
    <row r="151" spans="1:6" x14ac:dyDescent="0.25">
      <c r="A151" s="30" t="s">
        <v>153</v>
      </c>
      <c r="B151" s="5">
        <f>'24-25'!H151</f>
        <v>11550</v>
      </c>
      <c r="C151" s="5">
        <f>'25-26'!H151</f>
        <v>14797.075471698112</v>
      </c>
      <c r="D151" s="5">
        <f>'26-27'!H151</f>
        <v>16921.83962264151</v>
      </c>
      <c r="E151" s="5">
        <f>'27-28'!H151</f>
        <v>18305.66037735849</v>
      </c>
      <c r="F151" s="5">
        <f>'28-29'!H151</f>
        <v>19231.839622641506</v>
      </c>
    </row>
    <row r="152" spans="1:6" x14ac:dyDescent="0.25">
      <c r="A152" s="30" t="s">
        <v>155</v>
      </c>
      <c r="B152" s="5">
        <f>'24-25'!H152</f>
        <v>100000</v>
      </c>
      <c r="C152" s="5">
        <f>'25-26'!H152</f>
        <v>60000</v>
      </c>
      <c r="D152" s="5">
        <f>'26-27'!H152</f>
        <v>80000</v>
      </c>
      <c r="E152" s="5">
        <f>'27-28'!H152</f>
        <v>90000</v>
      </c>
      <c r="F152" s="5">
        <f>'28-29'!H152</f>
        <v>100000</v>
      </c>
    </row>
    <row r="153" spans="1:6" x14ac:dyDescent="0.25">
      <c r="A153" s="79" t="s">
        <v>156</v>
      </c>
      <c r="B153" s="5">
        <f>'24-25'!H153</f>
        <v>55000</v>
      </c>
      <c r="C153" s="5">
        <f>'25-26'!H153</f>
        <v>57036</v>
      </c>
      <c r="D153" s="5">
        <f>'26-27'!H153</f>
        <v>65226</v>
      </c>
      <c r="E153" s="5">
        <f>'27-28'!H153</f>
        <v>70560</v>
      </c>
      <c r="F153" s="5">
        <f>'28-29'!H153</f>
        <v>74130</v>
      </c>
    </row>
    <row r="154" spans="1:6" x14ac:dyDescent="0.25">
      <c r="A154" s="71" t="s">
        <v>158</v>
      </c>
      <c r="B154" s="72">
        <f>SUM(B144:B153)</f>
        <v>799514.76</v>
      </c>
      <c r="C154" s="72">
        <f>SUM(C144:C153)</f>
        <v>836517.07547169807</v>
      </c>
      <c r="D154" s="72">
        <f>SUM(D144:D153)</f>
        <v>774941.83962264156</v>
      </c>
      <c r="E154" s="72">
        <f>SUM(E144:E153)</f>
        <v>829505.66037735844</v>
      </c>
      <c r="F154" s="72">
        <f>SUM(F144:F153)</f>
        <v>819331.83962264145</v>
      </c>
    </row>
    <row r="155" spans="1:6" x14ac:dyDescent="0.25">
      <c r="A155" s="76" t="s">
        <v>159</v>
      </c>
      <c r="B155" s="15" t="str">
        <f t="shared" ref="B155:C155" si="13">B1</f>
        <v>FY25 (24-25)</v>
      </c>
      <c r="C155" s="15" t="str">
        <f t="shared" si="13"/>
        <v>FY26 (25-26)</v>
      </c>
      <c r="D155" s="15" t="str">
        <f t="shared" ref="D155:F155" si="14">D1</f>
        <v>FY27 (26-27)</v>
      </c>
      <c r="E155" s="15" t="str">
        <f t="shared" si="14"/>
        <v>FY28 (27-28)</v>
      </c>
      <c r="F155" s="15" t="str">
        <f t="shared" si="14"/>
        <v>FY29 (28-29)</v>
      </c>
    </row>
    <row r="156" spans="1:6" x14ac:dyDescent="0.25">
      <c r="A156" s="30" t="s">
        <v>160</v>
      </c>
      <c r="B156" s="5">
        <f>'24-25'!H156</f>
        <v>20000</v>
      </c>
      <c r="C156" s="5">
        <f>'25-26'!H156</f>
        <v>0</v>
      </c>
      <c r="D156" s="5">
        <f>'26-27'!H156</f>
        <v>0</v>
      </c>
      <c r="E156" s="5">
        <f>'27-28'!H156</f>
        <v>0</v>
      </c>
      <c r="F156" s="5">
        <f>'28-29'!H156</f>
        <v>0</v>
      </c>
    </row>
    <row r="157" spans="1:6" x14ac:dyDescent="0.25">
      <c r="A157" s="30" t="s">
        <v>161</v>
      </c>
      <c r="B157" s="5">
        <f>'24-25'!H157</f>
        <v>243800</v>
      </c>
      <c r="C157" s="5">
        <f>'25-26'!H157</f>
        <v>312340</v>
      </c>
      <c r="D157" s="5">
        <f>'26-27'!H157</f>
        <v>357190</v>
      </c>
      <c r="E157" s="5">
        <f>'27-28'!H157</f>
        <v>386400</v>
      </c>
      <c r="F157" s="5">
        <f>'28-29'!H157</f>
        <v>405950</v>
      </c>
    </row>
    <row r="158" spans="1:6" x14ac:dyDescent="0.25">
      <c r="A158" s="30" t="s">
        <v>163</v>
      </c>
      <c r="B158" s="5">
        <f>'24-25'!H158</f>
        <v>0</v>
      </c>
      <c r="C158" s="5">
        <f>'25-26'!H158</f>
        <v>0</v>
      </c>
      <c r="D158" s="5">
        <f>'26-27'!H158</f>
        <v>0</v>
      </c>
      <c r="E158" s="5">
        <f>'27-28'!H158</f>
        <v>0</v>
      </c>
      <c r="F158" s="5">
        <f>'28-29'!H158</f>
        <v>0</v>
      </c>
    </row>
    <row r="159" spans="1:6" x14ac:dyDescent="0.25">
      <c r="A159" s="30" t="s">
        <v>164</v>
      </c>
      <c r="B159" s="5">
        <f>'24-25'!H159</f>
        <v>0</v>
      </c>
      <c r="C159" s="5">
        <f>'25-26'!H159</f>
        <v>0</v>
      </c>
      <c r="D159" s="5">
        <f>'26-27'!H159</f>
        <v>0</v>
      </c>
      <c r="E159" s="5">
        <f>'27-28'!H159</f>
        <v>0</v>
      </c>
      <c r="F159" s="5">
        <f>'28-29'!H159</f>
        <v>0</v>
      </c>
    </row>
    <row r="160" spans="1:6" x14ac:dyDescent="0.25">
      <c r="A160" s="30" t="s">
        <v>165</v>
      </c>
      <c r="B160" s="5">
        <f>'24-25'!H160</f>
        <v>524700</v>
      </c>
      <c r="C160" s="5">
        <f>'25-26'!H160</f>
        <v>692376.3</v>
      </c>
      <c r="D160" s="5">
        <f>'26-27'!H160</f>
        <v>803674.00575000001</v>
      </c>
      <c r="E160" s="5">
        <f>'27-28'!H160</f>
        <v>882437.16330000001</v>
      </c>
      <c r="F160" s="5">
        <f>'28-29'!H160</f>
        <v>940990.54590646864</v>
      </c>
    </row>
    <row r="161" spans="1:6" x14ac:dyDescent="0.25">
      <c r="A161" s="30" t="s">
        <v>167</v>
      </c>
      <c r="B161" s="5">
        <f>'24-25'!H161</f>
        <v>25000</v>
      </c>
      <c r="C161" s="5">
        <f>'25-26'!H161</f>
        <v>31250</v>
      </c>
      <c r="D161" s="5">
        <f>'26-27'!H161</f>
        <v>35250</v>
      </c>
      <c r="E161" s="5">
        <f>'27-28'!H161</f>
        <v>36750</v>
      </c>
      <c r="F161" s="5">
        <f>'28-29'!H161</f>
        <v>37750</v>
      </c>
    </row>
    <row r="162" spans="1:6" x14ac:dyDescent="0.25">
      <c r="A162" s="30" t="s">
        <v>168</v>
      </c>
      <c r="B162" s="5">
        <f>'24-25'!H162</f>
        <v>100000</v>
      </c>
      <c r="C162" s="5">
        <f>'25-26'!H162</f>
        <v>105000</v>
      </c>
      <c r="D162" s="5">
        <f>'26-27'!H162</f>
        <v>110250</v>
      </c>
      <c r="E162" s="5">
        <f>'27-28'!H162</f>
        <v>115762.5</v>
      </c>
      <c r="F162" s="5">
        <f>'28-29'!H162</f>
        <v>121550.625</v>
      </c>
    </row>
    <row r="163" spans="1:6" x14ac:dyDescent="0.25">
      <c r="A163" s="30" t="s">
        <v>169</v>
      </c>
      <c r="B163" s="5">
        <f>'24-25'!H163</f>
        <v>50000</v>
      </c>
      <c r="C163" s="5">
        <f>'25-26'!H163</f>
        <v>10000</v>
      </c>
      <c r="D163" s="5">
        <f>'26-27'!H163</f>
        <v>10000</v>
      </c>
      <c r="E163" s="5">
        <f>'27-28'!H163</f>
        <v>10000</v>
      </c>
      <c r="F163" s="5">
        <f>'28-29'!H163</f>
        <v>10000</v>
      </c>
    </row>
    <row r="164" spans="1:6" x14ac:dyDescent="0.25">
      <c r="A164" s="30" t="s">
        <v>170</v>
      </c>
      <c r="B164" s="5">
        <f>'24-25'!H164</f>
        <v>51600</v>
      </c>
      <c r="C164" s="5">
        <f>'25-26'!H164</f>
        <v>65904</v>
      </c>
      <c r="D164" s="5">
        <f>'26-27'!H164</f>
        <v>75264</v>
      </c>
      <c r="E164" s="5">
        <f>'27-28'!H164</f>
        <v>81360</v>
      </c>
      <c r="F164" s="5">
        <f>'28-29'!H164</f>
        <v>85440</v>
      </c>
    </row>
    <row r="165" spans="1:6" x14ac:dyDescent="0.25">
      <c r="A165" s="30" t="s">
        <v>172</v>
      </c>
      <c r="B165" s="5">
        <f>'24-25'!H165</f>
        <v>27500</v>
      </c>
      <c r="C165" s="5">
        <f>'25-26'!H165</f>
        <v>27500</v>
      </c>
      <c r="D165" s="5">
        <f>'26-27'!H165</f>
        <v>27500</v>
      </c>
      <c r="E165" s="5">
        <f>'27-28'!H165</f>
        <v>27500</v>
      </c>
      <c r="F165" s="5">
        <f>'28-29'!H165</f>
        <v>27500</v>
      </c>
    </row>
    <row r="166" spans="1:6" x14ac:dyDescent="0.25">
      <c r="A166" s="30" t="s">
        <v>173</v>
      </c>
      <c r="B166" s="5">
        <f>'24-25'!H166</f>
        <v>143510.47500000001</v>
      </c>
      <c r="C166" s="5">
        <f>'25-26'!H166</f>
        <v>184818.1795</v>
      </c>
      <c r="D166" s="5">
        <f>'26-27'!H166</f>
        <v>212723.99204874999</v>
      </c>
      <c r="E166" s="5">
        <f>'27-28'!H166</f>
        <v>232895.45518449997</v>
      </c>
      <c r="F166" s="5">
        <f>'28-29'!H166</f>
        <v>248262.50364049227</v>
      </c>
    </row>
    <row r="167" spans="1:6" x14ac:dyDescent="0.25">
      <c r="A167" s="30" t="s">
        <v>174</v>
      </c>
      <c r="B167" s="5">
        <f>'24-25'!H167</f>
        <v>49894.200000000004</v>
      </c>
      <c r="C167" s="5">
        <f>'25-26'!H167</f>
        <v>65838.691800000001</v>
      </c>
      <c r="D167" s="5">
        <f>'26-27'!H167</f>
        <v>76422.091819499998</v>
      </c>
      <c r="E167" s="5">
        <f>'27-28'!H167</f>
        <v>83911.752073799988</v>
      </c>
      <c r="F167" s="5">
        <f>'28-29'!H167</f>
        <v>89479.646456196904</v>
      </c>
    </row>
    <row r="168" spans="1:6" x14ac:dyDescent="0.25">
      <c r="A168" s="30" t="s">
        <v>176</v>
      </c>
      <c r="B168" s="5">
        <f>'24-25'!H168</f>
        <v>49894.200000000004</v>
      </c>
      <c r="C168" s="5">
        <f>'25-26'!H168</f>
        <v>65838.691800000001</v>
      </c>
      <c r="D168" s="5">
        <f>'26-27'!H168</f>
        <v>76422.091819499998</v>
      </c>
      <c r="E168" s="5">
        <f>'27-28'!H168</f>
        <v>83911.752073799988</v>
      </c>
      <c r="F168" s="5">
        <f>'28-29'!H168</f>
        <v>89479.646456196904</v>
      </c>
    </row>
    <row r="169" spans="1:6" x14ac:dyDescent="0.25">
      <c r="A169" s="79" t="s">
        <v>177</v>
      </c>
      <c r="B169" s="5">
        <f>'24-25'!H169</f>
        <v>31752.33</v>
      </c>
      <c r="C169" s="5">
        <f>'25-26'!H169</f>
        <v>44196.82</v>
      </c>
      <c r="D169" s="5">
        <f>'26-27'!H169</f>
        <v>44196.82</v>
      </c>
      <c r="E169" s="5">
        <f>'27-28'!H169</f>
        <v>44196.82</v>
      </c>
      <c r="F169" s="5">
        <f>'28-29'!H169</f>
        <v>44196.82</v>
      </c>
    </row>
    <row r="170" spans="1:6" x14ac:dyDescent="0.25">
      <c r="A170" s="71" t="s">
        <v>178</v>
      </c>
      <c r="B170" s="72">
        <f>SUM(B156:B169)</f>
        <v>1317651.2050000001</v>
      </c>
      <c r="C170" s="72">
        <f>SUM(C156:C169)</f>
        <v>1605062.6831</v>
      </c>
      <c r="D170" s="72">
        <f>SUM(D156:D169)</f>
        <v>1828893.0014377502</v>
      </c>
      <c r="E170" s="72">
        <f>SUM(E156:E169)</f>
        <v>1985125.4426321001</v>
      </c>
      <c r="F170" s="72">
        <f>SUM(F156:F169)</f>
        <v>2100599.7874593548</v>
      </c>
    </row>
    <row r="171" spans="1:6" x14ac:dyDescent="0.25">
      <c r="A171" s="76" t="s">
        <v>179</v>
      </c>
      <c r="B171" s="15" t="str">
        <f t="shared" ref="B171:C171" si="15">B1</f>
        <v>FY25 (24-25)</v>
      </c>
      <c r="C171" s="15" t="str">
        <f t="shared" si="15"/>
        <v>FY26 (25-26)</v>
      </c>
      <c r="D171" s="15" t="str">
        <f t="shared" ref="D171:F171" si="16">D1</f>
        <v>FY27 (26-27)</v>
      </c>
      <c r="E171" s="15" t="str">
        <f t="shared" si="16"/>
        <v>FY28 (27-28)</v>
      </c>
      <c r="F171" s="15" t="str">
        <f t="shared" si="16"/>
        <v>FY29 (28-29)</v>
      </c>
    </row>
    <row r="172" spans="1:6" x14ac:dyDescent="0.25">
      <c r="A172" s="81" t="s">
        <v>180</v>
      </c>
      <c r="B172" s="5">
        <f>'24-25'!H172</f>
        <v>4600</v>
      </c>
      <c r="C172" s="5">
        <f>'25-26'!H172</f>
        <v>4830</v>
      </c>
      <c r="D172" s="5">
        <f>'26-27'!H172</f>
        <v>5071.5</v>
      </c>
      <c r="E172" s="5">
        <f>'27-28'!H172</f>
        <v>5325.0749999999998</v>
      </c>
      <c r="F172" s="5">
        <f>'28-29'!H172</f>
        <v>5591.3287499999997</v>
      </c>
    </row>
    <row r="173" spans="1:6" x14ac:dyDescent="0.25">
      <c r="A173" s="30" t="s">
        <v>182</v>
      </c>
      <c r="B173" s="5">
        <f>'24-25'!H173</f>
        <v>6040</v>
      </c>
      <c r="C173" s="5">
        <f>'25-26'!H173</f>
        <v>6342</v>
      </c>
      <c r="D173" s="5">
        <f>'26-27'!H173</f>
        <v>6659.1</v>
      </c>
      <c r="E173" s="5">
        <f>'27-28'!H173</f>
        <v>6992.0550000000003</v>
      </c>
      <c r="F173" s="5">
        <f>'28-29'!H173</f>
        <v>7341.6577500000003</v>
      </c>
    </row>
    <row r="174" spans="1:6" x14ac:dyDescent="0.25">
      <c r="A174" s="30" t="s">
        <v>183</v>
      </c>
      <c r="B174" s="5">
        <f>'24-25'!H174</f>
        <v>0</v>
      </c>
      <c r="C174" s="5">
        <f>'25-26'!H174</f>
        <v>0</v>
      </c>
      <c r="D174" s="5">
        <f>'26-27'!H174</f>
        <v>0</v>
      </c>
      <c r="E174" s="5">
        <f>'27-28'!H174</f>
        <v>0</v>
      </c>
      <c r="F174" s="5">
        <f>'28-29'!H174</f>
        <v>0</v>
      </c>
    </row>
    <row r="175" spans="1:6" x14ac:dyDescent="0.25">
      <c r="A175" s="30" t="s">
        <v>184</v>
      </c>
      <c r="B175" s="5">
        <f>'24-25'!H175</f>
        <v>1400</v>
      </c>
      <c r="C175" s="5">
        <f>'25-26'!H175</f>
        <v>1400</v>
      </c>
      <c r="D175" s="5">
        <f>'26-27'!H175</f>
        <v>1400</v>
      </c>
      <c r="E175" s="5">
        <f>'27-28'!H175</f>
        <v>1400</v>
      </c>
      <c r="F175" s="5">
        <f>'28-29'!H175</f>
        <v>1400</v>
      </c>
    </row>
    <row r="176" spans="1:6" x14ac:dyDescent="0.25">
      <c r="A176" s="30" t="s">
        <v>185</v>
      </c>
      <c r="B176" s="5">
        <f>'24-25'!H176</f>
        <v>5500</v>
      </c>
      <c r="C176" s="5">
        <f>'25-26'!H176</f>
        <v>5775</v>
      </c>
      <c r="D176" s="5">
        <f>'26-27'!H176</f>
        <v>6063.75</v>
      </c>
      <c r="E176" s="5">
        <f>'27-28'!H176</f>
        <v>6366.9375</v>
      </c>
      <c r="F176" s="5">
        <f>'28-29'!H176</f>
        <v>6685.2843750000002</v>
      </c>
    </row>
    <row r="177" spans="1:6" x14ac:dyDescent="0.25">
      <c r="A177" s="30" t="s">
        <v>186</v>
      </c>
      <c r="B177" s="5">
        <f>'24-25'!H177</f>
        <v>45000</v>
      </c>
      <c r="C177" s="5">
        <f>'25-26'!H177</f>
        <v>60000</v>
      </c>
      <c r="D177" s="5">
        <f>'26-27'!H177</f>
        <v>63000</v>
      </c>
      <c r="E177" s="5">
        <f>'27-28'!H177</f>
        <v>66150</v>
      </c>
      <c r="F177" s="5">
        <f>'28-29'!H177</f>
        <v>90000</v>
      </c>
    </row>
    <row r="178" spans="1:6" x14ac:dyDescent="0.25">
      <c r="A178" s="30" t="s">
        <v>187</v>
      </c>
      <c r="B178" s="5">
        <f>'24-25'!H178</f>
        <v>11150</v>
      </c>
      <c r="C178" s="5">
        <f>'25-26'!H178</f>
        <v>11895</v>
      </c>
      <c r="D178" s="5">
        <f>'26-27'!H178</f>
        <v>12382.5</v>
      </c>
      <c r="E178" s="5">
        <f>'27-28'!H178</f>
        <v>12700</v>
      </c>
      <c r="F178" s="5">
        <f>'28-29'!H178</f>
        <v>12912.5</v>
      </c>
    </row>
    <row r="179" spans="1:6" x14ac:dyDescent="0.25">
      <c r="A179" s="30" t="s">
        <v>188</v>
      </c>
      <c r="B179" s="5">
        <f>'24-25'!H179</f>
        <v>20739.2</v>
      </c>
      <c r="C179" s="5">
        <f>'25-26'!H179</f>
        <v>22813.120000000003</v>
      </c>
      <c r="D179" s="5">
        <f>'26-27'!H179</f>
        <v>25094.432000000004</v>
      </c>
      <c r="E179" s="5">
        <f>'27-28'!H179</f>
        <v>27603.875200000006</v>
      </c>
      <c r="F179" s="5">
        <f>'28-29'!H179</f>
        <v>30364.26272000001</v>
      </c>
    </row>
    <row r="180" spans="1:6" x14ac:dyDescent="0.25">
      <c r="A180" s="30" t="s">
        <v>189</v>
      </c>
      <c r="B180" s="5">
        <f>'24-25'!H180</f>
        <v>18146.8</v>
      </c>
      <c r="C180" s="5">
        <f>'25-26'!H180</f>
        <v>19961.48</v>
      </c>
      <c r="D180" s="5">
        <f>'26-27'!H180</f>
        <v>21957.628000000001</v>
      </c>
      <c r="E180" s="5">
        <f>'27-28'!H180</f>
        <v>24153.390800000001</v>
      </c>
      <c r="F180" s="5">
        <f>'28-29'!H180</f>
        <v>26568.729880000003</v>
      </c>
    </row>
    <row r="181" spans="1:6" x14ac:dyDescent="0.25">
      <c r="A181" s="30" t="s">
        <v>190</v>
      </c>
      <c r="B181" s="5">
        <f>'24-25'!H181</f>
        <v>25924</v>
      </c>
      <c r="C181" s="5">
        <f>'25-26'!H181</f>
        <v>28516.400000000001</v>
      </c>
      <c r="D181" s="5">
        <f>'26-27'!H181</f>
        <v>31368.040000000005</v>
      </c>
      <c r="E181" s="5">
        <f>'27-28'!H181</f>
        <v>34504.844000000005</v>
      </c>
      <c r="F181" s="5">
        <f>'28-29'!H181</f>
        <v>37955.328400000006</v>
      </c>
    </row>
    <row r="182" spans="1:6" x14ac:dyDescent="0.25">
      <c r="A182" s="30" t="s">
        <v>191</v>
      </c>
      <c r="B182" s="5">
        <f>'24-25'!H182</f>
        <v>228960</v>
      </c>
      <c r="C182" s="5">
        <f>'25-26'!H182</f>
        <v>293328</v>
      </c>
      <c r="D182" s="5">
        <f>'26-27'!H182</f>
        <v>335448</v>
      </c>
      <c r="E182" s="5">
        <f>'27-28'!H182</f>
        <v>362880</v>
      </c>
      <c r="F182" s="5">
        <f>'28-29'!H182</f>
        <v>381240</v>
      </c>
    </row>
    <row r="183" spans="1:6" x14ac:dyDescent="0.25">
      <c r="A183" s="30" t="s">
        <v>192</v>
      </c>
      <c r="B183" s="5">
        <f>'24-25'!H183</f>
        <v>373014.00000000006</v>
      </c>
      <c r="C183" s="5">
        <f>'25-26'!H183</f>
        <v>477880.19999999995</v>
      </c>
      <c r="D183" s="5">
        <f>'26-27'!H183</f>
        <v>546500.70000000007</v>
      </c>
      <c r="E183" s="5">
        <f>'27-28'!H183</f>
        <v>591192</v>
      </c>
      <c r="F183" s="5">
        <f>'28-29'!H183</f>
        <v>621103.5</v>
      </c>
    </row>
    <row r="184" spans="1:6" x14ac:dyDescent="0.25">
      <c r="A184" s="30" t="s">
        <v>193</v>
      </c>
      <c r="B184" s="5">
        <f>'24-25'!H184</f>
        <v>15000</v>
      </c>
      <c r="C184" s="5">
        <f>'25-26'!H184</f>
        <v>15000</v>
      </c>
      <c r="D184" s="5">
        <f>'26-27'!H184</f>
        <v>15000</v>
      </c>
      <c r="E184" s="5">
        <f>'27-28'!H184</f>
        <v>15000</v>
      </c>
      <c r="F184" s="5">
        <f>'28-29'!H184</f>
        <v>15000</v>
      </c>
    </row>
    <row r="185" spans="1:6" x14ac:dyDescent="0.25">
      <c r="A185" s="30" t="s">
        <v>194</v>
      </c>
      <c r="B185" s="5">
        <f>'24-25'!H185</f>
        <v>7500</v>
      </c>
      <c r="C185" s="5">
        <f>'25-26'!H185</f>
        <v>38124.400000000001</v>
      </c>
      <c r="D185" s="5">
        <f>'26-27'!H185</f>
        <v>38124.400000000001</v>
      </c>
      <c r="E185" s="5">
        <f>'27-28'!H185</f>
        <v>38124.400000000001</v>
      </c>
      <c r="F185" s="5">
        <f>'28-29'!H185</f>
        <v>38124.400000000001</v>
      </c>
    </row>
    <row r="186" spans="1:6" x14ac:dyDescent="0.25">
      <c r="A186" s="30" t="s">
        <v>195</v>
      </c>
      <c r="B186" s="5">
        <f>'24-25'!H186</f>
        <v>4125</v>
      </c>
      <c r="C186" s="5">
        <f>'25-26'!H186</f>
        <v>4125</v>
      </c>
      <c r="D186" s="5">
        <f>'26-27'!H186</f>
        <v>4125</v>
      </c>
      <c r="E186" s="5">
        <f>'27-28'!H186</f>
        <v>4125</v>
      </c>
      <c r="F186" s="5">
        <f>'28-29'!H186</f>
        <v>4125</v>
      </c>
    </row>
    <row r="187" spans="1:6" x14ac:dyDescent="0.25">
      <c r="A187" s="30" t="s">
        <v>196</v>
      </c>
      <c r="B187" s="5">
        <f>'24-25'!H187</f>
        <v>15000</v>
      </c>
      <c r="C187" s="5">
        <f>'25-26'!H187</f>
        <v>20790</v>
      </c>
      <c r="D187" s="5">
        <f>'26-27'!H187</f>
        <v>21765</v>
      </c>
      <c r="E187" s="5">
        <f>'27-28'!H187</f>
        <v>22400</v>
      </c>
      <c r="F187" s="5">
        <f>'28-29'!H187</f>
        <v>22825</v>
      </c>
    </row>
    <row r="188" spans="1:6" x14ac:dyDescent="0.25">
      <c r="A188" s="30" t="s">
        <v>198</v>
      </c>
      <c r="B188" s="5">
        <f>'24-25'!H188</f>
        <v>0</v>
      </c>
      <c r="C188" s="5">
        <f>'25-26'!H188</f>
        <v>0</v>
      </c>
      <c r="D188" s="5">
        <f>'26-27'!H188</f>
        <v>0</v>
      </c>
      <c r="E188" s="5">
        <f>'27-28'!H188</f>
        <v>0</v>
      </c>
      <c r="F188" s="5">
        <f>'28-29'!H188</f>
        <v>0</v>
      </c>
    </row>
    <row r="189" spans="1:6" x14ac:dyDescent="0.25">
      <c r="A189" s="30" t="s">
        <v>199</v>
      </c>
      <c r="B189" s="5">
        <f>'24-25'!H189</f>
        <v>0</v>
      </c>
      <c r="C189" s="5">
        <f>'25-26'!H189</f>
        <v>0</v>
      </c>
      <c r="D189" s="5">
        <f>'26-27'!H189</f>
        <v>30000</v>
      </c>
      <c r="E189" s="5">
        <f>'27-28'!H189</f>
        <v>35000</v>
      </c>
      <c r="F189" s="5">
        <f>'28-29'!H189</f>
        <v>40000</v>
      </c>
    </row>
    <row r="190" spans="1:6" x14ac:dyDescent="0.25">
      <c r="A190" s="30" t="s">
        <v>200</v>
      </c>
      <c r="B190" s="5">
        <f>'24-25'!H190</f>
        <v>24000</v>
      </c>
      <c r="C190" s="5">
        <f>'25-26'!H190</f>
        <v>4000</v>
      </c>
      <c r="D190" s="5">
        <f>'26-27'!H190</f>
        <v>0</v>
      </c>
      <c r="E190" s="5">
        <f>'27-28'!H190</f>
        <v>0</v>
      </c>
      <c r="F190" s="5">
        <f>'28-29'!H190</f>
        <v>0</v>
      </c>
    </row>
    <row r="191" spans="1:6" x14ac:dyDescent="0.25">
      <c r="A191" s="30" t="s">
        <v>202</v>
      </c>
      <c r="B191" s="5">
        <f>'24-25'!H191</f>
        <v>192750</v>
      </c>
      <c r="C191" s="5">
        <f>'25-26'!H191</f>
        <v>285000</v>
      </c>
      <c r="D191" s="5">
        <f>'26-27'!H191</f>
        <v>265000</v>
      </c>
      <c r="E191" s="5">
        <f>'27-28'!H191</f>
        <v>290000</v>
      </c>
      <c r="F191" s="5">
        <f>'28-29'!H191</f>
        <v>255000</v>
      </c>
    </row>
    <row r="192" spans="1:6" x14ac:dyDescent="0.25">
      <c r="A192" s="30" t="s">
        <v>203</v>
      </c>
      <c r="B192" s="5">
        <f>'24-25'!H192</f>
        <v>0</v>
      </c>
      <c r="C192" s="5">
        <f>'25-26'!H192</f>
        <v>0</v>
      </c>
      <c r="D192" s="5">
        <f>'26-27'!H192</f>
        <v>0</v>
      </c>
      <c r="E192" s="5">
        <f>'27-28'!H192</f>
        <v>0</v>
      </c>
      <c r="F192" s="5">
        <f>'28-29'!H192</f>
        <v>0</v>
      </c>
    </row>
    <row r="193" spans="1:12" x14ac:dyDescent="0.25">
      <c r="A193" s="30" t="s">
        <v>204</v>
      </c>
      <c r="B193" s="5">
        <f>'24-25'!H193</f>
        <v>0</v>
      </c>
      <c r="C193" s="5">
        <f>'25-26'!H193</f>
        <v>0</v>
      </c>
      <c r="D193" s="5">
        <f>'26-27'!H193</f>
        <v>0</v>
      </c>
      <c r="E193" s="5">
        <f>'27-28'!H193</f>
        <v>0</v>
      </c>
      <c r="F193" s="5">
        <f>'28-29'!H193</f>
        <v>0</v>
      </c>
    </row>
    <row r="194" spans="1:12" x14ac:dyDescent="0.25">
      <c r="A194" s="30" t="s">
        <v>205</v>
      </c>
      <c r="B194" s="5">
        <f>'24-25'!H194</f>
        <v>200000</v>
      </c>
      <c r="C194" s="5">
        <f>'25-26'!H194</f>
        <v>256200</v>
      </c>
      <c r="D194" s="5">
        <f>'26-27'!H194</f>
        <v>293000</v>
      </c>
      <c r="E194" s="5">
        <f>'27-28'!H194</f>
        <v>317000</v>
      </c>
      <c r="F194" s="5">
        <f>'28-29'!H194</f>
        <v>333000</v>
      </c>
    </row>
    <row r="195" spans="1:12" x14ac:dyDescent="0.25">
      <c r="A195" s="30" t="s">
        <v>206</v>
      </c>
      <c r="B195" s="5">
        <f>'24-25'!H195</f>
        <v>5000</v>
      </c>
      <c r="C195" s="5">
        <f>'25-26'!H195</f>
        <v>5000</v>
      </c>
      <c r="D195" s="5">
        <f>'26-27'!H195</f>
        <v>5000</v>
      </c>
      <c r="E195" s="5">
        <f>'27-28'!H195</f>
        <v>5000</v>
      </c>
      <c r="F195" s="5">
        <f>'28-29'!H195</f>
        <v>5000</v>
      </c>
    </row>
    <row r="196" spans="1:12" x14ac:dyDescent="0.25">
      <c r="A196" s="79" t="s">
        <v>207</v>
      </c>
      <c r="B196" s="5">
        <f>'24-25'!H196</f>
        <v>199576.80000000002</v>
      </c>
      <c r="C196" s="5">
        <f>'25-26'!H196</f>
        <v>263354.7672</v>
      </c>
      <c r="D196" s="5">
        <f>'26-27'!H196</f>
        <v>305688.36727799999</v>
      </c>
      <c r="E196" s="5">
        <f>'27-28'!H196</f>
        <v>335647.00829519995</v>
      </c>
      <c r="F196" s="5">
        <f>'28-29'!H196</f>
        <v>357918.58582478762</v>
      </c>
      <c r="H196" s="158">
        <f>B196/B74</f>
        <v>0.02</v>
      </c>
      <c r="I196" s="158">
        <f t="shared" ref="I196:L196" si="17">C196/C74</f>
        <v>0.02</v>
      </c>
      <c r="J196" s="158">
        <f t="shared" si="17"/>
        <v>0.02</v>
      </c>
      <c r="K196" s="158">
        <f t="shared" si="17"/>
        <v>0.02</v>
      </c>
      <c r="L196" s="158">
        <f t="shared" si="17"/>
        <v>0.02</v>
      </c>
    </row>
    <row r="197" spans="1:12" x14ac:dyDescent="0.25">
      <c r="A197" s="71" t="s">
        <v>209</v>
      </c>
      <c r="B197" s="72">
        <f>SUM(B172:B196)</f>
        <v>1403425.8</v>
      </c>
      <c r="C197" s="72">
        <f>SUM(C172:C196)</f>
        <v>1824335.3672000002</v>
      </c>
      <c r="D197" s="72">
        <f>SUM(D172:D196)</f>
        <v>2032648.4172780002</v>
      </c>
      <c r="E197" s="72">
        <f>SUM(E172:E196)</f>
        <v>2201564.5857952</v>
      </c>
      <c r="F197" s="72">
        <f>SUM(F172:F196)</f>
        <v>2292155.5776997874</v>
      </c>
    </row>
    <row r="198" spans="1:12" x14ac:dyDescent="0.25">
      <c r="A198" s="76" t="s">
        <v>210</v>
      </c>
      <c r="B198" s="15" t="str">
        <f t="shared" ref="B198:C198" si="18">B1</f>
        <v>FY25 (24-25)</v>
      </c>
      <c r="C198" s="15" t="str">
        <f t="shared" si="18"/>
        <v>FY26 (25-26)</v>
      </c>
      <c r="D198" s="15" t="str">
        <f t="shared" ref="D198:F198" si="19">D1</f>
        <v>FY27 (26-27)</v>
      </c>
      <c r="E198" s="15" t="str">
        <f t="shared" si="19"/>
        <v>FY28 (27-28)</v>
      </c>
      <c r="F198" s="15" t="str">
        <f t="shared" si="19"/>
        <v>FY29 (28-29)</v>
      </c>
    </row>
    <row r="199" spans="1:12" x14ac:dyDescent="0.25">
      <c r="A199" s="81" t="s">
        <v>211</v>
      </c>
      <c r="B199" s="5">
        <f>'24-25'!H199</f>
        <v>100000</v>
      </c>
      <c r="C199" s="5">
        <f>'25-26'!H199</f>
        <v>130000</v>
      </c>
      <c r="D199" s="5">
        <f>'26-27'!H199</f>
        <v>143000</v>
      </c>
      <c r="E199" s="5">
        <f>'27-28'!H199</f>
        <v>157300</v>
      </c>
      <c r="F199" s="5">
        <f>'28-29'!H199</f>
        <v>196625</v>
      </c>
    </row>
    <row r="200" spans="1:12" x14ac:dyDescent="0.25">
      <c r="A200" s="30" t="s">
        <v>212</v>
      </c>
      <c r="B200" s="5">
        <f>'24-25'!H200</f>
        <v>0</v>
      </c>
      <c r="C200" s="5">
        <f>'25-26'!H200</f>
        <v>0</v>
      </c>
      <c r="D200" s="5">
        <f>'26-27'!H200</f>
        <v>0</v>
      </c>
      <c r="E200" s="5">
        <f>'27-28'!H200</f>
        <v>0</v>
      </c>
      <c r="F200" s="5">
        <f>'28-29'!H200</f>
        <v>0</v>
      </c>
    </row>
    <row r="201" spans="1:12" x14ac:dyDescent="0.25">
      <c r="A201" s="30" t="s">
        <v>213</v>
      </c>
      <c r="B201" s="5">
        <f>'24-25'!H201</f>
        <v>60000</v>
      </c>
      <c r="C201" s="5">
        <f>'25-26'!H201</f>
        <v>78000</v>
      </c>
      <c r="D201" s="5">
        <f>'26-27'!H201</f>
        <v>85800</v>
      </c>
      <c r="E201" s="5">
        <f>'27-28'!H201</f>
        <v>94380.000000000015</v>
      </c>
      <c r="F201" s="5">
        <f>'28-29'!H201</f>
        <v>117975.00000000001</v>
      </c>
    </row>
    <row r="202" spans="1:12" x14ac:dyDescent="0.25">
      <c r="A202" s="30" t="s">
        <v>214</v>
      </c>
      <c r="B202" s="5">
        <f>'24-25'!H202</f>
        <v>10000</v>
      </c>
      <c r="C202" s="5">
        <f>'25-26'!H202</f>
        <v>13000</v>
      </c>
      <c r="D202" s="5">
        <f>'26-27'!H202</f>
        <v>14300.000000000002</v>
      </c>
      <c r="E202" s="5">
        <f>'27-28'!H202</f>
        <v>15730.000000000004</v>
      </c>
      <c r="F202" s="5">
        <f>'28-29'!H202</f>
        <v>19662.500000000004</v>
      </c>
    </row>
    <row r="203" spans="1:12" x14ac:dyDescent="0.25">
      <c r="A203" s="30" t="s">
        <v>215</v>
      </c>
      <c r="B203" s="5">
        <f>'24-25'!H203</f>
        <v>9000</v>
      </c>
      <c r="C203" s="5">
        <f>'25-26'!H203</f>
        <v>9000</v>
      </c>
      <c r="D203" s="5">
        <f>'26-27'!H203</f>
        <v>9000</v>
      </c>
      <c r="E203" s="5">
        <f>'27-28'!H203</f>
        <v>9000</v>
      </c>
      <c r="F203" s="5">
        <f>'28-29'!H203</f>
        <v>9000</v>
      </c>
    </row>
    <row r="204" spans="1:12" x14ac:dyDescent="0.25">
      <c r="A204" s="30" t="s">
        <v>216</v>
      </c>
      <c r="B204" s="5">
        <f>'24-25'!H204</f>
        <v>76220.78</v>
      </c>
      <c r="C204" s="5">
        <f>'25-26'!H204</f>
        <v>124215</v>
      </c>
      <c r="D204" s="5">
        <f>'26-27'!H204</f>
        <v>136636.5</v>
      </c>
      <c r="E204" s="5">
        <f>'27-28'!H204</f>
        <v>150300.15000000002</v>
      </c>
      <c r="F204" s="5">
        <f>'28-29'!H204</f>
        <v>187875.18750000003</v>
      </c>
    </row>
    <row r="205" spans="1:12" x14ac:dyDescent="0.25">
      <c r="A205" s="30" t="s">
        <v>218</v>
      </c>
      <c r="B205" s="5">
        <f>'24-25'!H205</f>
        <v>70000</v>
      </c>
      <c r="C205" s="5">
        <f>'25-26'!H205</f>
        <v>100000</v>
      </c>
      <c r="D205" s="5">
        <f>'26-27'!H205</f>
        <v>125000</v>
      </c>
      <c r="E205" s="5">
        <f>'27-28'!H205</f>
        <v>150000</v>
      </c>
      <c r="F205" s="5">
        <f>'28-29'!H205</f>
        <v>155000</v>
      </c>
    </row>
    <row r="206" spans="1:12" x14ac:dyDescent="0.25">
      <c r="A206" s="30" t="s">
        <v>219</v>
      </c>
      <c r="B206" s="5">
        <f>'24-25'!H206</f>
        <v>0</v>
      </c>
      <c r="C206" s="5">
        <f>'25-26'!H206</f>
        <v>0</v>
      </c>
      <c r="D206" s="5">
        <f>'26-27'!H206</f>
        <v>0</v>
      </c>
      <c r="E206" s="5">
        <f>'27-28'!H206</f>
        <v>0</v>
      </c>
      <c r="F206" s="5">
        <f>'28-29'!H206</f>
        <v>0</v>
      </c>
    </row>
    <row r="207" spans="1:12" x14ac:dyDescent="0.25">
      <c r="A207" s="30" t="s">
        <v>220</v>
      </c>
      <c r="B207" s="5">
        <f>'24-25'!H207</f>
        <v>12500</v>
      </c>
      <c r="C207" s="5">
        <f>'25-26'!H207</f>
        <v>13125</v>
      </c>
      <c r="D207" s="5">
        <f>'26-27'!H207</f>
        <v>13781.25</v>
      </c>
      <c r="E207" s="5">
        <f>'27-28'!H207</f>
        <v>14470.3125</v>
      </c>
      <c r="F207" s="5">
        <f>'28-29'!H207</f>
        <v>15193.828125</v>
      </c>
    </row>
    <row r="208" spans="1:12" x14ac:dyDescent="0.25">
      <c r="A208" s="79" t="s">
        <v>221</v>
      </c>
      <c r="B208" s="5">
        <f>'24-25'!H208</f>
        <v>15000</v>
      </c>
      <c r="C208" s="5">
        <f>'25-26'!H208</f>
        <v>25000</v>
      </c>
      <c r="D208" s="5">
        <f>'26-27'!H208</f>
        <v>27500.000000000004</v>
      </c>
      <c r="E208" s="5">
        <f>'27-28'!H208</f>
        <v>30250.000000000007</v>
      </c>
      <c r="F208" s="5">
        <f>'28-29'!H208</f>
        <v>50000</v>
      </c>
    </row>
    <row r="209" spans="1:6" x14ac:dyDescent="0.25">
      <c r="A209" s="71" t="s">
        <v>222</v>
      </c>
      <c r="B209" s="72">
        <f t="shared" ref="B209:C209" si="20">SUM(B199:B208)</f>
        <v>352720.78</v>
      </c>
      <c r="C209" s="72">
        <f t="shared" si="20"/>
        <v>492340</v>
      </c>
      <c r="D209" s="72">
        <f t="shared" ref="D209:F209" si="21">SUM(D199:D208)</f>
        <v>555017.75</v>
      </c>
      <c r="E209" s="72">
        <f t="shared" si="21"/>
        <v>621430.46250000002</v>
      </c>
      <c r="F209" s="72">
        <f t="shared" si="21"/>
        <v>751331.515625</v>
      </c>
    </row>
    <row r="210" spans="1:6" x14ac:dyDescent="0.25">
      <c r="A210" s="86"/>
      <c r="B210" s="5"/>
      <c r="C210" s="5"/>
      <c r="D210" s="5"/>
      <c r="E210" s="5"/>
      <c r="F210" s="5"/>
    </row>
    <row r="211" spans="1:6" x14ac:dyDescent="0.25">
      <c r="A211" s="71" t="s">
        <v>223</v>
      </c>
      <c r="B211" s="72">
        <f>B142+B154+B170+B197+B209</f>
        <v>12677536.257239999</v>
      </c>
      <c r="C211" s="72">
        <f>C142+C154+C170+C197+C209</f>
        <v>14814187.635771697</v>
      </c>
      <c r="D211" s="72">
        <f>D142+D154+D170+D197+D209</f>
        <v>16792510.100263391</v>
      </c>
      <c r="E211" s="72">
        <f>E142+E154+E170+E197+E209</f>
        <v>18106557.557012659</v>
      </c>
      <c r="F211" s="72">
        <f>F142+F154+F170+F197+F209</f>
        <v>19192265.945848092</v>
      </c>
    </row>
    <row r="212" spans="1:6" x14ac:dyDescent="0.25">
      <c r="A212" s="87"/>
      <c r="B212" s="52"/>
      <c r="C212" s="52"/>
      <c r="D212" s="52"/>
      <c r="E212" s="52"/>
      <c r="F212" s="52"/>
    </row>
    <row r="213" spans="1:6" x14ac:dyDescent="0.25">
      <c r="A213" s="43" t="s">
        <v>224</v>
      </c>
      <c r="B213" s="9">
        <f>'24-25'!H213</f>
        <v>1599659</v>
      </c>
      <c r="C213" s="9">
        <f>'25-26'!H213</f>
        <v>2546902</v>
      </c>
      <c r="D213" s="9">
        <f>'26-27'!H213</f>
        <v>2855332</v>
      </c>
      <c r="E213" s="9">
        <f>'27-28'!H213</f>
        <v>2898162</v>
      </c>
      <c r="F213" s="9">
        <f>'28-29'!H213</f>
        <v>3562784</v>
      </c>
    </row>
    <row r="214" spans="1:6" x14ac:dyDescent="0.25">
      <c r="A214" s="43" t="s">
        <v>225</v>
      </c>
      <c r="B214" s="9">
        <f>'24-25'!H214</f>
        <v>0</v>
      </c>
      <c r="C214" s="9">
        <f>'25-26'!H214</f>
        <v>0</v>
      </c>
      <c r="D214" s="9">
        <f>'26-27'!H214</f>
        <v>0</v>
      </c>
      <c r="E214" s="9">
        <f>'27-28'!H214</f>
        <v>0</v>
      </c>
      <c r="F214" s="9">
        <f>'28-29'!H214</f>
        <v>0</v>
      </c>
    </row>
    <row r="215" spans="1:6" x14ac:dyDescent="0.25">
      <c r="A215" s="43" t="s">
        <v>226</v>
      </c>
      <c r="B215" s="9">
        <f>'24-25'!H215</f>
        <v>0</v>
      </c>
      <c r="C215" s="9">
        <f>'25-26'!H215</f>
        <v>0</v>
      </c>
      <c r="D215" s="9">
        <f>'26-27'!H215</f>
        <v>0</v>
      </c>
      <c r="E215" s="9">
        <f>'27-28'!H215</f>
        <v>0</v>
      </c>
      <c r="F215" s="9">
        <f>'28-29'!H215</f>
        <v>0</v>
      </c>
    </row>
    <row r="216" spans="1:6" x14ac:dyDescent="0.25">
      <c r="A216" s="43" t="s">
        <v>227</v>
      </c>
      <c r="B216" s="9">
        <f>'24-25'!H216</f>
        <v>254240</v>
      </c>
      <c r="C216" s="9">
        <f>'25-26'!H216</f>
        <v>46100</v>
      </c>
      <c r="D216" s="9">
        <f>'26-27'!H216</f>
        <v>3900</v>
      </c>
      <c r="E216" s="9">
        <f>'27-28'!H216</f>
        <v>3900</v>
      </c>
      <c r="F216" s="9">
        <f>'28-29'!H216</f>
        <v>3900</v>
      </c>
    </row>
    <row r="217" spans="1:6" x14ac:dyDescent="0.25">
      <c r="A217" s="43"/>
      <c r="B217" s="9">
        <v>0</v>
      </c>
      <c r="C217" s="9">
        <v>0</v>
      </c>
      <c r="D217" s="9">
        <v>0</v>
      </c>
      <c r="E217" s="9">
        <v>0</v>
      </c>
      <c r="F217" s="9">
        <v>0</v>
      </c>
    </row>
    <row r="218" spans="1:6" ht="15.75" thickBot="1" x14ac:dyDescent="0.3">
      <c r="A218" s="30"/>
      <c r="B218" s="35"/>
      <c r="C218" s="35"/>
      <c r="D218" s="35"/>
      <c r="E218" s="35"/>
      <c r="F218" s="35"/>
    </row>
    <row r="219" spans="1:6" ht="15.75" thickBot="1" x14ac:dyDescent="0.3">
      <c r="A219" s="88" t="s">
        <v>229</v>
      </c>
      <c r="B219" s="89">
        <f>(B97+B103)-B211-B213-B214-B216-B215</f>
        <v>80058.232759999111</v>
      </c>
      <c r="C219" s="89">
        <f>(C97+C103)-C211-C213-C214-C216-C215</f>
        <v>60704.192152829841</v>
      </c>
      <c r="D219" s="89">
        <f>(D97+D103)-D211-D213-D214-D216-D215</f>
        <v>122403.51929698512</v>
      </c>
      <c r="E219" s="89">
        <f>(E97+E103)-E211-E213-E214-E216-E215</f>
        <v>525024.25208695978</v>
      </c>
      <c r="F219" s="89">
        <f>(F97+F103)-F211-F213-F214-F216-F215</f>
        <v>51564.801051668823</v>
      </c>
    </row>
    <row r="220" spans="1:6" x14ac:dyDescent="0.25">
      <c r="A220" s="90"/>
      <c r="B220" s="91">
        <f t="shared" ref="B220:C220" si="22">B219/(B97)</f>
        <v>5.7612746569746095E-3</v>
      </c>
      <c r="C220" s="91">
        <f t="shared" si="22"/>
        <v>3.5359137679481173E-3</v>
      </c>
      <c r="D220" s="91">
        <f t="shared" ref="D220:F220" si="23">D219/(D97)</f>
        <v>6.2373935492498261E-3</v>
      </c>
      <c r="E220" s="91">
        <f t="shared" si="23"/>
        <v>2.4552609310838802E-2</v>
      </c>
      <c r="F220" s="91">
        <f t="shared" si="23"/>
        <v>2.2705254207726839E-3</v>
      </c>
    </row>
    <row r="221" spans="1:6" x14ac:dyDescent="0.25">
      <c r="B221" s="92"/>
      <c r="C221" s="92"/>
      <c r="D221" s="92"/>
      <c r="E221" s="92"/>
      <c r="F221" s="92"/>
    </row>
    <row r="222" spans="1:6" x14ac:dyDescent="0.25">
      <c r="A222" s="1" t="str">
        <f t="shared" ref="A222:B222" si="24">A1</f>
        <v xml:space="preserve">CIVICA Nevada </v>
      </c>
      <c r="B222" s="1" t="str">
        <f t="shared" si="24"/>
        <v>FY25 (24-25)</v>
      </c>
      <c r="C222" s="1" t="str">
        <f t="shared" ref="C222:F222" si="25">C1</f>
        <v>FY26 (25-26)</v>
      </c>
      <c r="D222" s="1" t="str">
        <f t="shared" si="25"/>
        <v>FY27 (26-27)</v>
      </c>
      <c r="E222" s="1" t="str">
        <f t="shared" si="25"/>
        <v>FY28 (27-28)</v>
      </c>
      <c r="F222" s="1" t="str">
        <f t="shared" si="25"/>
        <v>FY29 (28-29)</v>
      </c>
    </row>
    <row r="223" spans="1:6" x14ac:dyDescent="0.25">
      <c r="B223" s="93" t="b">
        <f>B219='24-25'!H219</f>
        <v>1</v>
      </c>
      <c r="C223" s="93" t="b">
        <f>C219='25-26'!H219</f>
        <v>1</v>
      </c>
      <c r="D223" s="93" t="b">
        <f>D219='26-27'!H219</f>
        <v>1</v>
      </c>
      <c r="E223" s="93" t="b">
        <f>E219='27-28'!H219</f>
        <v>1</v>
      </c>
      <c r="F223" s="93" t="b">
        <f>F219='28-29'!H219</f>
        <v>1</v>
      </c>
    </row>
    <row r="224" spans="1:6" s="61" customFormat="1" x14ac:dyDescent="0.25">
      <c r="A224" s="7"/>
      <c r="B224" s="93"/>
      <c r="C224" s="93"/>
      <c r="D224" s="93"/>
      <c r="E224" s="93"/>
      <c r="F224" s="93"/>
    </row>
    <row r="225" spans="1:8" x14ac:dyDescent="0.25">
      <c r="A225" s="267" t="s">
        <v>251</v>
      </c>
      <c r="B225" s="268">
        <f>B97-B211-B216+B196</f>
        <v>1163724.1927599993</v>
      </c>
      <c r="C225" s="268">
        <f t="shared" ref="C225:F225" si="26">C97-C211-C216+C196</f>
        <v>2570960.95935283</v>
      </c>
      <c r="D225" s="268">
        <f t="shared" si="26"/>
        <v>3133423.886574985</v>
      </c>
      <c r="E225" s="268">
        <f t="shared" si="26"/>
        <v>3608833.2603821596</v>
      </c>
      <c r="F225" s="268">
        <f t="shared" si="26"/>
        <v>3872267.3868764564</v>
      </c>
      <c r="G225" s="61"/>
      <c r="H225" s="61"/>
    </row>
    <row r="226" spans="1:8" x14ac:dyDescent="0.25">
      <c r="A226"/>
      <c r="B226" s="7"/>
      <c r="C226" s="7"/>
      <c r="D226" s="7"/>
      <c r="E226" s="7"/>
      <c r="F226" s="7"/>
      <c r="G226" s="61"/>
      <c r="H226" s="61"/>
    </row>
    <row r="227" spans="1:8" x14ac:dyDescent="0.25">
      <c r="A227" s="94" t="str">
        <f>A213</f>
        <v>Scheduled Lease Payment</v>
      </c>
      <c r="B227" s="175">
        <f>B213</f>
        <v>1599659</v>
      </c>
      <c r="C227" s="175">
        <f t="shared" ref="C227:F227" si="27">C213</f>
        <v>2546902</v>
      </c>
      <c r="D227" s="175">
        <f t="shared" si="27"/>
        <v>2855332</v>
      </c>
      <c r="E227" s="175">
        <f t="shared" si="27"/>
        <v>2898162</v>
      </c>
      <c r="F227" s="175">
        <f t="shared" si="27"/>
        <v>3562784</v>
      </c>
      <c r="G227" s="61"/>
      <c r="H227" s="61"/>
    </row>
    <row r="228" spans="1:8" x14ac:dyDescent="0.25">
      <c r="A228" s="94" t="str">
        <f>A214</f>
        <v>Scheduled Bond Payment - Principal</v>
      </c>
      <c r="B228" s="175">
        <f t="shared" ref="B228:F229" si="28">B214</f>
        <v>0</v>
      </c>
      <c r="C228" s="175">
        <f t="shared" si="28"/>
        <v>0</v>
      </c>
      <c r="D228" s="175">
        <f t="shared" si="28"/>
        <v>0</v>
      </c>
      <c r="E228" s="175">
        <f t="shared" si="28"/>
        <v>0</v>
      </c>
      <c r="F228" s="175">
        <f t="shared" si="28"/>
        <v>0</v>
      </c>
      <c r="G228" s="61"/>
      <c r="H228" s="61"/>
    </row>
    <row r="229" spans="1:8" x14ac:dyDescent="0.25">
      <c r="A229" s="94" t="str">
        <f>A215</f>
        <v>Scheduled Bond Payment - Interest</v>
      </c>
      <c r="B229" s="175">
        <f t="shared" si="28"/>
        <v>0</v>
      </c>
      <c r="C229" s="175">
        <f t="shared" si="28"/>
        <v>0</v>
      </c>
      <c r="D229" s="175">
        <f t="shared" si="28"/>
        <v>0</v>
      </c>
      <c r="E229" s="175">
        <f t="shared" si="28"/>
        <v>0</v>
      </c>
      <c r="F229" s="175">
        <f t="shared" si="28"/>
        <v>0</v>
      </c>
      <c r="G229" s="61"/>
      <c r="H229" s="61"/>
    </row>
    <row r="230" spans="1:8" x14ac:dyDescent="0.25">
      <c r="A230"/>
      <c r="B230" s="175"/>
      <c r="C230" s="175"/>
      <c r="D230" s="175"/>
      <c r="E230" s="175"/>
      <c r="F230" s="175"/>
      <c r="G230" s="61"/>
      <c r="H230" s="61"/>
    </row>
    <row r="231" spans="1:8" x14ac:dyDescent="0.25">
      <c r="A231" s="267" t="s">
        <v>252</v>
      </c>
      <c r="B231" s="269">
        <f>SUM(B227:B229)</f>
        <v>1599659</v>
      </c>
      <c r="C231" s="269">
        <f t="shared" ref="C231:F231" si="29">SUM(C227:C229)</f>
        <v>2546902</v>
      </c>
      <c r="D231" s="269">
        <f t="shared" si="29"/>
        <v>2855332</v>
      </c>
      <c r="E231" s="269">
        <f t="shared" si="29"/>
        <v>2898162</v>
      </c>
      <c r="F231" s="269">
        <f t="shared" si="29"/>
        <v>3562784</v>
      </c>
      <c r="G231" s="61"/>
      <c r="H231" s="61"/>
    </row>
    <row r="232" spans="1:8" x14ac:dyDescent="0.25">
      <c r="A232" s="270" t="s">
        <v>253</v>
      </c>
      <c r="B232" s="271">
        <f>B225/B231</f>
        <v>0.72748266521802418</v>
      </c>
      <c r="C232" s="271">
        <f t="shared" ref="C232:F232" si="30">C225/C231</f>
        <v>1.0094463624249499</v>
      </c>
      <c r="D232" s="271">
        <f t="shared" si="30"/>
        <v>1.0973938885478063</v>
      </c>
      <c r="E232" s="271">
        <f t="shared" si="30"/>
        <v>1.2452144705444899</v>
      </c>
      <c r="F232" s="271">
        <f t="shared" si="30"/>
        <v>1.0868656047844765</v>
      </c>
      <c r="G232" s="61"/>
      <c r="H232" s="61"/>
    </row>
    <row r="233" spans="1:8" x14ac:dyDescent="0.25">
      <c r="A233"/>
      <c r="B233" s="7"/>
      <c r="C233" s="7"/>
      <c r="D233" s="7"/>
      <c r="E233" s="7"/>
      <c r="F233" s="7"/>
      <c r="G233" s="61"/>
      <c r="H233" s="61"/>
    </row>
    <row r="234" spans="1:8" x14ac:dyDescent="0.25">
      <c r="A234" s="272" t="s">
        <v>254</v>
      </c>
      <c r="B234" s="273"/>
      <c r="C234" s="273"/>
      <c r="D234" s="273"/>
      <c r="E234" s="273"/>
      <c r="F234" s="273"/>
      <c r="G234" s="61"/>
      <c r="H234" s="61"/>
    </row>
    <row r="235" spans="1:8" x14ac:dyDescent="0.25">
      <c r="A235" t="s">
        <v>255</v>
      </c>
      <c r="B235" s="274"/>
      <c r="C235" s="274">
        <f>B238</f>
        <v>80058.232759999111</v>
      </c>
      <c r="D235" s="274">
        <f t="shared" ref="D235:F235" si="31">C238</f>
        <v>140762.42491282895</v>
      </c>
      <c r="E235" s="274">
        <f t="shared" si="31"/>
        <v>263165.94420981407</v>
      </c>
      <c r="F235" s="274">
        <f t="shared" si="31"/>
        <v>788190.19629677385</v>
      </c>
      <c r="G235" s="61"/>
      <c r="H235" s="61"/>
    </row>
    <row r="236" spans="1:8" x14ac:dyDescent="0.25">
      <c r="A236" s="7" t="s">
        <v>256</v>
      </c>
      <c r="B236" s="275"/>
      <c r="C236" s="275"/>
      <c r="D236" s="275"/>
      <c r="E236" s="275"/>
      <c r="F236" s="275"/>
      <c r="G236" s="61"/>
      <c r="H236" s="61"/>
    </row>
    <row r="237" spans="1:8" x14ac:dyDescent="0.25">
      <c r="A237" s="7" t="s">
        <v>257</v>
      </c>
      <c r="B237" s="275">
        <f>B219</f>
        <v>80058.232759999111</v>
      </c>
      <c r="C237" s="275">
        <f t="shared" ref="C237:F237" si="32">C219</f>
        <v>60704.192152829841</v>
      </c>
      <c r="D237" s="275">
        <f t="shared" si="32"/>
        <v>122403.51929698512</v>
      </c>
      <c r="E237" s="275">
        <f t="shared" si="32"/>
        <v>525024.25208695978</v>
      </c>
      <c r="F237" s="275">
        <f t="shared" si="32"/>
        <v>51564.801051668823</v>
      </c>
      <c r="G237" s="61"/>
      <c r="H237" s="61"/>
    </row>
    <row r="238" spans="1:8" x14ac:dyDescent="0.25">
      <c r="A238" s="276" t="s">
        <v>258</v>
      </c>
      <c r="B238" s="277">
        <f>SUM(B235:B237)</f>
        <v>80058.232759999111</v>
      </c>
      <c r="C238" s="277">
        <f t="shared" ref="C238:F238" si="33">SUM(C235:C237)</f>
        <v>140762.42491282895</v>
      </c>
      <c r="D238" s="277">
        <f t="shared" si="33"/>
        <v>263165.94420981407</v>
      </c>
      <c r="E238" s="277">
        <f t="shared" si="33"/>
        <v>788190.19629677385</v>
      </c>
      <c r="F238" s="277">
        <f t="shared" si="33"/>
        <v>839754.99734844267</v>
      </c>
      <c r="G238" s="61"/>
      <c r="H238" s="61"/>
    </row>
    <row r="239" spans="1:8" x14ac:dyDescent="0.25">
      <c r="A239" s="278" t="s">
        <v>259</v>
      </c>
      <c r="B239" s="279">
        <f>B238/((SUM(B211:B217))/365)</f>
        <v>2.0108994356108605</v>
      </c>
      <c r="C239" s="279">
        <f t="shared" ref="C239:F239" si="34">C238/((SUM(C211:C217))/365)</f>
        <v>2.9515554301540101</v>
      </c>
      <c r="D239" s="279">
        <f t="shared" si="34"/>
        <v>4.8878908112321868</v>
      </c>
      <c r="E239" s="279">
        <f t="shared" si="34"/>
        <v>13.693875547967261</v>
      </c>
      <c r="F239" s="279">
        <f t="shared" si="34"/>
        <v>13.46769401758354</v>
      </c>
      <c r="G239" s="61"/>
      <c r="H239" s="61"/>
    </row>
    <row r="240" spans="1:8" x14ac:dyDescent="0.25">
      <c r="A240"/>
      <c r="B240" s="95"/>
      <c r="C240" s="95"/>
      <c r="D240" s="95"/>
      <c r="E240" s="95"/>
      <c r="F240" s="95"/>
    </row>
    <row r="241" spans="1:8" x14ac:dyDescent="0.25">
      <c r="H241" s="22" t="s">
        <v>260</v>
      </c>
    </row>
    <row r="242" spans="1:8" x14ac:dyDescent="0.25">
      <c r="A242" s="234" t="s">
        <v>261</v>
      </c>
      <c r="B242" s="159">
        <f>B132/SUM(B211:B216)</f>
        <v>0.39791442329270948</v>
      </c>
      <c r="C242" s="159">
        <f t="shared" ref="C242:F242" si="35">C132/SUM(C211:C216)</f>
        <v>0.37280193619906576</v>
      </c>
      <c r="D242" s="159">
        <f t="shared" si="35"/>
        <v>0.38136619500515173</v>
      </c>
      <c r="E242" s="159">
        <f t="shared" si="35"/>
        <v>0.38285871852846909</v>
      </c>
      <c r="F242" s="159">
        <f t="shared" si="35"/>
        <v>0.37444890380935297</v>
      </c>
      <c r="H242" s="73">
        <f>AVERAGE(B242:F242)</f>
        <v>0.38187803536694981</v>
      </c>
    </row>
    <row r="243" spans="1:8" x14ac:dyDescent="0.25">
      <c r="A243" s="234" t="s">
        <v>262</v>
      </c>
      <c r="B243" s="159">
        <f>(B141-B140)/SUM(B211:B216)</f>
        <v>0.2048893298930401</v>
      </c>
      <c r="C243" s="159">
        <f t="shared" ref="C243:F243" si="36">(C141-C140)/SUM(C211:C216)</f>
        <v>0.2016082770068828</v>
      </c>
      <c r="D243" s="159">
        <f t="shared" si="36"/>
        <v>0.20676456882011188</v>
      </c>
      <c r="E243" s="159">
        <f t="shared" si="36"/>
        <v>0.20824348940136142</v>
      </c>
      <c r="F243" s="159">
        <f t="shared" si="36"/>
        <v>0.20434393403176207</v>
      </c>
      <c r="H243" s="73">
        <f t="shared" ref="H243:H255" si="37">AVERAGE(B243:F243)</f>
        <v>0.20516991983063165</v>
      </c>
    </row>
    <row r="244" spans="1:8" x14ac:dyDescent="0.25">
      <c r="A244" s="234" t="s">
        <v>167</v>
      </c>
      <c r="B244" s="159">
        <f>B161/SUM(B211:B216)</f>
        <v>1.7204081742403419E-3</v>
      </c>
      <c r="C244" s="159">
        <f t="shared" ref="C244:F244" si="38">C161/SUM(C211:C216)</f>
        <v>1.7952352248625698E-3</v>
      </c>
      <c r="D244" s="159">
        <f t="shared" si="38"/>
        <v>1.7937341035799339E-3</v>
      </c>
      <c r="E244" s="159">
        <f t="shared" si="38"/>
        <v>1.7492819982897392E-3</v>
      </c>
      <c r="F244" s="159">
        <f t="shared" si="38"/>
        <v>1.6586881244442791E-3</v>
      </c>
      <c r="H244" s="73">
        <f t="shared" si="37"/>
        <v>1.7434695250833729E-3</v>
      </c>
    </row>
    <row r="245" spans="1:8" x14ac:dyDescent="0.25">
      <c r="A245" s="234" t="s">
        <v>263</v>
      </c>
      <c r="B245" s="159">
        <f>(B159+B160+B167+B168+B169)/SUM(B211:B216)</f>
        <v>4.5160076646457957E-2</v>
      </c>
      <c r="C245" s="159">
        <f t="shared" ref="C245:F245" si="39">(C159+C160+C167+C168+C169)/SUM(C211:C216)</f>
        <v>4.9878844418156335E-2</v>
      </c>
      <c r="D245" s="159">
        <f t="shared" si="39"/>
        <v>5.0922457881003198E-2</v>
      </c>
      <c r="E245" s="159">
        <f t="shared" si="39"/>
        <v>5.2095640290762045E-2</v>
      </c>
      <c r="F245" s="159">
        <f t="shared" si="39"/>
        <v>5.1151158625015451E-2</v>
      </c>
      <c r="H245" s="73">
        <f t="shared" si="37"/>
        <v>4.9841635572278997E-2</v>
      </c>
    </row>
    <row r="246" spans="1:8" x14ac:dyDescent="0.25">
      <c r="A246" s="234" t="s">
        <v>264</v>
      </c>
      <c r="B246" s="159">
        <f>(B140+B157+B156+B158)/SUM(B211:B216)</f>
        <v>2.122433156396825E-2</v>
      </c>
      <c r="C246" s="159">
        <f t="shared" ref="C246:F246" si="40">(C140+C157+C156+C158)/SUM(C211:C216)</f>
        <v>2.1221403783691441E-2</v>
      </c>
      <c r="D246" s="159">
        <f t="shared" si="40"/>
        <v>2.0375038404082935E-2</v>
      </c>
      <c r="E246" s="159">
        <f t="shared" si="40"/>
        <v>2.0805269894760874E-2</v>
      </c>
      <c r="F246" s="159">
        <f t="shared" si="40"/>
        <v>2.0303221418363243E-2</v>
      </c>
      <c r="H246" s="73">
        <f t="shared" si="37"/>
        <v>2.0785853012973348E-2</v>
      </c>
    </row>
    <row r="247" spans="1:8" x14ac:dyDescent="0.25">
      <c r="A247" s="234" t="s">
        <v>265</v>
      </c>
      <c r="B247" s="159">
        <f>(B191+B192+B193+B146+B177)/SUM(B211:B216)</f>
        <v>3.8701941690157414E-2</v>
      </c>
      <c r="C247" s="159">
        <f t="shared" ref="C247:F247" si="41">(C191+C192+C193+C146+C177)/SUM(C211:C216)</f>
        <v>3.7053655041163439E-2</v>
      </c>
      <c r="D247" s="159">
        <f t="shared" si="41"/>
        <v>2.4323543305282507E-2</v>
      </c>
      <c r="E247" s="159">
        <f t="shared" si="41"/>
        <v>2.4092492066240857E-2</v>
      </c>
      <c r="F247" s="159">
        <f t="shared" si="41"/>
        <v>1.9552747427223953E-2</v>
      </c>
      <c r="H247" s="73">
        <f t="shared" si="37"/>
        <v>2.8744875906013635E-2</v>
      </c>
    </row>
    <row r="248" spans="1:8" x14ac:dyDescent="0.25">
      <c r="A248" s="234" t="s">
        <v>266</v>
      </c>
      <c r="B248" s="159">
        <f>(B144+B145+B147+B148+B149+B150+B151+B152+B153)/SUM(B211:B216)</f>
        <v>3.2678809188060445E-2</v>
      </c>
      <c r="C248" s="159">
        <f t="shared" ref="C248:F248" si="42">(C144+C145+C147+C148+C149+C150+C151+C152+C153)/SUM(C211:C216)</f>
        <v>3.0821579284065349E-2</v>
      </c>
      <c r="D248" s="159">
        <f t="shared" si="42"/>
        <v>3.180083660950677E-2</v>
      </c>
      <c r="E248" s="159">
        <f t="shared" si="42"/>
        <v>3.2344136583240674E-2</v>
      </c>
      <c r="F248" s="159">
        <f t="shared" si="42"/>
        <v>3.1606547812363765E-2</v>
      </c>
      <c r="H248" s="73">
        <f t="shared" si="37"/>
        <v>3.1850381895447408E-2</v>
      </c>
    </row>
    <row r="249" spans="1:8" x14ac:dyDescent="0.25">
      <c r="A249" s="234" t="s">
        <v>3</v>
      </c>
      <c r="B249" s="159">
        <f t="shared" ref="B249:F249" si="43">(B182+B183)/SUM(B211:B216)</f>
        <v>4.1425639611206225E-2</v>
      </c>
      <c r="C249" s="159">
        <f t="shared" si="43"/>
        <v>4.430400404297144E-2</v>
      </c>
      <c r="D249" s="159">
        <f t="shared" si="43"/>
        <v>4.487890668930463E-2</v>
      </c>
      <c r="E249" s="159">
        <f t="shared" si="43"/>
        <v>4.541335985502825E-2</v>
      </c>
      <c r="F249" s="159">
        <f t="shared" si="43"/>
        <v>4.404172874341495E-2</v>
      </c>
      <c r="H249" s="73">
        <f t="shared" si="37"/>
        <v>4.4012727788385095E-2</v>
      </c>
    </row>
    <row r="250" spans="1:8" x14ac:dyDescent="0.25">
      <c r="A250" s="234" t="s">
        <v>267</v>
      </c>
      <c r="B250" s="159">
        <f>(B209+B213+B216)/SUM(B211:B216)</f>
        <v>0.15185146827809701</v>
      </c>
      <c r="C250" s="159">
        <f t="shared" ref="C250:F250" si="44">(C209+C213+C216)/SUM(C211:C216)</f>
        <v>0.17724526845273378</v>
      </c>
      <c r="D250" s="159">
        <f t="shared" si="44"/>
        <v>0.17373776495643301</v>
      </c>
      <c r="E250" s="159">
        <f t="shared" si="44"/>
        <v>0.16771651525879822</v>
      </c>
      <c r="F250" s="159">
        <f t="shared" si="44"/>
        <v>0.18972823991876367</v>
      </c>
      <c r="H250" s="73">
        <f t="shared" si="37"/>
        <v>0.17205585137296514</v>
      </c>
    </row>
    <row r="251" spans="1:8" x14ac:dyDescent="0.25">
      <c r="A251" s="234" t="s">
        <v>268</v>
      </c>
      <c r="B251" s="159">
        <f t="shared" ref="B251:F251" si="45">(B179+B180+B181)/SUM(B211:B216)</f>
        <v>4.4599861509006626E-3</v>
      </c>
      <c r="C251" s="159">
        <f t="shared" si="45"/>
        <v>4.0954916613016789E-3</v>
      </c>
      <c r="D251" s="159">
        <f t="shared" si="45"/>
        <v>3.990491000741809E-3</v>
      </c>
      <c r="E251" s="159">
        <f t="shared" si="45"/>
        <v>4.1060341811561723E-3</v>
      </c>
      <c r="F251" s="159">
        <f t="shared" si="45"/>
        <v>4.1692749984412383E-3</v>
      </c>
      <c r="H251" s="73">
        <f t="shared" si="37"/>
        <v>4.1642555985083127E-3</v>
      </c>
    </row>
    <row r="252" spans="1:8" x14ac:dyDescent="0.25">
      <c r="A252" s="234" t="s">
        <v>269</v>
      </c>
      <c r="B252" s="159">
        <f t="shared" ref="B252:F252" si="46">B185/SUM(B211:B216)</f>
        <v>5.1612245227210252E-4</v>
      </c>
      <c r="C252" s="159">
        <f t="shared" si="46"/>
        <v>2.1901525058160179E-3</v>
      </c>
      <c r="D252" s="159">
        <f t="shared" si="46"/>
        <v>1.9400010342843358E-3</v>
      </c>
      <c r="E252" s="159">
        <f t="shared" si="46"/>
        <v>1.8147027650502678E-3</v>
      </c>
      <c r="F252" s="159">
        <f t="shared" si="46"/>
        <v>1.6751387955381053E-3</v>
      </c>
      <c r="H252" s="73">
        <f t="shared" si="37"/>
        <v>1.6272235105921657E-3</v>
      </c>
    </row>
    <row r="253" spans="1:8" x14ac:dyDescent="0.25">
      <c r="A253" s="234" t="s">
        <v>270</v>
      </c>
      <c r="B253" s="159">
        <f t="shared" ref="B253:F253" si="47">(B162+B163)/SUM(B211:B216)</f>
        <v>1.0322449045442052E-2</v>
      </c>
      <c r="C253" s="159">
        <f t="shared" si="47"/>
        <v>6.6064656274942568E-3</v>
      </c>
      <c r="D253" s="159">
        <f t="shared" si="47"/>
        <v>6.1190503817159445E-3</v>
      </c>
      <c r="E253" s="159">
        <f t="shared" si="47"/>
        <v>5.9862333961881176E-3</v>
      </c>
      <c r="F253" s="159">
        <f t="shared" si="47"/>
        <v>5.7801711112774228E-3</v>
      </c>
      <c r="H253" s="73">
        <f t="shared" si="37"/>
        <v>6.9628739124235591E-3</v>
      </c>
    </row>
    <row r="254" spans="1:8" x14ac:dyDescent="0.25">
      <c r="A254" s="234" t="s">
        <v>271</v>
      </c>
      <c r="B254" s="159">
        <f t="shared" ref="B254:F254" si="48">(B164+B165+B172+B173+B176+B178)/SUM(B211:B216)</f>
        <v>7.3213690262971991E-3</v>
      </c>
      <c r="C254" s="159">
        <f t="shared" si="48"/>
        <v>7.0227304095535903E-3</v>
      </c>
      <c r="D254" s="159">
        <f t="shared" si="48"/>
        <v>6.7648379121675022E-3</v>
      </c>
      <c r="E254" s="159">
        <f t="shared" si="48"/>
        <v>6.675548915501526E-3</v>
      </c>
      <c r="F254" s="159">
        <f t="shared" si="48"/>
        <v>6.3918050358706541E-3</v>
      </c>
      <c r="H254" s="73">
        <f t="shared" si="37"/>
        <v>6.8352582598780933E-3</v>
      </c>
    </row>
    <row r="255" spans="1:8" x14ac:dyDescent="0.25">
      <c r="A255" s="234" t="s">
        <v>4</v>
      </c>
      <c r="B255" s="159">
        <f>(B166+B175+B184+B186+B187+B189+B195+B196+B194+B190)/SUM(B211:B216)</f>
        <v>4.1813644987150823E-2</v>
      </c>
      <c r="C255" s="159">
        <f t="shared" ref="C255:F255" si="49">(C166+C175+C184+C186+C187+C189+C195+C196+C194+C190)/SUM(C211:C216)</f>
        <v>4.3354956342241457E-2</v>
      </c>
      <c r="D255" s="159">
        <f t="shared" si="49"/>
        <v>4.5222573896633769E-2</v>
      </c>
      <c r="E255" s="159">
        <f t="shared" si="49"/>
        <v>4.6098576865152778E-2</v>
      </c>
      <c r="F255" s="159">
        <f t="shared" si="49"/>
        <v>4.514844014816826E-2</v>
      </c>
      <c r="H255" s="73">
        <f t="shared" si="37"/>
        <v>4.4327638447869425E-2</v>
      </c>
    </row>
    <row r="256" spans="1:8" x14ac:dyDescent="0.25">
      <c r="A256"/>
      <c r="B256"/>
      <c r="C256"/>
      <c r="D256"/>
      <c r="E256"/>
      <c r="F256"/>
    </row>
    <row r="257" spans="1:9" x14ac:dyDescent="0.25">
      <c r="A257"/>
      <c r="B257" s="280">
        <f t="shared" ref="B257:F257" si="50">SUM(B242:B256)</f>
        <v>1.0000000000000002</v>
      </c>
      <c r="C257" s="280">
        <f t="shared" si="50"/>
        <v>0.99999999999999978</v>
      </c>
      <c r="D257" s="280">
        <f t="shared" si="50"/>
        <v>1</v>
      </c>
      <c r="E257" s="280">
        <f t="shared" si="50"/>
        <v>0.99999999999999989</v>
      </c>
      <c r="F257" s="280">
        <f t="shared" si="50"/>
        <v>0.99999999999999978</v>
      </c>
      <c r="H257" s="280">
        <f t="shared" ref="H257" si="51">SUM(H242:H256)</f>
        <v>1</v>
      </c>
    </row>
    <row r="259" spans="1:9" x14ac:dyDescent="0.25">
      <c r="G259" s="93"/>
      <c r="H259" s="93"/>
      <c r="I259" s="93"/>
    </row>
    <row r="260" spans="1:9" x14ac:dyDescent="0.25">
      <c r="G260" s="93"/>
      <c r="H260" s="93"/>
      <c r="I260" s="93"/>
    </row>
    <row r="261" spans="1:9" x14ac:dyDescent="0.25">
      <c r="G261" s="93"/>
      <c r="H261" s="93"/>
      <c r="I261" s="93"/>
    </row>
    <row r="262" spans="1:9" x14ac:dyDescent="0.25">
      <c r="G262" s="93"/>
      <c r="H262" s="93"/>
      <c r="I262" s="93"/>
    </row>
  </sheetData>
  <pageMargins left="0.7" right="0.7" top="0.75" bottom="0.75" header="0.3" footer="0.3"/>
  <pageSetup fitToHeight="0" orientation="portrait" r:id="rId1"/>
  <headerFooter>
    <oddFooter>&amp;LPage &amp;P&amp;C
&amp;R
 &amp;G</oddFooter>
  </headerFooter>
  <rowBreaks count="2" manualBreakCount="2">
    <brk id="70" max="7" man="1"/>
    <brk id="154"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223D-7EDB-40EC-9B2F-54E13D2F98E5}">
  <dimension ref="A1:K24"/>
  <sheetViews>
    <sheetView workbookViewId="0">
      <selection activeCell="C35" sqref="C35"/>
    </sheetView>
  </sheetViews>
  <sheetFormatPr defaultColWidth="8.7109375" defaultRowHeight="15" customHeight="1" x14ac:dyDescent="0.25"/>
  <cols>
    <col min="1" max="1" width="45.140625" customWidth="1"/>
    <col min="2" max="7" width="14.7109375" customWidth="1"/>
    <col min="8" max="10" width="12.140625" customWidth="1"/>
    <col min="11" max="11" width="13.7109375" customWidth="1"/>
  </cols>
  <sheetData>
    <row r="1" spans="1:11" ht="13.5" customHeight="1" x14ac:dyDescent="0.25">
      <c r="A1" s="240"/>
      <c r="B1" s="240"/>
      <c r="C1" s="240"/>
      <c r="D1" s="240"/>
      <c r="E1" s="240"/>
      <c r="F1" s="240"/>
      <c r="G1" s="240"/>
      <c r="H1" s="240"/>
      <c r="I1" s="240"/>
      <c r="J1" s="240"/>
      <c r="K1" s="240"/>
    </row>
    <row r="2" spans="1:11" ht="18.75" x14ac:dyDescent="0.3">
      <c r="A2" s="241" t="s">
        <v>272</v>
      </c>
      <c r="B2" s="242" t="s">
        <v>273</v>
      </c>
      <c r="C2" s="242" t="s">
        <v>274</v>
      </c>
      <c r="D2" s="242" t="s">
        <v>275</v>
      </c>
      <c r="E2" s="242" t="s">
        <v>276</v>
      </c>
      <c r="F2" s="242" t="s">
        <v>277</v>
      </c>
      <c r="G2" s="242" t="s">
        <v>278</v>
      </c>
      <c r="H2" s="242" t="s">
        <v>279</v>
      </c>
      <c r="I2" s="242" t="s">
        <v>280</v>
      </c>
      <c r="J2" s="242" t="s">
        <v>281</v>
      </c>
      <c r="K2" s="242" t="s">
        <v>282</v>
      </c>
    </row>
    <row r="3" spans="1:11" ht="13.5" customHeight="1" x14ac:dyDescent="0.25">
      <c r="A3" s="240"/>
      <c r="B3" s="243" t="s">
        <v>283</v>
      </c>
      <c r="C3" s="243" t="s">
        <v>284</v>
      </c>
      <c r="D3" s="243" t="s">
        <v>285</v>
      </c>
      <c r="E3" s="243" t="s">
        <v>286</v>
      </c>
      <c r="F3" s="243" t="s">
        <v>287</v>
      </c>
      <c r="G3" s="243" t="s">
        <v>288</v>
      </c>
      <c r="H3" s="243" t="s">
        <v>289</v>
      </c>
      <c r="I3" s="243" t="s">
        <v>290</v>
      </c>
      <c r="J3" s="243" t="s">
        <v>291</v>
      </c>
      <c r="K3" s="243" t="s">
        <v>292</v>
      </c>
    </row>
    <row r="4" spans="1:11" ht="13.5" customHeight="1" x14ac:dyDescent="0.25">
      <c r="A4" s="244" t="s">
        <v>293</v>
      </c>
      <c r="B4" s="245">
        <v>570</v>
      </c>
      <c r="C4" s="245">
        <v>764</v>
      </c>
      <c r="D4" s="245">
        <v>906</v>
      </c>
      <c r="E4" s="245">
        <v>1053</v>
      </c>
      <c r="F4" s="245">
        <v>1184</v>
      </c>
      <c r="G4" s="245">
        <v>1365</v>
      </c>
      <c r="H4" s="245">
        <v>1454</v>
      </c>
      <c r="I4" s="245">
        <v>1602</v>
      </c>
      <c r="J4" s="245">
        <v>1880</v>
      </c>
      <c r="K4" s="245">
        <v>1880</v>
      </c>
    </row>
    <row r="5" spans="1:11" ht="13.5" customHeight="1" x14ac:dyDescent="0.25">
      <c r="A5" s="246" t="s">
        <v>294</v>
      </c>
      <c r="B5" s="247">
        <v>8153</v>
      </c>
      <c r="C5" s="247">
        <v>9153</v>
      </c>
      <c r="D5" s="247">
        <v>9336.06</v>
      </c>
      <c r="E5" s="247">
        <v>9522.7811999999994</v>
      </c>
      <c r="F5" s="247">
        <v>9713.2368239999996</v>
      </c>
      <c r="G5" s="247">
        <v>9907.5015604799992</v>
      </c>
      <c r="H5" s="247">
        <v>10105.651591689599</v>
      </c>
      <c r="I5" s="247">
        <v>10307.764623523391</v>
      </c>
      <c r="J5" s="247">
        <v>10513.91991599386</v>
      </c>
      <c r="K5" s="247">
        <v>10724.198314313737</v>
      </c>
    </row>
    <row r="6" spans="1:11" ht="13.5" customHeight="1" x14ac:dyDescent="0.25">
      <c r="A6" s="240"/>
      <c r="B6" s="248"/>
      <c r="C6" s="248"/>
      <c r="D6" s="248"/>
      <c r="E6" s="248"/>
      <c r="F6" s="248"/>
      <c r="G6" s="248"/>
      <c r="H6" s="248"/>
      <c r="I6" s="248"/>
      <c r="J6" s="248"/>
      <c r="K6" s="248"/>
    </row>
    <row r="7" spans="1:11" ht="13.5" customHeight="1" x14ac:dyDescent="0.25">
      <c r="A7" s="246" t="s">
        <v>295</v>
      </c>
      <c r="B7" s="247">
        <v>4647210</v>
      </c>
      <c r="C7" s="247">
        <v>6992892</v>
      </c>
      <c r="D7" s="247">
        <v>8458470.3599999994</v>
      </c>
      <c r="E7" s="247">
        <v>10027488.603599999</v>
      </c>
      <c r="F7" s="247">
        <v>11500472.399615999</v>
      </c>
      <c r="G7" s="247">
        <v>13523739.630055198</v>
      </c>
      <c r="H7" s="247">
        <v>14693617.414316677</v>
      </c>
      <c r="I7" s="247">
        <v>16513038.926884472</v>
      </c>
      <c r="J7" s="247">
        <v>19766169.442068458</v>
      </c>
      <c r="K7" s="247">
        <v>20161492.830909826</v>
      </c>
    </row>
    <row r="8" spans="1:11" ht="13.5" customHeight="1" x14ac:dyDescent="0.25">
      <c r="A8" s="240"/>
      <c r="B8" s="249"/>
      <c r="C8" s="249"/>
      <c r="D8" s="249"/>
      <c r="E8" s="249"/>
      <c r="F8" s="249"/>
      <c r="G8" s="249"/>
      <c r="H8" s="249"/>
      <c r="I8" s="249"/>
      <c r="J8" s="249"/>
      <c r="K8" s="249"/>
    </row>
    <row r="9" spans="1:11" ht="15.75" x14ac:dyDescent="0.25">
      <c r="A9" s="250"/>
      <c r="B9" s="249"/>
      <c r="C9" s="249"/>
      <c r="D9" s="249"/>
      <c r="E9" s="249"/>
      <c r="F9" s="249"/>
      <c r="G9" s="249"/>
      <c r="H9" s="249"/>
      <c r="I9" s="249"/>
      <c r="J9" s="249"/>
      <c r="K9" s="249"/>
    </row>
    <row r="10" spans="1:11" ht="15.75" x14ac:dyDescent="0.25">
      <c r="A10" s="251" t="s">
        <v>296</v>
      </c>
      <c r="B10" s="249">
        <v>682000</v>
      </c>
      <c r="C10" s="249">
        <v>1020000</v>
      </c>
      <c r="D10" s="249">
        <v>1244807.5405499998</v>
      </c>
      <c r="E10" s="249">
        <v>1263479.6536582496</v>
      </c>
      <c r="F10" s="249">
        <v>1282431.8484631232</v>
      </c>
      <c r="G10" s="249">
        <v>1301668.32619007</v>
      </c>
      <c r="H10" s="249">
        <v>1321193.351082921</v>
      </c>
      <c r="I10" s="249">
        <v>1341011.2513491646</v>
      </c>
      <c r="J10" s="249">
        <v>1361126.420119402</v>
      </c>
      <c r="K10" s="249">
        <v>1381543.3164211928</v>
      </c>
    </row>
    <row r="11" spans="1:11" ht="15.75" x14ac:dyDescent="0.25">
      <c r="A11" s="251" t="s">
        <v>297</v>
      </c>
      <c r="B11" s="249">
        <v>0</v>
      </c>
      <c r="C11" s="249">
        <v>0</v>
      </c>
      <c r="D11" s="249">
        <v>327979.40999999997</v>
      </c>
      <c r="E11" s="249">
        <v>336178.89524999994</v>
      </c>
      <c r="F11" s="249">
        <v>341221.57867874991</v>
      </c>
      <c r="G11" s="249">
        <v>346339.90235893114</v>
      </c>
      <c r="H11" s="249">
        <v>351535.00089431508</v>
      </c>
      <c r="I11" s="249">
        <v>356808.02590772975</v>
      </c>
      <c r="J11" s="249">
        <v>362160.14629634569</v>
      </c>
      <c r="K11" s="249">
        <v>367592.54849079082</v>
      </c>
    </row>
    <row r="12" spans="1:11" ht="16.149999999999999" customHeight="1" x14ac:dyDescent="0.25">
      <c r="A12" s="252" t="s">
        <v>298</v>
      </c>
      <c r="B12" s="249">
        <v>0</v>
      </c>
      <c r="C12" s="249">
        <v>0</v>
      </c>
      <c r="D12" s="249">
        <v>0</v>
      </c>
      <c r="E12" s="249">
        <v>100000</v>
      </c>
      <c r="F12" s="249">
        <v>0</v>
      </c>
      <c r="G12" s="249">
        <v>0</v>
      </c>
      <c r="H12" s="249">
        <v>0</v>
      </c>
      <c r="I12" s="249">
        <v>0</v>
      </c>
      <c r="J12" s="249">
        <v>0</v>
      </c>
      <c r="K12" s="249">
        <v>0</v>
      </c>
    </row>
    <row r="13" spans="1:11" ht="15.75" x14ac:dyDescent="0.25">
      <c r="A13" s="251" t="s">
        <v>299</v>
      </c>
      <c r="B13" s="249">
        <v>0</v>
      </c>
      <c r="C13" s="249">
        <v>0</v>
      </c>
      <c r="D13" s="249">
        <v>0</v>
      </c>
      <c r="E13" s="249">
        <v>0</v>
      </c>
      <c r="F13" s="249">
        <v>923247.95813250006</v>
      </c>
      <c r="G13" s="249">
        <v>1207324.2529425002</v>
      </c>
      <c r="H13" s="249">
        <v>1225434.1167366377</v>
      </c>
      <c r="I13" s="249">
        <v>1243815.6284876871</v>
      </c>
      <c r="J13" s="249">
        <v>1262472.8629150023</v>
      </c>
      <c r="K13" s="249">
        <v>1281409.9558587272</v>
      </c>
    </row>
    <row r="14" spans="1:11" ht="15.75" x14ac:dyDescent="0.25">
      <c r="A14" s="253" t="s">
        <v>300</v>
      </c>
      <c r="B14" s="254">
        <v>0</v>
      </c>
      <c r="C14" s="254">
        <v>0</v>
      </c>
      <c r="D14" s="254">
        <v>0</v>
      </c>
      <c r="E14" s="254">
        <v>0</v>
      </c>
      <c r="F14" s="254">
        <v>0</v>
      </c>
      <c r="G14" s="254">
        <v>0</v>
      </c>
      <c r="H14" s="254">
        <v>0</v>
      </c>
      <c r="I14" s="254">
        <v>621148.69267043856</v>
      </c>
      <c r="J14" s="254">
        <v>754251.98395696096</v>
      </c>
      <c r="K14" s="254">
        <v>765565.76371631527</v>
      </c>
    </row>
    <row r="15" spans="1:11" ht="15.75" x14ac:dyDescent="0.25">
      <c r="A15" s="255" t="s">
        <v>301</v>
      </c>
      <c r="B15" s="256">
        <v>682000</v>
      </c>
      <c r="C15" s="256">
        <v>1020000</v>
      </c>
      <c r="D15" s="256">
        <v>1572786.9505499997</v>
      </c>
      <c r="E15" s="256">
        <v>1699658.5489082495</v>
      </c>
      <c r="F15" s="256">
        <v>2546901.385274373</v>
      </c>
      <c r="G15" s="256">
        <v>2855332.4814915014</v>
      </c>
      <c r="H15" s="256">
        <v>2898162.468713874</v>
      </c>
      <c r="I15" s="256">
        <v>3562783.5984150199</v>
      </c>
      <c r="J15" s="256">
        <v>3740011.4132877109</v>
      </c>
      <c r="K15" s="256">
        <v>3796111.5844870261</v>
      </c>
    </row>
    <row r="16" spans="1:11" ht="13.5" customHeight="1" x14ac:dyDescent="0.25">
      <c r="A16" s="257"/>
      <c r="B16" s="257"/>
      <c r="C16" s="257"/>
      <c r="D16" s="257"/>
      <c r="E16" s="257"/>
      <c r="F16" s="257"/>
      <c r="G16" s="257"/>
      <c r="H16" s="257"/>
      <c r="I16" s="257"/>
      <c r="J16" s="257"/>
      <c r="K16" s="257"/>
    </row>
    <row r="17" spans="1:11" ht="15.75" x14ac:dyDescent="0.25">
      <c r="A17" s="258" t="s">
        <v>302</v>
      </c>
      <c r="B17" s="259">
        <v>0.14675471949836569</v>
      </c>
      <c r="C17" s="259">
        <v>0.14586239856128194</v>
      </c>
      <c r="D17" s="259">
        <v>0.18594224293646397</v>
      </c>
      <c r="E17" s="259">
        <v>0.16949992327072302</v>
      </c>
      <c r="F17" s="259">
        <v>0.22146058846760192</v>
      </c>
      <c r="G17" s="259">
        <v>0.21113483101566094</v>
      </c>
      <c r="H17" s="259">
        <v>0.19723954877782915</v>
      </c>
      <c r="I17" s="259">
        <v>0.21575578027703549</v>
      </c>
      <c r="J17" s="259">
        <v>0.18921275688995268</v>
      </c>
      <c r="K17" s="259">
        <v>0.18828524337578625</v>
      </c>
    </row>
    <row r="18" spans="1:11" ht="15.75" x14ac:dyDescent="0.25">
      <c r="A18" s="260" t="s">
        <v>303</v>
      </c>
      <c r="B18" s="261">
        <v>22749.237061769614</v>
      </c>
      <c r="C18" s="261">
        <v>17836.116492146597</v>
      </c>
      <c r="D18" s="261">
        <v>19069.26895076246</v>
      </c>
      <c r="E18" s="261">
        <v>26588.321292137494</v>
      </c>
      <c r="F18" s="261">
        <v>23062.690410176405</v>
      </c>
      <c r="G18" s="261">
        <v>29563.461657381413</v>
      </c>
      <c r="H18" s="261">
        <v>27753.868749880075</v>
      </c>
      <c r="I18" s="261">
        <v>25189.840925296896</v>
      </c>
      <c r="J18" s="261">
        <v>21464.960192726398</v>
      </c>
      <c r="K18" s="261">
        <v>21464.960192726398</v>
      </c>
    </row>
    <row r="19" spans="1:11" ht="15.75" x14ac:dyDescent="0.25">
      <c r="A19" s="251" t="s">
        <v>304</v>
      </c>
      <c r="B19" s="262">
        <v>1138.5642737896494</v>
      </c>
      <c r="C19" s="262">
        <v>1335.0785340314137</v>
      </c>
      <c r="D19" s="262">
        <v>1735.9679365894037</v>
      </c>
      <c r="E19" s="262">
        <v>1435.5224230643998</v>
      </c>
      <c r="F19" s="262">
        <v>1865.8618207138263</v>
      </c>
      <c r="G19" s="262">
        <v>1963.7774975870025</v>
      </c>
      <c r="H19" s="262">
        <v>1993.2341600508075</v>
      </c>
      <c r="I19" s="262">
        <v>2354.7809639226834</v>
      </c>
      <c r="J19" s="262">
        <v>2334.5888971833401</v>
      </c>
      <c r="K19" s="262">
        <v>2019.2082896207585</v>
      </c>
    </row>
    <row r="20" spans="1:11" ht="15.75" x14ac:dyDescent="0.25">
      <c r="A20" s="251" t="s">
        <v>305</v>
      </c>
      <c r="B20" s="263">
        <v>5.0048459677930091E-2</v>
      </c>
      <c r="C20" s="263">
        <v>7.4852535002182835E-2</v>
      </c>
      <c r="D20" s="263">
        <v>9.1034844653548871E-2</v>
      </c>
      <c r="E20" s="263">
        <v>9.8378328933763567E-2</v>
      </c>
      <c r="F20" s="263">
        <v>8.0903909627582538E-2</v>
      </c>
      <c r="G20" s="263">
        <v>9.0701415600511523E-2</v>
      </c>
      <c r="H20" s="263">
        <v>9.2061936834519201E-2</v>
      </c>
      <c r="I20" s="263">
        <v>8.8287965210089941E-2</v>
      </c>
      <c r="J20" s="263">
        <v>9.2679779285101765E-2</v>
      </c>
      <c r="K20" s="263">
        <v>9.4069975974378287E-2</v>
      </c>
    </row>
    <row r="23" spans="1:11" ht="15.75" x14ac:dyDescent="0.25">
      <c r="A23" s="264"/>
    </row>
    <row r="24" spans="1:11" ht="15.75" x14ac:dyDescent="0.25">
      <c r="A24" s="26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4A86-72DF-4C96-B601-4350F1CBA975}">
  <sheetPr>
    <pageSetUpPr fitToPage="1"/>
  </sheetPr>
  <dimension ref="A1:P16"/>
  <sheetViews>
    <sheetView zoomScale="75" zoomScaleNormal="75" zoomScaleSheetLayoutView="85" workbookViewId="0">
      <selection activeCell="C16" sqref="C16"/>
    </sheetView>
  </sheetViews>
  <sheetFormatPr defaultColWidth="8.7109375" defaultRowHeight="15" x14ac:dyDescent="0.25"/>
  <cols>
    <col min="1" max="1" width="6.140625" style="93" customWidth="1"/>
    <col min="2" max="2" width="32.85546875" style="93" bestFit="1" customWidth="1"/>
    <col min="3" max="10" width="10.7109375" style="93" customWidth="1"/>
    <col min="11" max="11" width="17.28515625" style="93" bestFit="1" customWidth="1"/>
    <col min="12" max="16" width="15.42578125" style="93" customWidth="1"/>
    <col min="17" max="16384" width="8.7109375" style="7"/>
  </cols>
  <sheetData>
    <row r="1" spans="1:16" x14ac:dyDescent="0.25">
      <c r="A1" s="138" t="s">
        <v>307</v>
      </c>
      <c r="B1" s="7"/>
    </row>
    <row r="2" spans="1:16" x14ac:dyDescent="0.25">
      <c r="A2" s="138" t="s">
        <v>308</v>
      </c>
      <c r="C2" s="96"/>
      <c r="D2" s="96"/>
      <c r="E2" s="96"/>
      <c r="F2" s="96"/>
      <c r="G2" s="96"/>
      <c r="H2" s="96"/>
      <c r="I2" s="96"/>
      <c r="J2" s="96"/>
      <c r="K2" s="96"/>
      <c r="L2" s="96"/>
      <c r="M2" s="96"/>
      <c r="N2" s="96"/>
      <c r="O2" s="96"/>
      <c r="P2" s="96"/>
    </row>
    <row r="4" spans="1:16" x14ac:dyDescent="0.25">
      <c r="C4" s="93" t="s">
        <v>309</v>
      </c>
      <c r="E4" s="93" t="s">
        <v>310</v>
      </c>
      <c r="G4" s="93" t="s">
        <v>311</v>
      </c>
      <c r="I4" s="93" t="s">
        <v>312</v>
      </c>
    </row>
    <row r="5" spans="1:16" x14ac:dyDescent="0.25">
      <c r="B5" s="140" t="s">
        <v>313</v>
      </c>
      <c r="C5" s="93">
        <v>43000</v>
      </c>
      <c r="D5" s="93" t="s">
        <v>314</v>
      </c>
      <c r="E5" s="93">
        <v>46930</v>
      </c>
      <c r="F5" s="141">
        <f>(E5-C5)/C5</f>
        <v>9.1395348837209303E-2</v>
      </c>
      <c r="G5" s="93">
        <v>60000</v>
      </c>
      <c r="H5" s="141">
        <f>(G5-E5)/E5</f>
        <v>0.2784998934583422</v>
      </c>
      <c r="I5" s="93">
        <v>62000</v>
      </c>
      <c r="J5" s="158">
        <f>(I5-G5)/G5</f>
        <v>3.3333333333333333E-2</v>
      </c>
    </row>
    <row r="6" spans="1:16" x14ac:dyDescent="0.25">
      <c r="B6" s="140"/>
      <c r="D6" s="141"/>
      <c r="F6" s="141"/>
      <c r="H6" s="141"/>
    </row>
    <row r="7" spans="1:16" x14ac:dyDescent="0.25">
      <c r="B7" s="140"/>
      <c r="D7" s="141"/>
      <c r="F7" s="141"/>
      <c r="H7" s="141"/>
    </row>
    <row r="8" spans="1:16" x14ac:dyDescent="0.25">
      <c r="A8" s="138" t="s">
        <v>315</v>
      </c>
      <c r="B8" s="140"/>
      <c r="D8" s="141"/>
      <c r="F8" s="141"/>
      <c r="H8" s="141"/>
    </row>
    <row r="9" spans="1:16" x14ac:dyDescent="0.25">
      <c r="B9" s="157" t="s">
        <v>310</v>
      </c>
      <c r="C9" s="93" t="s">
        <v>316</v>
      </c>
      <c r="E9" s="93" t="s">
        <v>317</v>
      </c>
      <c r="G9" s="93" t="s">
        <v>318</v>
      </c>
      <c r="I9" s="93" t="s">
        <v>319</v>
      </c>
      <c r="K9" s="157" t="s">
        <v>320</v>
      </c>
      <c r="M9" s="93" t="s">
        <v>321</v>
      </c>
    </row>
    <row r="10" spans="1:16" x14ac:dyDescent="0.25">
      <c r="B10" s="140" t="s">
        <v>322</v>
      </c>
      <c r="C10" s="93">
        <v>759.98</v>
      </c>
      <c r="D10" s="158">
        <f>C10/K10</f>
        <v>0.99473821989528799</v>
      </c>
      <c r="E10" s="93">
        <v>770.14</v>
      </c>
      <c r="F10" s="158">
        <f>E10/K10</f>
        <v>1.0080366492146597</v>
      </c>
      <c r="G10" s="93">
        <v>765.79</v>
      </c>
      <c r="H10" s="158">
        <f>G10/K10</f>
        <v>1.0023429319371728</v>
      </c>
      <c r="I10" s="93">
        <v>768</v>
      </c>
      <c r="J10" s="158">
        <f>I10/K10</f>
        <v>1.0052356020942408</v>
      </c>
      <c r="K10" s="93">
        <v>764</v>
      </c>
      <c r="M10" s="93">
        <f>AVERAGE(C10,E10,G10,I10)</f>
        <v>765.97749999999996</v>
      </c>
    </row>
    <row r="11" spans="1:16" x14ac:dyDescent="0.25">
      <c r="B11" s="140"/>
      <c r="D11" s="141"/>
      <c r="F11" s="141"/>
      <c r="H11" s="141"/>
    </row>
    <row r="12" spans="1:16" x14ac:dyDescent="0.25">
      <c r="B12" s="157" t="s">
        <v>311</v>
      </c>
      <c r="C12" s="93" t="s">
        <v>316</v>
      </c>
      <c r="E12" s="93" t="s">
        <v>317</v>
      </c>
      <c r="G12" s="93" t="s">
        <v>318</v>
      </c>
      <c r="I12" s="93" t="s">
        <v>319</v>
      </c>
      <c r="K12" s="157" t="s">
        <v>323</v>
      </c>
      <c r="M12" s="93" t="s">
        <v>321</v>
      </c>
    </row>
    <row r="13" spans="1:16" x14ac:dyDescent="0.25">
      <c r="B13" s="140" t="s">
        <v>322</v>
      </c>
      <c r="C13" s="93">
        <v>889.75</v>
      </c>
      <c r="D13" s="158">
        <f>C13/K13</f>
        <v>0.97453450164293542</v>
      </c>
      <c r="E13" s="93">
        <v>899.79</v>
      </c>
      <c r="F13" s="158">
        <f>E13/K13</f>
        <v>0.98553121577217961</v>
      </c>
      <c r="G13" s="180">
        <v>890</v>
      </c>
      <c r="H13" s="158"/>
      <c r="I13" s="180">
        <v>890</v>
      </c>
      <c r="J13" s="158"/>
      <c r="K13" s="93">
        <v>913</v>
      </c>
      <c r="M13" s="93">
        <f>AVERAGE(C13,E13,G13,I13)</f>
        <v>892.38499999999999</v>
      </c>
    </row>
    <row r="14" spans="1:16" x14ac:dyDescent="0.25">
      <c r="B14" s="140"/>
      <c r="D14" s="141"/>
      <c r="F14" s="141"/>
      <c r="H14" s="141"/>
    </row>
    <row r="15" spans="1:16" x14ac:dyDescent="0.25">
      <c r="B15" s="157" t="s">
        <v>312</v>
      </c>
      <c r="C15" s="93" t="s">
        <v>316</v>
      </c>
      <c r="E15" s="93" t="s">
        <v>317</v>
      </c>
      <c r="G15" s="93" t="s">
        <v>318</v>
      </c>
      <c r="I15" s="93" t="s">
        <v>319</v>
      </c>
      <c r="K15" s="157" t="s">
        <v>324</v>
      </c>
      <c r="M15" s="93" t="s">
        <v>321</v>
      </c>
    </row>
    <row r="16" spans="1:16" x14ac:dyDescent="0.25">
      <c r="B16" s="140" t="s">
        <v>322</v>
      </c>
      <c r="C16" s="93">
        <v>1060</v>
      </c>
      <c r="D16" s="158" t="e">
        <f>C16/K16</f>
        <v>#DIV/0!</v>
      </c>
      <c r="F16" s="158"/>
      <c r="H16" s="158"/>
      <c r="J16" s="158"/>
      <c r="K16" s="93">
        <v>0</v>
      </c>
      <c r="M16" s="93">
        <f>AVERAGE(C16,E16,G16,I16)</f>
        <v>1060</v>
      </c>
    </row>
  </sheetData>
  <pageMargins left="0.7" right="0.7" top="0.75" bottom="0.75" header="0.3" footer="0.3"/>
  <pageSetup scale="57" orientation="landscape" r:id="rId1"/>
  <headerFooter>
    <oddFooter>&amp;LPage &amp;P&amp;C
&amp;R
 &amp;G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89EF-FE2B-4735-97E7-CD524B79DE5E}">
  <dimension ref="A2:I4"/>
  <sheetViews>
    <sheetView zoomScale="75" zoomScaleNormal="75" workbookViewId="0">
      <selection activeCell="F25" sqref="F25"/>
    </sheetView>
  </sheetViews>
  <sheetFormatPr defaultRowHeight="15" x14ac:dyDescent="0.25"/>
  <cols>
    <col min="1" max="1" width="9.42578125" customWidth="1"/>
    <col min="2" max="2" width="12.42578125" bestFit="1" customWidth="1"/>
  </cols>
  <sheetData>
    <row r="2" spans="1:9" ht="30" x14ac:dyDescent="0.25">
      <c r="B2" s="212" t="s">
        <v>325</v>
      </c>
      <c r="C2" s="214" t="s">
        <v>2</v>
      </c>
      <c r="D2" s="214" t="s">
        <v>326</v>
      </c>
      <c r="E2" s="214" t="s">
        <v>327</v>
      </c>
      <c r="F2" s="214" t="s">
        <v>328</v>
      </c>
      <c r="G2" s="214" t="s">
        <v>329</v>
      </c>
      <c r="H2" s="214" t="s">
        <v>330</v>
      </c>
      <c r="I2" s="214" t="s">
        <v>331</v>
      </c>
    </row>
    <row r="3" spans="1:9" x14ac:dyDescent="0.25">
      <c r="A3" s="94" t="s">
        <v>310</v>
      </c>
      <c r="B3" s="98" t="s">
        <v>332</v>
      </c>
      <c r="C3" s="98">
        <v>59</v>
      </c>
      <c r="D3" s="98">
        <v>241</v>
      </c>
      <c r="E3" s="98">
        <v>0</v>
      </c>
      <c r="F3" s="98">
        <v>467</v>
      </c>
      <c r="G3" s="98">
        <v>767</v>
      </c>
      <c r="H3" s="98">
        <v>767</v>
      </c>
      <c r="I3" s="215">
        <v>1</v>
      </c>
    </row>
    <row r="4" spans="1:9" x14ac:dyDescent="0.25">
      <c r="A4" s="94" t="s">
        <v>311</v>
      </c>
      <c r="B4" s="98" t="s">
        <v>332</v>
      </c>
      <c r="C4" s="98">
        <v>77</v>
      </c>
      <c r="D4" s="98">
        <v>276</v>
      </c>
      <c r="E4" s="98">
        <v>0</v>
      </c>
      <c r="F4" s="98">
        <v>552</v>
      </c>
      <c r="G4" s="98">
        <v>905</v>
      </c>
      <c r="H4" s="98">
        <v>905</v>
      </c>
      <c r="I4" s="215">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368-32A8-47F2-8C63-0E3B10DDA9C5}">
  <dimension ref="A1:M23"/>
  <sheetViews>
    <sheetView zoomScale="75" zoomScaleNormal="75" workbookViewId="0">
      <selection activeCell="F25" sqref="F25"/>
    </sheetView>
  </sheetViews>
  <sheetFormatPr defaultRowHeight="15" x14ac:dyDescent="0.25"/>
  <cols>
    <col min="1" max="1" width="11.7109375" bestFit="1" customWidth="1"/>
    <col min="2" max="4" width="9.5703125" customWidth="1"/>
    <col min="5" max="5" width="10.7109375" bestFit="1" customWidth="1"/>
    <col min="6" max="6" width="9.5703125" customWidth="1"/>
    <col min="7" max="7" width="6.140625" customWidth="1"/>
    <col min="8" max="8" width="11.7109375" bestFit="1" customWidth="1"/>
    <col min="11" max="11" width="9.140625" bestFit="1" customWidth="1"/>
  </cols>
  <sheetData>
    <row r="1" spans="1:13" x14ac:dyDescent="0.25">
      <c r="A1" s="181" t="s">
        <v>333</v>
      </c>
      <c r="B1" s="139"/>
      <c r="C1" s="139"/>
      <c r="D1" s="139"/>
      <c r="E1" s="139"/>
      <c r="F1" s="139"/>
      <c r="G1" s="182"/>
      <c r="H1" s="181" t="s">
        <v>334</v>
      </c>
      <c r="I1" s="139"/>
      <c r="J1" s="139"/>
      <c r="K1" s="139"/>
      <c r="L1" s="139"/>
      <c r="M1" s="139"/>
    </row>
    <row r="2" spans="1:13" x14ac:dyDescent="0.25">
      <c r="A2" s="98"/>
      <c r="B2" s="183" t="s">
        <v>335</v>
      </c>
      <c r="C2" s="183" t="s">
        <v>326</v>
      </c>
      <c r="D2" s="183" t="s">
        <v>327</v>
      </c>
      <c r="E2" s="183" t="s">
        <v>336</v>
      </c>
      <c r="F2" s="183" t="s">
        <v>2</v>
      </c>
      <c r="G2" s="182"/>
      <c r="H2" s="98"/>
      <c r="I2" s="183" t="s">
        <v>335</v>
      </c>
      <c r="J2" s="183" t="s">
        <v>326</v>
      </c>
      <c r="K2" s="183" t="s">
        <v>327</v>
      </c>
      <c r="L2" s="183" t="s">
        <v>336</v>
      </c>
      <c r="M2" s="183" t="s">
        <v>2</v>
      </c>
    </row>
    <row r="3" spans="1:13" x14ac:dyDescent="0.25">
      <c r="A3" s="98" t="s">
        <v>337</v>
      </c>
      <c r="B3" s="83">
        <v>7293</v>
      </c>
      <c r="C3" s="83">
        <v>1669</v>
      </c>
      <c r="D3" s="83">
        <v>862</v>
      </c>
      <c r="E3" s="83">
        <v>247</v>
      </c>
      <c r="F3" s="184">
        <v>2617.2600000000002</v>
      </c>
      <c r="G3" s="182"/>
      <c r="H3" s="98" t="s">
        <v>337</v>
      </c>
      <c r="I3" s="83">
        <v>7073.89</v>
      </c>
      <c r="J3" s="83">
        <v>1669</v>
      </c>
      <c r="K3" s="83">
        <v>862</v>
      </c>
      <c r="L3" s="83">
        <v>247</v>
      </c>
      <c r="M3" s="184">
        <v>2617.2600000000002</v>
      </c>
    </row>
    <row r="4" spans="1:13" x14ac:dyDescent="0.25">
      <c r="A4" s="98" t="s">
        <v>338</v>
      </c>
      <c r="B4" s="83">
        <v>8966</v>
      </c>
      <c r="C4" s="83">
        <f>B4*0.45</f>
        <v>4034.7000000000003</v>
      </c>
      <c r="D4" s="83">
        <f>B4*0.12</f>
        <v>1075.92</v>
      </c>
      <c r="E4" s="5">
        <f>B4*0.35</f>
        <v>3138.1</v>
      </c>
      <c r="F4" s="184">
        <v>3845</v>
      </c>
      <c r="G4" s="182"/>
      <c r="H4" s="98" t="s">
        <v>338</v>
      </c>
      <c r="I4" s="83">
        <v>8966</v>
      </c>
      <c r="J4" s="83">
        <f>I4*0.45</f>
        <v>4034.7000000000003</v>
      </c>
      <c r="K4" s="83">
        <f>I4*0.12</f>
        <v>1075.92</v>
      </c>
      <c r="L4" s="5">
        <f>I4*0.35</f>
        <v>3138.1</v>
      </c>
      <c r="M4" s="184">
        <v>3845</v>
      </c>
    </row>
    <row r="5" spans="1:13" x14ac:dyDescent="0.25">
      <c r="A5" s="98" t="s">
        <v>12</v>
      </c>
      <c r="B5" s="83">
        <v>9414</v>
      </c>
      <c r="C5" s="83">
        <f>B5*0.45</f>
        <v>4236.3</v>
      </c>
      <c r="D5" s="83">
        <f>B5*0.12</f>
        <v>1129.68</v>
      </c>
      <c r="E5" s="185">
        <f>B5*0.35</f>
        <v>3294.8999999999996</v>
      </c>
      <c r="F5" s="184">
        <v>3840</v>
      </c>
      <c r="G5" s="182"/>
      <c r="H5" s="98" t="s">
        <v>12</v>
      </c>
      <c r="I5" s="83">
        <v>9414</v>
      </c>
      <c r="J5" s="83">
        <f>I5*0.45</f>
        <v>4236.3</v>
      </c>
      <c r="K5" s="83">
        <f>I5*0.12</f>
        <v>1129.68</v>
      </c>
      <c r="L5" s="185">
        <f>I5*0.35</f>
        <v>3294.8999999999996</v>
      </c>
      <c r="M5" s="184">
        <v>3840</v>
      </c>
    </row>
    <row r="6" spans="1:13" x14ac:dyDescent="0.25">
      <c r="G6" s="182"/>
    </row>
    <row r="7" spans="1:13" x14ac:dyDescent="0.25">
      <c r="A7" s="98" t="s">
        <v>339</v>
      </c>
      <c r="B7" s="186">
        <f>B5-B4</f>
        <v>448</v>
      </c>
      <c r="C7" s="186">
        <f t="shared" ref="C7:F7" si="0">C5-C4</f>
        <v>201.59999999999991</v>
      </c>
      <c r="D7" s="186">
        <f t="shared" si="0"/>
        <v>53.759999999999991</v>
      </c>
      <c r="E7" s="186">
        <f t="shared" si="0"/>
        <v>156.79999999999973</v>
      </c>
      <c r="F7" s="186">
        <f t="shared" si="0"/>
        <v>-5</v>
      </c>
      <c r="G7" s="182"/>
      <c r="H7" s="98" t="s">
        <v>339</v>
      </c>
      <c r="I7" s="186">
        <f>I5-I4</f>
        <v>448</v>
      </c>
      <c r="J7" s="186">
        <f t="shared" ref="J7:M7" si="1">J5-J4</f>
        <v>201.59999999999991</v>
      </c>
      <c r="K7" s="186">
        <f t="shared" si="1"/>
        <v>53.759999999999991</v>
      </c>
      <c r="L7" s="186">
        <f t="shared" si="1"/>
        <v>156.79999999999973</v>
      </c>
      <c r="M7" s="186">
        <f t="shared" si="1"/>
        <v>-5</v>
      </c>
    </row>
    <row r="8" spans="1:13" x14ac:dyDescent="0.25">
      <c r="A8" s="98" t="s">
        <v>340</v>
      </c>
      <c r="B8" s="187">
        <f>B7/B3</f>
        <v>6.142876731112025E-2</v>
      </c>
      <c r="C8" s="187">
        <f t="shared" ref="C8:F8" si="2">C7/C3</f>
        <v>0.12079089275014973</v>
      </c>
      <c r="D8" s="187">
        <f t="shared" si="2"/>
        <v>6.2366589327146164E-2</v>
      </c>
      <c r="E8" s="187">
        <f t="shared" si="2"/>
        <v>0.63481781376518109</v>
      </c>
      <c r="F8" s="187">
        <f t="shared" si="2"/>
        <v>-1.9103948404056148E-3</v>
      </c>
      <c r="G8" s="182"/>
      <c r="H8" s="98" t="s">
        <v>340</v>
      </c>
      <c r="I8" s="187">
        <f>I7/I3</f>
        <v>6.3331490877013924E-2</v>
      </c>
      <c r="J8" s="187">
        <f t="shared" ref="J8:M8" si="3">J7/J3</f>
        <v>0.12079089275014973</v>
      </c>
      <c r="K8" s="187">
        <f t="shared" si="3"/>
        <v>6.2366589327146164E-2</v>
      </c>
      <c r="L8" s="187">
        <f t="shared" si="3"/>
        <v>0.63481781376518109</v>
      </c>
      <c r="M8" s="187">
        <f t="shared" si="3"/>
        <v>-1.9103948404056148E-3</v>
      </c>
    </row>
    <row r="9" spans="1:13" x14ac:dyDescent="0.25">
      <c r="B9" s="188"/>
      <c r="C9" s="188"/>
      <c r="D9" s="188"/>
      <c r="E9" s="188"/>
      <c r="F9" s="188"/>
    </row>
    <row r="10" spans="1:13" x14ac:dyDescent="0.25">
      <c r="B10" s="188"/>
      <c r="C10" s="188"/>
      <c r="D10" s="188"/>
      <c r="E10" s="188"/>
      <c r="F10" s="188"/>
    </row>
    <row r="19" spans="2:9" x14ac:dyDescent="0.25">
      <c r="I19" s="159"/>
    </row>
    <row r="23" spans="2:9" x14ac:dyDescent="0.25">
      <c r="B23" s="95"/>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3F29-39AC-4934-8C8D-2CAD807B8348}">
  <dimension ref="A1:Q301"/>
  <sheetViews>
    <sheetView topLeftCell="A17" zoomScale="75" zoomScaleNormal="75" workbookViewId="0">
      <selection activeCell="M49" sqref="B49:M50"/>
    </sheetView>
  </sheetViews>
  <sheetFormatPr defaultRowHeight="15" x14ac:dyDescent="0.25"/>
  <cols>
    <col min="1" max="1" width="8.7109375" customWidth="1"/>
    <col min="2" max="2" width="28.85546875" customWidth="1"/>
    <col min="3" max="3" width="13.5703125" customWidth="1"/>
    <col min="4" max="4" width="20.28515625" customWidth="1"/>
    <col min="5" max="5" width="39.42578125" bestFit="1" customWidth="1"/>
    <col min="6" max="6" width="16.5703125" customWidth="1"/>
    <col min="7" max="7" width="10" customWidth="1"/>
    <col min="8" max="8" width="16.28515625" style="136" customWidth="1"/>
    <col min="9" max="9" width="14.28515625" style="103" customWidth="1"/>
    <col min="11" max="11" width="9.7109375" customWidth="1"/>
    <col min="12" max="12" width="18.28515625" customWidth="1"/>
    <col min="13" max="13" width="32.42578125" customWidth="1"/>
    <col min="14" max="14" width="17.28515625" bestFit="1" customWidth="1"/>
    <col min="15" max="15" width="16.42578125" style="103" customWidth="1"/>
    <col min="17" max="17" width="15.28515625" bestFit="1" customWidth="1"/>
  </cols>
  <sheetData>
    <row r="1" spans="1:17" x14ac:dyDescent="0.25">
      <c r="A1" s="213" t="s">
        <v>341</v>
      </c>
      <c r="B1" s="212" t="s">
        <v>342</v>
      </c>
      <c r="N1" t="s">
        <v>343</v>
      </c>
      <c r="O1" s="103">
        <f>SUM(O6:O300)</f>
        <v>4776123</v>
      </c>
      <c r="P1" t="b">
        <f>O1=O301</f>
        <v>1</v>
      </c>
      <c r="Q1" s="102">
        <f>O1*1.03</f>
        <v>4919406.6900000004</v>
      </c>
    </row>
    <row r="2" spans="1:17" x14ac:dyDescent="0.25">
      <c r="A2" s="213" t="s">
        <v>344</v>
      </c>
      <c r="B2" s="212" t="s">
        <v>342</v>
      </c>
      <c r="N2" s="161" t="s">
        <v>345</v>
      </c>
      <c r="O2" s="178">
        <f>SUMIF(F6:F300,N2,O6:O300)</f>
        <v>478128</v>
      </c>
      <c r="Q2" s="102">
        <f>60000*5</f>
        <v>300000</v>
      </c>
    </row>
    <row r="3" spans="1:17" x14ac:dyDescent="0.25">
      <c r="A3" s="213" t="s">
        <v>346</v>
      </c>
      <c r="B3" s="212">
        <v>24</v>
      </c>
      <c r="N3" s="94" t="s">
        <v>347</v>
      </c>
      <c r="O3" s="147">
        <f>O1-O2</f>
        <v>4297995</v>
      </c>
      <c r="P3" s="107" t="str">
        <f>IF('24-25'!H132&gt;Payroll!O3,"OK","OVER")</f>
        <v>OK</v>
      </c>
      <c r="Q3" s="102">
        <f>Q1+Q2</f>
        <v>5219406.6900000004</v>
      </c>
    </row>
    <row r="5" spans="1:17" s="204" customFormat="1" ht="33" x14ac:dyDescent="0.3">
      <c r="A5" s="211"/>
      <c r="B5" s="206" t="s">
        <v>348</v>
      </c>
      <c r="C5" s="206" t="s">
        <v>349</v>
      </c>
      <c r="D5" s="208" t="s">
        <v>350</v>
      </c>
      <c r="E5" s="208" t="s">
        <v>351</v>
      </c>
      <c r="F5" s="210" t="s">
        <v>352</v>
      </c>
      <c r="G5" s="210" t="s">
        <v>353</v>
      </c>
      <c r="H5" s="209" t="s">
        <v>354</v>
      </c>
      <c r="I5" s="205" t="s">
        <v>355</v>
      </c>
      <c r="J5" s="208" t="s">
        <v>356</v>
      </c>
      <c r="K5" s="208" t="s">
        <v>357</v>
      </c>
      <c r="L5" s="207" t="s">
        <v>358</v>
      </c>
      <c r="M5" s="206" t="s">
        <v>359</v>
      </c>
      <c r="N5" s="206" t="s">
        <v>360</v>
      </c>
      <c r="O5" s="205" t="s">
        <v>361</v>
      </c>
    </row>
    <row r="6" spans="1:17" x14ac:dyDescent="0.25">
      <c r="B6" s="98" t="s">
        <v>362</v>
      </c>
      <c r="C6" s="98"/>
      <c r="D6" s="98" t="s">
        <v>363</v>
      </c>
      <c r="E6" s="98" t="s">
        <v>16</v>
      </c>
      <c r="F6" s="98" t="s">
        <v>1</v>
      </c>
      <c r="G6" s="201">
        <v>1</v>
      </c>
      <c r="H6" s="203">
        <v>58000</v>
      </c>
      <c r="I6" s="200">
        <f t="shared" ref="I6:I69" si="0">IF(H6&lt;100,H6*J6,H6/N6)</f>
        <v>318.68131868131866</v>
      </c>
      <c r="J6" s="98">
        <v>8</v>
      </c>
      <c r="K6" s="98">
        <v>9</v>
      </c>
      <c r="L6" s="98"/>
      <c r="M6" s="98"/>
      <c r="N6" s="199" cm="1">
        <f t="array" ref="N6">_xlfn.IFS(K6=12,228,K6=11,209,K6=10,196,K6=9,182)</f>
        <v>182</v>
      </c>
      <c r="O6" s="200">
        <f t="shared" ref="O6:O69" si="1">IFERROR(N6*I6,0)</f>
        <v>57999.999999999993</v>
      </c>
    </row>
    <row r="7" spans="1:17" x14ac:dyDescent="0.25">
      <c r="B7" s="98" t="s">
        <v>364</v>
      </c>
      <c r="C7" s="98"/>
      <c r="D7" s="98" t="s">
        <v>363</v>
      </c>
      <c r="E7" s="98" t="s">
        <v>16</v>
      </c>
      <c r="F7" s="98" t="s">
        <v>1</v>
      </c>
      <c r="G7" s="201">
        <v>1</v>
      </c>
      <c r="H7" s="203">
        <v>65000</v>
      </c>
      <c r="I7" s="200">
        <f t="shared" si="0"/>
        <v>357.14285714285717</v>
      </c>
      <c r="J7" s="98">
        <v>8</v>
      </c>
      <c r="K7" s="98">
        <v>9</v>
      </c>
      <c r="L7" s="98"/>
      <c r="M7" s="98"/>
      <c r="N7" s="199" cm="1">
        <f t="array" ref="N7">_xlfn.IFS(K7=12,228,K7=11,209,K7=10,196,K7=9,182)</f>
        <v>182</v>
      </c>
      <c r="O7" s="200">
        <f t="shared" si="1"/>
        <v>65000.000000000007</v>
      </c>
    </row>
    <row r="8" spans="1:17" x14ac:dyDescent="0.25">
      <c r="B8" s="98" t="s">
        <v>365</v>
      </c>
      <c r="C8" s="98"/>
      <c r="D8" s="98" t="s">
        <v>363</v>
      </c>
      <c r="E8" s="98" t="s">
        <v>16</v>
      </c>
      <c r="F8" s="98" t="s">
        <v>1</v>
      </c>
      <c r="G8" s="201">
        <v>1</v>
      </c>
      <c r="H8" s="203">
        <v>45000</v>
      </c>
      <c r="I8" s="200">
        <f t="shared" si="0"/>
        <v>247.25274725274724</v>
      </c>
      <c r="J8" s="98">
        <v>8</v>
      </c>
      <c r="K8" s="98">
        <v>9</v>
      </c>
      <c r="L8" s="98"/>
      <c r="M8" s="98"/>
      <c r="N8" s="199" cm="1">
        <f t="array" ref="N8">_xlfn.IFS(K8=12,228,K8=11,209,K8=10,196,K8=9,182)</f>
        <v>182</v>
      </c>
      <c r="O8" s="200">
        <f t="shared" si="1"/>
        <v>45000</v>
      </c>
    </row>
    <row r="9" spans="1:17" x14ac:dyDescent="0.25">
      <c r="B9" s="98" t="s">
        <v>366</v>
      </c>
      <c r="C9" s="98"/>
      <c r="D9" s="98" t="s">
        <v>363</v>
      </c>
      <c r="E9" s="98" t="s">
        <v>16</v>
      </c>
      <c r="F9" s="98" t="s">
        <v>1</v>
      </c>
      <c r="G9" s="201">
        <v>1</v>
      </c>
      <c r="H9" s="203">
        <v>48000</v>
      </c>
      <c r="I9" s="200">
        <f t="shared" si="0"/>
        <v>263.73626373626371</v>
      </c>
      <c r="J9" s="98">
        <v>8</v>
      </c>
      <c r="K9" s="98">
        <v>9</v>
      </c>
      <c r="L9" s="98"/>
      <c r="M9" s="98"/>
      <c r="N9" s="199" cm="1">
        <f t="array" ref="N9">_xlfn.IFS(K9=12,228,K9=11,209,K9=10,196,K9=9,182)</f>
        <v>182</v>
      </c>
      <c r="O9" s="200">
        <f t="shared" si="1"/>
        <v>47999.999999999993</v>
      </c>
    </row>
    <row r="10" spans="1:17" x14ac:dyDescent="0.25">
      <c r="B10" s="98" t="s">
        <v>367</v>
      </c>
      <c r="C10" s="98"/>
      <c r="D10" s="98" t="s">
        <v>363</v>
      </c>
      <c r="E10" s="98" t="s">
        <v>16</v>
      </c>
      <c r="F10" s="98" t="s">
        <v>1</v>
      </c>
      <c r="G10" s="201">
        <v>1</v>
      </c>
      <c r="H10" s="203">
        <v>48000</v>
      </c>
      <c r="I10" s="200">
        <f t="shared" si="0"/>
        <v>263.73626373626371</v>
      </c>
      <c r="J10" s="98">
        <v>8</v>
      </c>
      <c r="K10" s="98">
        <v>9</v>
      </c>
      <c r="L10" s="98"/>
      <c r="M10" s="98"/>
      <c r="N10" s="199" cm="1">
        <f t="array" ref="N10">_xlfn.IFS(K10=12,228,K10=11,209,K10=10,196,K10=9,182)</f>
        <v>182</v>
      </c>
      <c r="O10" s="200">
        <f t="shared" si="1"/>
        <v>47999.999999999993</v>
      </c>
    </row>
    <row r="11" spans="1:17" x14ac:dyDescent="0.25">
      <c r="B11" s="98" t="s">
        <v>368</v>
      </c>
      <c r="C11" s="98"/>
      <c r="D11" s="98" t="s">
        <v>363</v>
      </c>
      <c r="E11" s="98" t="s">
        <v>369</v>
      </c>
      <c r="F11" s="98" t="s">
        <v>1</v>
      </c>
      <c r="G11" s="201">
        <v>1</v>
      </c>
      <c r="H11" s="203">
        <v>65000</v>
      </c>
      <c r="I11" s="200">
        <f t="shared" si="0"/>
        <v>357.14285714285717</v>
      </c>
      <c r="J11" s="98">
        <v>8</v>
      </c>
      <c r="K11" s="98">
        <v>9</v>
      </c>
      <c r="L11" s="98"/>
      <c r="M11" s="98"/>
      <c r="N11" s="199" cm="1">
        <f t="array" ref="N11">_xlfn.IFS(K11=12,228,K11=11,209,K11=10,196,K11=9,182)</f>
        <v>182</v>
      </c>
      <c r="O11" s="200">
        <f t="shared" si="1"/>
        <v>65000.000000000007</v>
      </c>
    </row>
    <row r="12" spans="1:17" x14ac:dyDescent="0.25">
      <c r="B12" s="98" t="s">
        <v>370</v>
      </c>
      <c r="C12" s="98"/>
      <c r="D12" s="98" t="s">
        <v>363</v>
      </c>
      <c r="E12" s="98" t="s">
        <v>369</v>
      </c>
      <c r="F12" s="98" t="s">
        <v>1</v>
      </c>
      <c r="G12" s="201">
        <v>1</v>
      </c>
      <c r="H12" s="203">
        <v>74000</v>
      </c>
      <c r="I12" s="200">
        <f t="shared" si="0"/>
        <v>406.5934065934066</v>
      </c>
      <c r="J12" s="98">
        <v>8</v>
      </c>
      <c r="K12" s="98">
        <v>9</v>
      </c>
      <c r="L12" s="98"/>
      <c r="M12" s="98"/>
      <c r="N12" s="199" cm="1">
        <f t="array" ref="N12">_xlfn.IFS(K12=12,228,K12=11,209,K12=10,196,K12=9,182)</f>
        <v>182</v>
      </c>
      <c r="O12" s="200">
        <f t="shared" si="1"/>
        <v>74000</v>
      </c>
    </row>
    <row r="13" spans="1:17" x14ac:dyDescent="0.25">
      <c r="B13" s="98" t="s">
        <v>371</v>
      </c>
      <c r="C13" s="98"/>
      <c r="D13" s="98" t="s">
        <v>363</v>
      </c>
      <c r="E13" s="98" t="s">
        <v>369</v>
      </c>
      <c r="F13" s="98" t="s">
        <v>1</v>
      </c>
      <c r="G13" s="201">
        <v>1</v>
      </c>
      <c r="H13" s="203">
        <v>65000</v>
      </c>
      <c r="I13" s="200">
        <f t="shared" si="0"/>
        <v>357.14285714285717</v>
      </c>
      <c r="J13" s="98">
        <v>8</v>
      </c>
      <c r="K13" s="98">
        <v>9</v>
      </c>
      <c r="L13" s="98"/>
      <c r="M13" s="98"/>
      <c r="N13" s="199" cm="1">
        <f t="array" ref="N13">_xlfn.IFS(K13=12,228,K13=11,209,K13=10,196,K13=9,182)</f>
        <v>182</v>
      </c>
      <c r="O13" s="200">
        <f t="shared" si="1"/>
        <v>65000.000000000007</v>
      </c>
    </row>
    <row r="14" spans="1:17" x14ac:dyDescent="0.25">
      <c r="B14" s="98" t="s">
        <v>372</v>
      </c>
      <c r="C14" s="98"/>
      <c r="D14" s="98" t="s">
        <v>363</v>
      </c>
      <c r="E14" s="98" t="s">
        <v>369</v>
      </c>
      <c r="F14" s="98" t="s">
        <v>1</v>
      </c>
      <c r="G14" s="201">
        <v>1</v>
      </c>
      <c r="H14" s="203">
        <v>45000</v>
      </c>
      <c r="I14" s="200">
        <f t="shared" si="0"/>
        <v>247.25274725274724</v>
      </c>
      <c r="J14" s="98">
        <v>8</v>
      </c>
      <c r="K14" s="98">
        <v>9</v>
      </c>
      <c r="L14" s="98"/>
      <c r="M14" s="98"/>
      <c r="N14" s="199" cm="1">
        <f t="array" ref="N14">_xlfn.IFS(K14=12,228,K14=11,209,K14=10,196,K14=9,182)</f>
        <v>182</v>
      </c>
      <c r="O14" s="200">
        <f t="shared" si="1"/>
        <v>45000</v>
      </c>
    </row>
    <row r="15" spans="1:17" x14ac:dyDescent="0.25">
      <c r="B15" s="98" t="s">
        <v>373</v>
      </c>
      <c r="C15" s="98"/>
      <c r="D15" s="98" t="s">
        <v>363</v>
      </c>
      <c r="E15" s="98" t="s">
        <v>369</v>
      </c>
      <c r="F15" s="98" t="s">
        <v>1</v>
      </c>
      <c r="G15" s="201">
        <v>1</v>
      </c>
      <c r="H15" s="203">
        <v>45000</v>
      </c>
      <c r="I15" s="200">
        <f t="shared" si="0"/>
        <v>247.25274725274724</v>
      </c>
      <c r="J15" s="98">
        <v>8</v>
      </c>
      <c r="K15" s="98">
        <v>9</v>
      </c>
      <c r="L15" s="98"/>
      <c r="M15" s="98"/>
      <c r="N15" s="199" cm="1">
        <f t="array" ref="N15">_xlfn.IFS(K15=12,228,K15=11,209,K15=10,196,K15=9,182)</f>
        <v>182</v>
      </c>
      <c r="O15" s="200">
        <f t="shared" si="1"/>
        <v>45000</v>
      </c>
    </row>
    <row r="16" spans="1:17" x14ac:dyDescent="0.25">
      <c r="B16" s="98" t="s">
        <v>374</v>
      </c>
      <c r="C16" s="98"/>
      <c r="D16" s="98" t="s">
        <v>363</v>
      </c>
      <c r="E16" s="98" t="s">
        <v>375</v>
      </c>
      <c r="F16" s="98" t="s">
        <v>1</v>
      </c>
      <c r="G16" s="201">
        <v>1</v>
      </c>
      <c r="H16" s="203">
        <v>63000</v>
      </c>
      <c r="I16" s="200">
        <f t="shared" si="0"/>
        <v>346.15384615384613</v>
      </c>
      <c r="J16" s="98">
        <v>8</v>
      </c>
      <c r="K16" s="98">
        <v>9</v>
      </c>
      <c r="L16" s="98"/>
      <c r="M16" s="98"/>
      <c r="N16" s="199" cm="1">
        <f t="array" ref="N16">_xlfn.IFS(K16=12,228,K16=11,209,K16=10,196,K16=9,182)</f>
        <v>182</v>
      </c>
      <c r="O16" s="200">
        <f t="shared" si="1"/>
        <v>62999.999999999993</v>
      </c>
    </row>
    <row r="17" spans="2:15" x14ac:dyDescent="0.25">
      <c r="B17" s="98" t="s">
        <v>376</v>
      </c>
      <c r="C17" s="98"/>
      <c r="D17" s="98" t="s">
        <v>363</v>
      </c>
      <c r="E17" s="98" t="s">
        <v>375</v>
      </c>
      <c r="F17" s="98" t="s">
        <v>1</v>
      </c>
      <c r="G17" s="201">
        <v>1</v>
      </c>
      <c r="H17" s="203">
        <v>48000</v>
      </c>
      <c r="I17" s="200">
        <f t="shared" si="0"/>
        <v>263.73626373626371</v>
      </c>
      <c r="J17" s="98">
        <v>8</v>
      </c>
      <c r="K17" s="98">
        <v>9</v>
      </c>
      <c r="L17" s="98"/>
      <c r="M17" s="98"/>
      <c r="N17" s="199" cm="1">
        <f t="array" ref="N17">_xlfn.IFS(K17=12,228,K17=11,209,K17=10,196,K17=9,182)</f>
        <v>182</v>
      </c>
      <c r="O17" s="200">
        <f t="shared" si="1"/>
        <v>47999.999999999993</v>
      </c>
    </row>
    <row r="18" spans="2:15" x14ac:dyDescent="0.25">
      <c r="B18" s="98" t="s">
        <v>377</v>
      </c>
      <c r="C18" s="98"/>
      <c r="D18" s="98" t="s">
        <v>363</v>
      </c>
      <c r="E18" s="98" t="s">
        <v>375</v>
      </c>
      <c r="F18" s="98" t="s">
        <v>1</v>
      </c>
      <c r="G18" s="201">
        <v>1</v>
      </c>
      <c r="H18" s="203">
        <v>45000</v>
      </c>
      <c r="I18" s="200">
        <f t="shared" si="0"/>
        <v>247.25274725274724</v>
      </c>
      <c r="J18" s="98">
        <v>8</v>
      </c>
      <c r="K18" s="98">
        <v>9</v>
      </c>
      <c r="L18" s="98"/>
      <c r="M18" s="98"/>
      <c r="N18" s="199" cm="1">
        <f t="array" ref="N18">_xlfn.IFS(K18=12,228,K18=11,209,K18=10,196,K18=9,182)</f>
        <v>182</v>
      </c>
      <c r="O18" s="200">
        <f t="shared" si="1"/>
        <v>45000</v>
      </c>
    </row>
    <row r="19" spans="2:15" x14ac:dyDescent="0.25">
      <c r="B19" s="98" t="s">
        <v>378</v>
      </c>
      <c r="C19" s="98"/>
      <c r="D19" s="98" t="s">
        <v>363</v>
      </c>
      <c r="E19" s="98" t="s">
        <v>375</v>
      </c>
      <c r="F19" s="98" t="s">
        <v>1</v>
      </c>
      <c r="G19" s="201">
        <v>1</v>
      </c>
      <c r="H19" s="203">
        <v>56000</v>
      </c>
      <c r="I19" s="200">
        <f t="shared" si="0"/>
        <v>307.69230769230768</v>
      </c>
      <c r="J19" s="98">
        <v>8</v>
      </c>
      <c r="K19" s="98">
        <v>9</v>
      </c>
      <c r="L19" s="98"/>
      <c r="M19" s="98"/>
      <c r="N19" s="199" cm="1">
        <f t="array" ref="N19">_xlfn.IFS(K19=12,228,K19=11,209,K19=10,196,K19=9,182)</f>
        <v>182</v>
      </c>
      <c r="O19" s="200">
        <f t="shared" si="1"/>
        <v>56000</v>
      </c>
    </row>
    <row r="20" spans="2:15" x14ac:dyDescent="0.25">
      <c r="B20" s="98" t="s">
        <v>379</v>
      </c>
      <c r="C20" s="98"/>
      <c r="D20" s="98" t="s">
        <v>363</v>
      </c>
      <c r="E20" s="98" t="s">
        <v>375</v>
      </c>
      <c r="F20" s="98" t="s">
        <v>1</v>
      </c>
      <c r="G20" s="201">
        <v>1</v>
      </c>
      <c r="H20" s="203">
        <v>47000</v>
      </c>
      <c r="I20" s="200">
        <f t="shared" si="0"/>
        <v>258.24175824175825</v>
      </c>
      <c r="J20" s="98">
        <v>8</v>
      </c>
      <c r="K20" s="98">
        <v>9</v>
      </c>
      <c r="L20" s="98"/>
      <c r="M20" s="98"/>
      <c r="N20" s="199" cm="1">
        <f t="array" ref="N20">_xlfn.IFS(K20=12,228,K20=11,209,K20=10,196,K20=9,182)</f>
        <v>182</v>
      </c>
      <c r="O20" s="200">
        <f t="shared" si="1"/>
        <v>47000</v>
      </c>
    </row>
    <row r="21" spans="2:15" x14ac:dyDescent="0.25">
      <c r="B21" s="98" t="s">
        <v>380</v>
      </c>
      <c r="C21" s="98"/>
      <c r="D21" s="98" t="s">
        <v>363</v>
      </c>
      <c r="E21" s="98" t="s">
        <v>381</v>
      </c>
      <c r="F21" s="98" t="s">
        <v>1</v>
      </c>
      <c r="G21" s="201">
        <v>1</v>
      </c>
      <c r="H21" s="203">
        <v>48000</v>
      </c>
      <c r="I21" s="200">
        <f t="shared" si="0"/>
        <v>263.73626373626371</v>
      </c>
      <c r="J21" s="98">
        <v>8</v>
      </c>
      <c r="K21" s="98">
        <v>9</v>
      </c>
      <c r="L21" s="98"/>
      <c r="M21" s="98"/>
      <c r="N21" s="199" cm="1">
        <f t="array" ref="N21">_xlfn.IFS(K21=12,228,K21=11,209,K21=10,196,K21=9,182)</f>
        <v>182</v>
      </c>
      <c r="O21" s="200">
        <f t="shared" si="1"/>
        <v>47999.999999999993</v>
      </c>
    </row>
    <row r="22" spans="2:15" x14ac:dyDescent="0.25">
      <c r="B22" s="98" t="s">
        <v>382</v>
      </c>
      <c r="C22" s="98"/>
      <c r="D22" s="98" t="s">
        <v>363</v>
      </c>
      <c r="E22" s="98" t="s">
        <v>381</v>
      </c>
      <c r="F22" s="98" t="s">
        <v>1</v>
      </c>
      <c r="G22" s="201">
        <v>1</v>
      </c>
      <c r="H22" s="203">
        <v>49500</v>
      </c>
      <c r="I22" s="200">
        <f t="shared" si="0"/>
        <v>271.97802197802196</v>
      </c>
      <c r="J22" s="98">
        <v>8</v>
      </c>
      <c r="K22" s="98">
        <v>9</v>
      </c>
      <c r="L22" s="98"/>
      <c r="M22" s="98"/>
      <c r="N22" s="199" cm="1">
        <f t="array" ref="N22">_xlfn.IFS(K22=12,228,K22=11,209,K22=10,196,K22=9,182)</f>
        <v>182</v>
      </c>
      <c r="O22" s="200">
        <f t="shared" si="1"/>
        <v>49499.999999999993</v>
      </c>
    </row>
    <row r="23" spans="2:15" x14ac:dyDescent="0.25">
      <c r="B23" s="98" t="s">
        <v>383</v>
      </c>
      <c r="C23" s="98"/>
      <c r="D23" s="98" t="s">
        <v>363</v>
      </c>
      <c r="E23" s="98" t="s">
        <v>381</v>
      </c>
      <c r="F23" s="98" t="s">
        <v>1</v>
      </c>
      <c r="G23" s="201">
        <v>1</v>
      </c>
      <c r="H23" s="203">
        <v>65000</v>
      </c>
      <c r="I23" s="200">
        <f t="shared" si="0"/>
        <v>357.14285714285717</v>
      </c>
      <c r="J23" s="98">
        <v>8</v>
      </c>
      <c r="K23" s="98">
        <v>9</v>
      </c>
      <c r="L23" s="98"/>
      <c r="M23" s="98"/>
      <c r="N23" s="199" cm="1">
        <f t="array" ref="N23">_xlfn.IFS(K23=12,228,K23=11,209,K23=10,196,K23=9,182)</f>
        <v>182</v>
      </c>
      <c r="O23" s="200">
        <f t="shared" si="1"/>
        <v>65000.000000000007</v>
      </c>
    </row>
    <row r="24" spans="2:15" x14ac:dyDescent="0.25">
      <c r="B24" s="98" t="s">
        <v>384</v>
      </c>
      <c r="C24" s="98"/>
      <c r="D24" s="98" t="s">
        <v>363</v>
      </c>
      <c r="E24" s="98" t="s">
        <v>381</v>
      </c>
      <c r="F24" s="98" t="s">
        <v>1</v>
      </c>
      <c r="G24" s="201">
        <v>1</v>
      </c>
      <c r="H24" s="203">
        <v>46000</v>
      </c>
      <c r="I24" s="200">
        <f t="shared" si="0"/>
        <v>252.74725274725276</v>
      </c>
      <c r="J24" s="98">
        <v>8</v>
      </c>
      <c r="K24" s="98">
        <v>9</v>
      </c>
      <c r="L24" s="98"/>
      <c r="M24" s="98"/>
      <c r="N24" s="199" cm="1">
        <f t="array" ref="N24">_xlfn.IFS(K24=12,228,K24=11,209,K24=10,196,K24=9,182)</f>
        <v>182</v>
      </c>
      <c r="O24" s="200">
        <f t="shared" si="1"/>
        <v>46000</v>
      </c>
    </row>
    <row r="25" spans="2:15" x14ac:dyDescent="0.25">
      <c r="B25" s="98" t="s">
        <v>385</v>
      </c>
      <c r="C25" s="98"/>
      <c r="D25" s="98" t="s">
        <v>363</v>
      </c>
      <c r="E25" s="98" t="s">
        <v>386</v>
      </c>
      <c r="F25" s="98" t="s">
        <v>1</v>
      </c>
      <c r="G25" s="201">
        <v>1</v>
      </c>
      <c r="H25" s="203">
        <v>85000</v>
      </c>
      <c r="I25" s="200">
        <f t="shared" si="0"/>
        <v>467.03296703296701</v>
      </c>
      <c r="J25" s="98">
        <v>8</v>
      </c>
      <c r="K25" s="98">
        <v>9</v>
      </c>
      <c r="L25" s="98"/>
      <c r="M25" s="98"/>
      <c r="N25" s="199" cm="1">
        <f t="array" ref="N25">_xlfn.IFS(K25=12,228,K25=11,209,K25=10,196,K25=9,182)</f>
        <v>182</v>
      </c>
      <c r="O25" s="200">
        <f t="shared" si="1"/>
        <v>85000</v>
      </c>
    </row>
    <row r="26" spans="2:15" x14ac:dyDescent="0.25">
      <c r="B26" s="98" t="s">
        <v>387</v>
      </c>
      <c r="C26" s="98"/>
      <c r="D26" s="98" t="s">
        <v>363</v>
      </c>
      <c r="E26" s="98" t="s">
        <v>386</v>
      </c>
      <c r="F26" s="98" t="s">
        <v>1</v>
      </c>
      <c r="G26" s="201">
        <v>1</v>
      </c>
      <c r="H26" s="203">
        <v>49500</v>
      </c>
      <c r="I26" s="200">
        <f t="shared" si="0"/>
        <v>271.97802197802196</v>
      </c>
      <c r="J26" s="98">
        <v>8</v>
      </c>
      <c r="K26" s="98">
        <v>9</v>
      </c>
      <c r="L26" s="98"/>
      <c r="M26" s="98"/>
      <c r="N26" s="199" cm="1">
        <f t="array" ref="N26">_xlfn.IFS(K26=12,228,K26=11,209,K26=10,196,K26=9,182)</f>
        <v>182</v>
      </c>
      <c r="O26" s="200">
        <f t="shared" si="1"/>
        <v>49499.999999999993</v>
      </c>
    </row>
    <row r="27" spans="2:15" x14ac:dyDescent="0.25">
      <c r="B27" s="98" t="s">
        <v>388</v>
      </c>
      <c r="C27" s="98"/>
      <c r="D27" s="98" t="s">
        <v>363</v>
      </c>
      <c r="E27" s="98" t="s">
        <v>386</v>
      </c>
      <c r="F27" s="98" t="s">
        <v>1</v>
      </c>
      <c r="G27" s="201">
        <v>1</v>
      </c>
      <c r="H27" s="203">
        <v>47000</v>
      </c>
      <c r="I27" s="200">
        <f t="shared" si="0"/>
        <v>258.24175824175825</v>
      </c>
      <c r="J27" s="98">
        <v>8</v>
      </c>
      <c r="K27" s="98">
        <v>9</v>
      </c>
      <c r="L27" s="98"/>
      <c r="M27" s="98"/>
      <c r="N27" s="199" cm="1">
        <f t="array" ref="N27">_xlfn.IFS(K27=12,228,K27=11,209,K27=10,196,K27=9,182)</f>
        <v>182</v>
      </c>
      <c r="O27" s="200">
        <f t="shared" si="1"/>
        <v>47000</v>
      </c>
    </row>
    <row r="28" spans="2:15" x14ac:dyDescent="0.25">
      <c r="B28" s="98" t="s">
        <v>389</v>
      </c>
      <c r="C28" s="98"/>
      <c r="D28" s="98" t="s">
        <v>363</v>
      </c>
      <c r="E28" s="98" t="s">
        <v>390</v>
      </c>
      <c r="F28" s="98" t="s">
        <v>1</v>
      </c>
      <c r="G28" s="201">
        <v>1</v>
      </c>
      <c r="H28" s="203">
        <v>65000</v>
      </c>
      <c r="I28" s="200">
        <f t="shared" si="0"/>
        <v>357.14285714285717</v>
      </c>
      <c r="J28" s="98">
        <v>8</v>
      </c>
      <c r="K28" s="98">
        <v>9</v>
      </c>
      <c r="L28" s="98"/>
      <c r="M28" s="98"/>
      <c r="N28" s="199" cm="1">
        <f t="array" ref="N28">_xlfn.IFS(K28=12,228,K28=11,209,K28=10,196,K28=9,182)</f>
        <v>182</v>
      </c>
      <c r="O28" s="200">
        <f t="shared" si="1"/>
        <v>65000.000000000007</v>
      </c>
    </row>
    <row r="29" spans="2:15" x14ac:dyDescent="0.25">
      <c r="B29" s="98" t="s">
        <v>391</v>
      </c>
      <c r="C29" s="98"/>
      <c r="D29" s="98" t="s">
        <v>363</v>
      </c>
      <c r="E29" s="98" t="s">
        <v>392</v>
      </c>
      <c r="F29" s="98" t="s">
        <v>1</v>
      </c>
      <c r="G29" s="201">
        <v>1</v>
      </c>
      <c r="H29" s="203">
        <v>52650</v>
      </c>
      <c r="I29" s="200">
        <f t="shared" si="0"/>
        <v>289.28571428571428</v>
      </c>
      <c r="J29" s="98">
        <v>8</v>
      </c>
      <c r="K29" s="98">
        <v>9</v>
      </c>
      <c r="L29" s="98"/>
      <c r="M29" s="98"/>
      <c r="N29" s="199" cm="1">
        <f t="array" ref="N29">_xlfn.IFS(K29=12,228,K29=11,209,K29=10,196,K29=9,182)</f>
        <v>182</v>
      </c>
      <c r="O29" s="200">
        <f t="shared" si="1"/>
        <v>52650</v>
      </c>
    </row>
    <row r="30" spans="2:15" x14ac:dyDescent="0.25">
      <c r="B30" s="98" t="s">
        <v>393</v>
      </c>
      <c r="C30" s="98"/>
      <c r="D30" s="98" t="s">
        <v>363</v>
      </c>
      <c r="E30" s="98" t="s">
        <v>392</v>
      </c>
      <c r="F30" s="98" t="s">
        <v>1</v>
      </c>
      <c r="G30" s="201">
        <v>1</v>
      </c>
      <c r="H30" s="203">
        <v>48000</v>
      </c>
      <c r="I30" s="200">
        <f t="shared" si="0"/>
        <v>263.73626373626371</v>
      </c>
      <c r="J30" s="98">
        <v>8</v>
      </c>
      <c r="K30" s="98">
        <v>9</v>
      </c>
      <c r="L30" s="98"/>
      <c r="M30" s="98"/>
      <c r="N30" s="199" cm="1">
        <f t="array" ref="N30">_xlfn.IFS(K30=12,228,K30=11,209,K30=10,196,K30=9,182)</f>
        <v>182</v>
      </c>
      <c r="O30" s="200">
        <f t="shared" si="1"/>
        <v>47999.999999999993</v>
      </c>
    </row>
    <row r="31" spans="2:15" x14ac:dyDescent="0.25">
      <c r="B31" s="98" t="s">
        <v>394</v>
      </c>
      <c r="C31" s="98"/>
      <c r="D31" s="98" t="s">
        <v>363</v>
      </c>
      <c r="E31" s="98" t="s">
        <v>395</v>
      </c>
      <c r="F31" s="98" t="s">
        <v>1</v>
      </c>
      <c r="G31" s="201">
        <v>1</v>
      </c>
      <c r="H31" s="203">
        <v>48000</v>
      </c>
      <c r="I31" s="200">
        <f t="shared" si="0"/>
        <v>263.73626373626371</v>
      </c>
      <c r="J31" s="98">
        <v>8</v>
      </c>
      <c r="K31" s="98">
        <v>9</v>
      </c>
      <c r="L31" s="98"/>
      <c r="M31" s="98"/>
      <c r="N31" s="199" cm="1">
        <f t="array" ref="N31">_xlfn.IFS(K31=12,228,K31=11,209,K31=10,196,K31=9,182)</f>
        <v>182</v>
      </c>
      <c r="O31" s="200">
        <f t="shared" si="1"/>
        <v>47999.999999999993</v>
      </c>
    </row>
    <row r="32" spans="2:15" x14ac:dyDescent="0.25">
      <c r="B32" s="98" t="s">
        <v>396</v>
      </c>
      <c r="C32" s="98"/>
      <c r="D32" s="98" t="s">
        <v>363</v>
      </c>
      <c r="E32" s="98" t="s">
        <v>397</v>
      </c>
      <c r="F32" s="98" t="s">
        <v>1</v>
      </c>
      <c r="G32" s="201">
        <v>1</v>
      </c>
      <c r="H32" s="203">
        <v>49500</v>
      </c>
      <c r="I32" s="200">
        <f t="shared" si="0"/>
        <v>271.97802197802196</v>
      </c>
      <c r="J32" s="98">
        <v>8</v>
      </c>
      <c r="K32" s="98">
        <v>9</v>
      </c>
      <c r="L32" s="98"/>
      <c r="M32" s="98"/>
      <c r="N32" s="199" cm="1">
        <f t="array" ref="N32">_xlfn.IFS(K32=12,228,K32=11,209,K32=10,196,K32=9,182)</f>
        <v>182</v>
      </c>
      <c r="O32" s="200">
        <f t="shared" si="1"/>
        <v>49499.999999999993</v>
      </c>
    </row>
    <row r="33" spans="2:15" x14ac:dyDescent="0.25">
      <c r="B33" s="98" t="s">
        <v>398</v>
      </c>
      <c r="C33" s="98"/>
      <c r="D33" s="98" t="s">
        <v>363</v>
      </c>
      <c r="E33" s="98" t="s">
        <v>399</v>
      </c>
      <c r="F33" s="98" t="s">
        <v>1</v>
      </c>
      <c r="G33" s="201">
        <v>1</v>
      </c>
      <c r="H33" s="203">
        <v>55000</v>
      </c>
      <c r="I33" s="200">
        <f t="shared" si="0"/>
        <v>302.19780219780222</v>
      </c>
      <c r="J33" s="98">
        <v>8</v>
      </c>
      <c r="K33" s="98">
        <v>9</v>
      </c>
      <c r="L33" s="98"/>
      <c r="M33" s="98"/>
      <c r="N33" s="199" cm="1">
        <f t="array" ref="N33">_xlfn.IFS(K33=12,228,K33=11,209,K33=10,196,K33=9,182)</f>
        <v>182</v>
      </c>
      <c r="O33" s="200">
        <f t="shared" si="1"/>
        <v>55000.000000000007</v>
      </c>
    </row>
    <row r="34" spans="2:15" x14ac:dyDescent="0.25">
      <c r="B34" s="98" t="s">
        <v>400</v>
      </c>
      <c r="C34" s="98"/>
      <c r="D34" s="98" t="s">
        <v>363</v>
      </c>
      <c r="E34" s="98" t="s">
        <v>401</v>
      </c>
      <c r="F34" s="98" t="s">
        <v>1</v>
      </c>
      <c r="G34" s="201">
        <v>1</v>
      </c>
      <c r="H34" s="203">
        <v>65000</v>
      </c>
      <c r="I34" s="200">
        <f t="shared" si="0"/>
        <v>357.14285714285717</v>
      </c>
      <c r="J34" s="98">
        <v>8</v>
      </c>
      <c r="K34" s="98">
        <v>9</v>
      </c>
      <c r="L34" s="98"/>
      <c r="M34" s="98"/>
      <c r="N34" s="199" cm="1">
        <f t="array" ref="N34">_xlfn.IFS(K34=12,228,K34=11,209,K34=10,196,K34=9,182)</f>
        <v>182</v>
      </c>
      <c r="O34" s="200">
        <f t="shared" si="1"/>
        <v>65000.000000000007</v>
      </c>
    </row>
    <row r="35" spans="2:15" x14ac:dyDescent="0.25">
      <c r="B35" s="98" t="s">
        <v>402</v>
      </c>
      <c r="C35" s="98"/>
      <c r="D35" s="98" t="s">
        <v>403</v>
      </c>
      <c r="E35" s="98" t="s">
        <v>403</v>
      </c>
      <c r="F35" s="98" t="s">
        <v>2</v>
      </c>
      <c r="G35" s="201">
        <v>1</v>
      </c>
      <c r="H35" s="203">
        <v>65000</v>
      </c>
      <c r="I35" s="200">
        <f t="shared" si="0"/>
        <v>357.14285714285717</v>
      </c>
      <c r="J35" s="98">
        <v>8</v>
      </c>
      <c r="K35" s="98">
        <v>9</v>
      </c>
      <c r="L35" s="98"/>
      <c r="M35" s="98"/>
      <c r="N35" s="199" cm="1">
        <f t="array" ref="N35">_xlfn.IFS(K35=12,228,K35=11,209,K35=10,196,K35=9,182)</f>
        <v>182</v>
      </c>
      <c r="O35" s="200">
        <f t="shared" si="1"/>
        <v>65000.000000000007</v>
      </c>
    </row>
    <row r="36" spans="2:15" x14ac:dyDescent="0.25">
      <c r="B36" s="98" t="s">
        <v>404</v>
      </c>
      <c r="C36" s="98"/>
      <c r="D36" s="98" t="s">
        <v>403</v>
      </c>
      <c r="E36" s="98" t="s">
        <v>403</v>
      </c>
      <c r="F36" s="98" t="s">
        <v>2</v>
      </c>
      <c r="G36" s="201">
        <v>1</v>
      </c>
      <c r="H36" s="203">
        <v>65000</v>
      </c>
      <c r="I36" s="200">
        <f t="shared" si="0"/>
        <v>357.14285714285717</v>
      </c>
      <c r="J36" s="98">
        <v>8</v>
      </c>
      <c r="K36" s="98">
        <v>9</v>
      </c>
      <c r="L36" s="98"/>
      <c r="M36" s="98"/>
      <c r="N36" s="199" cm="1">
        <f t="array" ref="N36">_xlfn.IFS(K36=12,228,K36=11,209,K36=10,196,K36=9,182)</f>
        <v>182</v>
      </c>
      <c r="O36" s="200">
        <f t="shared" si="1"/>
        <v>65000.000000000007</v>
      </c>
    </row>
    <row r="37" spans="2:15" x14ac:dyDescent="0.25">
      <c r="B37" s="98" t="s">
        <v>405</v>
      </c>
      <c r="C37" s="98"/>
      <c r="D37" s="98" t="s">
        <v>403</v>
      </c>
      <c r="E37" s="98" t="s">
        <v>403</v>
      </c>
      <c r="F37" s="98" t="s">
        <v>2</v>
      </c>
      <c r="G37" s="201">
        <v>1</v>
      </c>
      <c r="H37" s="203">
        <v>55000</v>
      </c>
      <c r="I37" s="200">
        <f t="shared" si="0"/>
        <v>302.19780219780222</v>
      </c>
      <c r="J37" s="98">
        <v>8</v>
      </c>
      <c r="K37" s="98">
        <v>9</v>
      </c>
      <c r="L37" s="98"/>
      <c r="M37" s="98"/>
      <c r="N37" s="199" cm="1">
        <f t="array" ref="N37">_xlfn.IFS(K37=12,228,K37=11,209,K37=10,196,K37=9,182)</f>
        <v>182</v>
      </c>
      <c r="O37" s="200">
        <f t="shared" si="1"/>
        <v>55000.000000000007</v>
      </c>
    </row>
    <row r="38" spans="2:15" x14ac:dyDescent="0.25">
      <c r="B38" s="98" t="s">
        <v>406</v>
      </c>
      <c r="C38" s="98"/>
      <c r="D38" s="98" t="s">
        <v>403</v>
      </c>
      <c r="E38" s="98" t="s">
        <v>403</v>
      </c>
      <c r="F38" s="98" t="s">
        <v>2</v>
      </c>
      <c r="G38" s="201">
        <v>1</v>
      </c>
      <c r="H38" s="203">
        <v>50000</v>
      </c>
      <c r="I38" s="200">
        <f t="shared" si="0"/>
        <v>274.72527472527474</v>
      </c>
      <c r="J38" s="98">
        <v>8</v>
      </c>
      <c r="K38" s="98">
        <v>9</v>
      </c>
      <c r="L38" s="98"/>
      <c r="M38" s="98"/>
      <c r="N38" s="199" cm="1">
        <f t="array" ref="N38">_xlfn.IFS(K38=12,228,K38=11,209,K38=10,196,K38=9,182)</f>
        <v>182</v>
      </c>
      <c r="O38" s="200">
        <f t="shared" si="1"/>
        <v>50000</v>
      </c>
    </row>
    <row r="39" spans="2:15" x14ac:dyDescent="0.25">
      <c r="B39" s="98" t="s">
        <v>407</v>
      </c>
      <c r="C39" s="98"/>
      <c r="D39" s="98" t="s">
        <v>403</v>
      </c>
      <c r="E39" s="98" t="s">
        <v>64</v>
      </c>
      <c r="F39" s="98" t="s">
        <v>2</v>
      </c>
      <c r="G39" s="201">
        <v>1</v>
      </c>
      <c r="H39" s="203">
        <v>80000</v>
      </c>
      <c r="I39" s="200">
        <f t="shared" si="0"/>
        <v>439.56043956043953</v>
      </c>
      <c r="J39" s="98">
        <v>8</v>
      </c>
      <c r="K39" s="98">
        <v>9</v>
      </c>
      <c r="L39" s="98"/>
      <c r="M39" s="98"/>
      <c r="N39" s="199" cm="1">
        <f t="array" ref="N39">_xlfn.IFS(K39=12,228,K39=11,209,K39=10,196,K39=9,182)</f>
        <v>182</v>
      </c>
      <c r="O39" s="200">
        <f t="shared" si="1"/>
        <v>80000</v>
      </c>
    </row>
    <row r="40" spans="2:15" x14ac:dyDescent="0.25">
      <c r="B40" s="98" t="s">
        <v>408</v>
      </c>
      <c r="C40" s="98"/>
      <c r="D40" s="98" t="s">
        <v>363</v>
      </c>
      <c r="E40" s="98" t="s">
        <v>409</v>
      </c>
      <c r="F40" s="98" t="s">
        <v>1</v>
      </c>
      <c r="G40" s="201">
        <v>1</v>
      </c>
      <c r="H40" s="203">
        <v>45000</v>
      </c>
      <c r="I40" s="200">
        <f t="shared" si="0"/>
        <v>247.25274725274724</v>
      </c>
      <c r="J40" s="98">
        <v>8</v>
      </c>
      <c r="K40" s="98">
        <v>9</v>
      </c>
      <c r="L40" s="98"/>
      <c r="M40" s="98"/>
      <c r="N40" s="199" cm="1">
        <f t="array" ref="N40">_xlfn.IFS(K40=12,228,K40=11,209,K40=10,196,K40=9,182)</f>
        <v>182</v>
      </c>
      <c r="O40" s="200">
        <f t="shared" si="1"/>
        <v>45000</v>
      </c>
    </row>
    <row r="41" spans="2:15" x14ac:dyDescent="0.25">
      <c r="B41" s="98" t="s">
        <v>410</v>
      </c>
      <c r="C41" s="98"/>
      <c r="D41" s="98" t="s">
        <v>363</v>
      </c>
      <c r="E41" s="98" t="s">
        <v>411</v>
      </c>
      <c r="F41" s="98" t="s">
        <v>1</v>
      </c>
      <c r="G41" s="201">
        <v>1</v>
      </c>
      <c r="H41" s="203">
        <v>76000</v>
      </c>
      <c r="I41" s="200">
        <f t="shared" si="0"/>
        <v>417.58241758241758</v>
      </c>
      <c r="J41" s="98">
        <v>8</v>
      </c>
      <c r="K41" s="98">
        <v>9</v>
      </c>
      <c r="L41" s="98"/>
      <c r="M41" s="98"/>
      <c r="N41" s="199" cm="1">
        <f t="array" ref="N41">_xlfn.IFS(K41=12,228,K41=11,209,K41=10,196,K41=9,182)</f>
        <v>182</v>
      </c>
      <c r="O41" s="200">
        <f t="shared" si="1"/>
        <v>76000</v>
      </c>
    </row>
    <row r="42" spans="2:15" x14ac:dyDescent="0.25">
      <c r="B42" s="98" t="s">
        <v>412</v>
      </c>
      <c r="C42" s="98"/>
      <c r="D42" s="98" t="s">
        <v>363</v>
      </c>
      <c r="E42" s="98" t="s">
        <v>413</v>
      </c>
      <c r="F42" s="98" t="s">
        <v>1</v>
      </c>
      <c r="G42" s="201">
        <v>1</v>
      </c>
      <c r="H42" s="203">
        <v>72000</v>
      </c>
      <c r="I42" s="200">
        <f t="shared" si="0"/>
        <v>395.60439560439562</v>
      </c>
      <c r="J42" s="98">
        <v>8</v>
      </c>
      <c r="K42" s="98">
        <v>9</v>
      </c>
      <c r="L42" s="98"/>
      <c r="M42" s="98"/>
      <c r="N42" s="199" cm="1">
        <f t="array" ref="N42">_xlfn.IFS(K42=12,228,K42=11,209,K42=10,196,K42=9,182)</f>
        <v>182</v>
      </c>
      <c r="O42" s="200">
        <f t="shared" si="1"/>
        <v>72000</v>
      </c>
    </row>
    <row r="43" spans="2:15" x14ac:dyDescent="0.25">
      <c r="B43" s="98" t="s">
        <v>414</v>
      </c>
      <c r="C43" s="98"/>
      <c r="D43" s="98" t="s">
        <v>363</v>
      </c>
      <c r="E43" s="98" t="s">
        <v>415</v>
      </c>
      <c r="F43" s="98" t="s">
        <v>1</v>
      </c>
      <c r="G43" s="201">
        <v>1</v>
      </c>
      <c r="H43" s="203">
        <v>60000</v>
      </c>
      <c r="I43" s="200">
        <f t="shared" si="0"/>
        <v>329.67032967032969</v>
      </c>
      <c r="J43" s="98">
        <v>8</v>
      </c>
      <c r="K43" s="98">
        <v>9</v>
      </c>
      <c r="L43" s="98"/>
      <c r="M43" s="98"/>
      <c r="N43" s="199" cm="1">
        <f t="array" ref="N43">_xlfn.IFS(K43=12,228,K43=11,209,K43=10,196,K43=9,182)</f>
        <v>182</v>
      </c>
      <c r="O43" s="200">
        <f t="shared" si="1"/>
        <v>60000.000000000007</v>
      </c>
    </row>
    <row r="44" spans="2:15" x14ac:dyDescent="0.25">
      <c r="B44" s="98" t="s">
        <v>416</v>
      </c>
      <c r="C44" s="98"/>
      <c r="D44" s="98" t="s">
        <v>363</v>
      </c>
      <c r="E44" s="98" t="s">
        <v>417</v>
      </c>
      <c r="F44" s="98" t="s">
        <v>1</v>
      </c>
      <c r="G44" s="201">
        <v>1</v>
      </c>
      <c r="H44" s="203">
        <v>55000</v>
      </c>
      <c r="I44" s="200">
        <f t="shared" si="0"/>
        <v>302.19780219780222</v>
      </c>
      <c r="J44" s="98">
        <v>8</v>
      </c>
      <c r="K44" s="98">
        <v>9</v>
      </c>
      <c r="L44" s="98"/>
      <c r="M44" s="98"/>
      <c r="N44" s="199" cm="1">
        <f t="array" ref="N44">_xlfn.IFS(K44=12,228,K44=11,209,K44=10,196,K44=9,182)</f>
        <v>182</v>
      </c>
      <c r="O44" s="200">
        <f t="shared" si="1"/>
        <v>55000.000000000007</v>
      </c>
    </row>
    <row r="45" spans="2:15" x14ac:dyDescent="0.25">
      <c r="B45" s="98" t="s">
        <v>418</v>
      </c>
      <c r="C45" s="98"/>
      <c r="D45" s="98" t="s">
        <v>363</v>
      </c>
      <c r="E45" s="98" t="s">
        <v>419</v>
      </c>
      <c r="F45" s="98" t="s">
        <v>1</v>
      </c>
      <c r="G45" s="201">
        <v>1</v>
      </c>
      <c r="H45" s="203">
        <v>48500</v>
      </c>
      <c r="I45" s="200">
        <f t="shared" si="0"/>
        <v>266.4835164835165</v>
      </c>
      <c r="J45" s="98">
        <v>8</v>
      </c>
      <c r="K45" s="98">
        <v>9</v>
      </c>
      <c r="L45" s="98"/>
      <c r="M45" s="98"/>
      <c r="N45" s="199" cm="1">
        <f t="array" ref="N45">_xlfn.IFS(K45=12,228,K45=11,209,K45=10,196,K45=9,182)</f>
        <v>182</v>
      </c>
      <c r="O45" s="200">
        <f t="shared" si="1"/>
        <v>48500</v>
      </c>
    </row>
    <row r="46" spans="2:15" x14ac:dyDescent="0.25">
      <c r="B46" s="98" t="s">
        <v>420</v>
      </c>
      <c r="C46" s="98"/>
      <c r="D46" s="98" t="s">
        <v>363</v>
      </c>
      <c r="E46" s="98" t="s">
        <v>421</v>
      </c>
      <c r="F46" s="98" t="s">
        <v>1</v>
      </c>
      <c r="G46" s="201">
        <v>1</v>
      </c>
      <c r="H46" s="203">
        <v>55000</v>
      </c>
      <c r="I46" s="200">
        <f t="shared" si="0"/>
        <v>302.19780219780222</v>
      </c>
      <c r="J46" s="98">
        <v>8</v>
      </c>
      <c r="K46" s="98">
        <v>9</v>
      </c>
      <c r="L46" s="98"/>
      <c r="M46" s="98"/>
      <c r="N46" s="199" cm="1">
        <f t="array" ref="N46">_xlfn.IFS(K46=12,228,K46=11,209,K46=10,196,K46=9,182)</f>
        <v>182</v>
      </c>
      <c r="O46" s="200">
        <f t="shared" si="1"/>
        <v>55000.000000000007</v>
      </c>
    </row>
    <row r="47" spans="2:15" x14ac:dyDescent="0.25">
      <c r="B47" s="98" t="s">
        <v>422</v>
      </c>
      <c r="C47" s="98"/>
      <c r="D47" s="98" t="s">
        <v>363</v>
      </c>
      <c r="E47" s="98" t="s">
        <v>423</v>
      </c>
      <c r="F47" s="98" t="s">
        <v>1</v>
      </c>
      <c r="G47" s="201">
        <v>1</v>
      </c>
      <c r="H47" s="203">
        <v>49500</v>
      </c>
      <c r="I47" s="200">
        <f t="shared" si="0"/>
        <v>271.97802197802196</v>
      </c>
      <c r="J47" s="98">
        <v>8</v>
      </c>
      <c r="K47" s="98">
        <v>9</v>
      </c>
      <c r="L47" s="98"/>
      <c r="M47" s="98"/>
      <c r="N47" s="199" cm="1">
        <f t="array" ref="N47">_xlfn.IFS(K47=12,228,K47=11,209,K47=10,196,K47=9,182)</f>
        <v>182</v>
      </c>
      <c r="O47" s="200">
        <f t="shared" si="1"/>
        <v>49499.999999999993</v>
      </c>
    </row>
    <row r="48" spans="2:15" x14ac:dyDescent="0.25">
      <c r="B48" s="98" t="s">
        <v>424</v>
      </c>
      <c r="C48" s="98"/>
      <c r="D48" s="98" t="s">
        <v>363</v>
      </c>
      <c r="E48" s="98" t="s">
        <v>425</v>
      </c>
      <c r="F48" s="98" t="s">
        <v>1</v>
      </c>
      <c r="G48" s="201">
        <v>1</v>
      </c>
      <c r="H48" s="203">
        <v>55000</v>
      </c>
      <c r="I48" s="200">
        <f t="shared" si="0"/>
        <v>302.19780219780222</v>
      </c>
      <c r="J48" s="98">
        <v>8</v>
      </c>
      <c r="K48" s="98">
        <v>9</v>
      </c>
      <c r="L48" s="98"/>
      <c r="M48" s="98"/>
      <c r="N48" s="199" cm="1">
        <f t="array" ref="N48">_xlfn.IFS(K48=12,228,K48=11,209,K48=10,196,K48=9,182)</f>
        <v>182</v>
      </c>
      <c r="O48" s="200">
        <f t="shared" si="1"/>
        <v>55000.000000000007</v>
      </c>
    </row>
    <row r="49" spans="2:15" x14ac:dyDescent="0.25">
      <c r="B49" s="98" t="s">
        <v>426</v>
      </c>
      <c r="C49" s="98"/>
      <c r="D49" s="98" t="s">
        <v>363</v>
      </c>
      <c r="E49" s="98" t="s">
        <v>427</v>
      </c>
      <c r="F49" s="98" t="s">
        <v>345</v>
      </c>
      <c r="G49" s="201">
        <v>1</v>
      </c>
      <c r="H49" s="203">
        <v>55000</v>
      </c>
      <c r="I49" s="200">
        <f t="shared" si="0"/>
        <v>302.19780219780222</v>
      </c>
      <c r="J49" s="98">
        <v>8</v>
      </c>
      <c r="K49" s="98">
        <v>9</v>
      </c>
      <c r="L49" s="98"/>
      <c r="M49" s="98" t="s">
        <v>428</v>
      </c>
      <c r="N49" s="199" cm="1">
        <f t="array" ref="N49">_xlfn.IFS(K49=12,228,K49=11,209,K49=10,196,K49=9,182)</f>
        <v>182</v>
      </c>
      <c r="O49" s="200">
        <f t="shared" si="1"/>
        <v>55000.000000000007</v>
      </c>
    </row>
    <row r="50" spans="2:15" x14ac:dyDescent="0.25">
      <c r="B50" s="98" t="s">
        <v>429</v>
      </c>
      <c r="C50" s="98"/>
      <c r="D50" s="98" t="s">
        <v>363</v>
      </c>
      <c r="E50" s="98" t="s">
        <v>430</v>
      </c>
      <c r="F50" s="98" t="s">
        <v>345</v>
      </c>
      <c r="G50" s="201">
        <v>1</v>
      </c>
      <c r="H50" s="203">
        <v>45000</v>
      </c>
      <c r="I50" s="200">
        <f t="shared" si="0"/>
        <v>247.25274725274724</v>
      </c>
      <c r="J50" s="98">
        <v>8</v>
      </c>
      <c r="K50" s="98">
        <v>9</v>
      </c>
      <c r="L50" s="98"/>
      <c r="M50" s="98" t="s">
        <v>428</v>
      </c>
      <c r="N50" s="199" cm="1">
        <f t="array" ref="N50">_xlfn.IFS(K50=12,228,K50=11,209,K50=10,196,K50=9,182)</f>
        <v>182</v>
      </c>
      <c r="O50" s="200">
        <f t="shared" si="1"/>
        <v>45000</v>
      </c>
    </row>
    <row r="51" spans="2:15" x14ac:dyDescent="0.25">
      <c r="B51" s="98" t="s">
        <v>431</v>
      </c>
      <c r="C51" s="98"/>
      <c r="D51" s="98" t="s">
        <v>363</v>
      </c>
      <c r="E51" s="98" t="s">
        <v>432</v>
      </c>
      <c r="F51" s="98" t="s">
        <v>1</v>
      </c>
      <c r="G51" s="201">
        <v>1</v>
      </c>
      <c r="H51" s="203">
        <v>45000</v>
      </c>
      <c r="I51" s="200">
        <f t="shared" si="0"/>
        <v>247.25274725274724</v>
      </c>
      <c r="J51" s="98">
        <v>8</v>
      </c>
      <c r="K51" s="98">
        <v>9</v>
      </c>
      <c r="L51" s="98"/>
      <c r="M51" s="98"/>
      <c r="N51" s="199" cm="1">
        <f t="array" ref="N51">_xlfn.IFS(K51=12,228,K51=11,209,K51=10,196,K51=9,182)</f>
        <v>182</v>
      </c>
      <c r="O51" s="200">
        <f t="shared" si="1"/>
        <v>45000</v>
      </c>
    </row>
    <row r="52" spans="2:15" x14ac:dyDescent="0.25">
      <c r="B52" s="98" t="s">
        <v>433</v>
      </c>
      <c r="C52" s="98"/>
      <c r="D52" s="98" t="s">
        <v>363</v>
      </c>
      <c r="E52" s="98" t="s">
        <v>432</v>
      </c>
      <c r="F52" s="98" t="s">
        <v>1</v>
      </c>
      <c r="G52" s="201">
        <v>1</v>
      </c>
      <c r="H52" s="203">
        <v>47000</v>
      </c>
      <c r="I52" s="200">
        <f t="shared" si="0"/>
        <v>258.24175824175825</v>
      </c>
      <c r="J52" s="98">
        <v>8</v>
      </c>
      <c r="K52" s="98">
        <v>9</v>
      </c>
      <c r="L52" s="98"/>
      <c r="M52" s="98"/>
      <c r="N52" s="199" cm="1">
        <f t="array" ref="N52">_xlfn.IFS(K52=12,228,K52=11,209,K52=10,196,K52=9,182)</f>
        <v>182</v>
      </c>
      <c r="O52" s="200">
        <f t="shared" si="1"/>
        <v>47000</v>
      </c>
    </row>
    <row r="53" spans="2:15" x14ac:dyDescent="0.25">
      <c r="B53" s="98" t="s">
        <v>434</v>
      </c>
      <c r="C53" s="98"/>
      <c r="D53" s="98" t="s">
        <v>435</v>
      </c>
      <c r="E53" s="98" t="s">
        <v>436</v>
      </c>
      <c r="F53" s="98" t="s">
        <v>345</v>
      </c>
      <c r="G53" s="201">
        <v>1</v>
      </c>
      <c r="H53" s="203">
        <v>66000</v>
      </c>
      <c r="I53" s="200">
        <f t="shared" si="0"/>
        <v>336.73469387755102</v>
      </c>
      <c r="J53" s="98">
        <v>8</v>
      </c>
      <c r="K53" s="98">
        <v>10</v>
      </c>
      <c r="L53" s="98"/>
      <c r="M53" s="98" t="s">
        <v>437</v>
      </c>
      <c r="N53" s="199" cm="1">
        <f t="array" ref="N53">_xlfn.IFS(K53=12,228,K53=11,209,K53=10,196,K53=9,182)</f>
        <v>196</v>
      </c>
      <c r="O53" s="200">
        <f t="shared" si="1"/>
        <v>66000</v>
      </c>
    </row>
    <row r="54" spans="2:15" x14ac:dyDescent="0.25">
      <c r="B54" s="98" t="s">
        <v>438</v>
      </c>
      <c r="C54" s="98"/>
      <c r="D54" s="98" t="s">
        <v>435</v>
      </c>
      <c r="E54" s="98" t="s">
        <v>436</v>
      </c>
      <c r="F54" s="98" t="s">
        <v>345</v>
      </c>
      <c r="G54" s="201">
        <v>1</v>
      </c>
      <c r="H54" s="203">
        <v>70000</v>
      </c>
      <c r="I54" s="200">
        <f t="shared" si="0"/>
        <v>357.14285714285717</v>
      </c>
      <c r="J54" s="98">
        <v>8</v>
      </c>
      <c r="K54" s="98">
        <v>10</v>
      </c>
      <c r="L54" s="98"/>
      <c r="M54" s="98" t="s">
        <v>437</v>
      </c>
      <c r="N54" s="199" cm="1">
        <f t="array" ref="N54">_xlfn.IFS(K54=12,228,K54=11,209,K54=10,196,K54=9,182)</f>
        <v>196</v>
      </c>
      <c r="O54" s="200">
        <f t="shared" si="1"/>
        <v>70000</v>
      </c>
    </row>
    <row r="55" spans="2:15" x14ac:dyDescent="0.25">
      <c r="B55" s="98" t="s">
        <v>439</v>
      </c>
      <c r="C55" s="98"/>
      <c r="D55" s="98" t="s">
        <v>435</v>
      </c>
      <c r="E55" s="98" t="s">
        <v>436</v>
      </c>
      <c r="F55" s="98" t="s">
        <v>345</v>
      </c>
      <c r="G55" s="201">
        <v>1</v>
      </c>
      <c r="H55" s="203">
        <v>65000</v>
      </c>
      <c r="I55" s="200">
        <f t="shared" si="0"/>
        <v>331.63265306122452</v>
      </c>
      <c r="J55" s="98">
        <v>8</v>
      </c>
      <c r="K55" s="98">
        <v>10</v>
      </c>
      <c r="L55" s="98"/>
      <c r="M55" s="98" t="s">
        <v>437</v>
      </c>
      <c r="N55" s="199" cm="1">
        <f t="array" ref="N55">_xlfn.IFS(K55=12,228,K55=11,209,K55=10,196,K55=9,182)</f>
        <v>196</v>
      </c>
      <c r="O55" s="200">
        <f t="shared" si="1"/>
        <v>65000.000000000007</v>
      </c>
    </row>
    <row r="56" spans="2:15" x14ac:dyDescent="0.25">
      <c r="B56" s="98" t="s">
        <v>440</v>
      </c>
      <c r="C56" s="98"/>
      <c r="D56" s="98" t="s">
        <v>435</v>
      </c>
      <c r="E56" s="98" t="s">
        <v>436</v>
      </c>
      <c r="F56" s="98" t="s">
        <v>345</v>
      </c>
      <c r="G56" s="201">
        <v>1</v>
      </c>
      <c r="H56" s="203">
        <v>67000</v>
      </c>
      <c r="I56" s="200">
        <f t="shared" si="0"/>
        <v>341.83673469387753</v>
      </c>
      <c r="J56" s="98">
        <v>8</v>
      </c>
      <c r="K56" s="98">
        <v>10</v>
      </c>
      <c r="L56" s="98"/>
      <c r="M56" s="98" t="s">
        <v>437</v>
      </c>
      <c r="N56" s="199" cm="1">
        <f t="array" ref="N56">_xlfn.IFS(K56=12,228,K56=11,209,K56=10,196,K56=9,182)</f>
        <v>196</v>
      </c>
      <c r="O56" s="200">
        <f t="shared" si="1"/>
        <v>67000</v>
      </c>
    </row>
    <row r="57" spans="2:15" x14ac:dyDescent="0.25">
      <c r="B57" s="98" t="s">
        <v>441</v>
      </c>
      <c r="C57" s="98"/>
      <c r="D57" s="98" t="s">
        <v>442</v>
      </c>
      <c r="E57" s="98" t="s">
        <v>443</v>
      </c>
      <c r="F57" s="98" t="s">
        <v>345</v>
      </c>
      <c r="G57" s="201">
        <v>1</v>
      </c>
      <c r="H57" s="203">
        <v>70000</v>
      </c>
      <c r="I57" s="200">
        <f t="shared" si="0"/>
        <v>357.14285714285717</v>
      </c>
      <c r="J57" s="98">
        <v>8</v>
      </c>
      <c r="K57" s="98">
        <v>10</v>
      </c>
      <c r="L57" s="98"/>
      <c r="M57" s="98" t="s">
        <v>444</v>
      </c>
      <c r="N57" s="199" cm="1">
        <f t="array" ref="N57">_xlfn.IFS(K57=12,228,K57=11,209,K57=10,196,K57=9,182)</f>
        <v>196</v>
      </c>
      <c r="O57" s="200">
        <f t="shared" si="1"/>
        <v>70000</v>
      </c>
    </row>
    <row r="58" spans="2:15" x14ac:dyDescent="0.25">
      <c r="B58" s="98" t="s">
        <v>445</v>
      </c>
      <c r="C58" s="98"/>
      <c r="D58" s="98" t="s">
        <v>442</v>
      </c>
      <c r="E58" s="98" t="s">
        <v>443</v>
      </c>
      <c r="F58" s="98" t="s">
        <v>1</v>
      </c>
      <c r="G58" s="201">
        <v>1</v>
      </c>
      <c r="H58" s="203">
        <v>78000</v>
      </c>
      <c r="I58" s="200">
        <f t="shared" si="0"/>
        <v>397.9591836734694</v>
      </c>
      <c r="J58" s="98">
        <v>8</v>
      </c>
      <c r="K58" s="98">
        <v>10</v>
      </c>
      <c r="L58" s="98"/>
      <c r="M58" s="98"/>
      <c r="N58" s="199" cm="1">
        <f t="array" ref="N58">_xlfn.IFS(K58=12,228,K58=11,209,K58=10,196,K58=9,182)</f>
        <v>196</v>
      </c>
      <c r="O58" s="200">
        <f t="shared" si="1"/>
        <v>78000</v>
      </c>
    </row>
    <row r="59" spans="2:15" x14ac:dyDescent="0.25">
      <c r="B59" s="98" t="s">
        <v>446</v>
      </c>
      <c r="C59" s="98"/>
      <c r="D59" s="98" t="s">
        <v>442</v>
      </c>
      <c r="E59" s="98" t="s">
        <v>447</v>
      </c>
      <c r="F59" s="98" t="s">
        <v>1</v>
      </c>
      <c r="G59" s="201">
        <v>1</v>
      </c>
      <c r="H59" s="203">
        <v>70000</v>
      </c>
      <c r="I59" s="200">
        <f t="shared" si="0"/>
        <v>357.14285714285717</v>
      </c>
      <c r="J59" s="98">
        <v>8</v>
      </c>
      <c r="K59" s="98">
        <v>10</v>
      </c>
      <c r="L59" s="98"/>
      <c r="M59" s="98"/>
      <c r="N59" s="199" cm="1">
        <f t="array" ref="N59">_xlfn.IFS(K59=12,228,K59=11,209,K59=10,196,K59=9,182)</f>
        <v>196</v>
      </c>
      <c r="O59" s="200">
        <f t="shared" si="1"/>
        <v>70000</v>
      </c>
    </row>
    <row r="60" spans="2:15" x14ac:dyDescent="0.25">
      <c r="B60" s="98" t="s">
        <v>448</v>
      </c>
      <c r="C60" s="98"/>
      <c r="D60" s="98" t="s">
        <v>442</v>
      </c>
      <c r="E60" s="98" t="s">
        <v>449</v>
      </c>
      <c r="F60" s="98" t="s">
        <v>1</v>
      </c>
      <c r="G60" s="201">
        <v>1</v>
      </c>
      <c r="H60" s="203">
        <v>68000</v>
      </c>
      <c r="I60" s="200">
        <f t="shared" si="0"/>
        <v>346.9387755102041</v>
      </c>
      <c r="J60" s="98">
        <v>8</v>
      </c>
      <c r="K60" s="98">
        <v>10</v>
      </c>
      <c r="L60" s="98"/>
      <c r="M60" s="98"/>
      <c r="N60" s="199" cm="1">
        <f t="array" ref="N60">_xlfn.IFS(K60=12,228,K60=11,209,K60=10,196,K60=9,182)</f>
        <v>196</v>
      </c>
      <c r="O60" s="200">
        <f t="shared" si="1"/>
        <v>68000</v>
      </c>
    </row>
    <row r="61" spans="2:15" x14ac:dyDescent="0.25">
      <c r="B61" s="98" t="s">
        <v>450</v>
      </c>
      <c r="C61" s="98"/>
      <c r="D61" s="98" t="s">
        <v>442</v>
      </c>
      <c r="E61" s="98" t="s">
        <v>451</v>
      </c>
      <c r="F61" s="98" t="s">
        <v>452</v>
      </c>
      <c r="G61" s="201">
        <v>1</v>
      </c>
      <c r="H61" s="203">
        <v>55000</v>
      </c>
      <c r="I61" s="200">
        <f t="shared" si="0"/>
        <v>280.61224489795916</v>
      </c>
      <c r="J61" s="98">
        <v>8</v>
      </c>
      <c r="K61" s="98">
        <v>10</v>
      </c>
      <c r="L61" s="98"/>
      <c r="M61" s="98" t="s">
        <v>452</v>
      </c>
      <c r="N61" s="199" cm="1">
        <f t="array" ref="N61">_xlfn.IFS(K61=12,228,K61=11,209,K61=10,196,K61=9,182)</f>
        <v>196</v>
      </c>
      <c r="O61" s="200">
        <f t="shared" si="1"/>
        <v>54999.999999999993</v>
      </c>
    </row>
    <row r="62" spans="2:15" x14ac:dyDescent="0.25">
      <c r="B62" s="98" t="s">
        <v>453</v>
      </c>
      <c r="C62" s="98"/>
      <c r="D62" s="98" t="s">
        <v>454</v>
      </c>
      <c r="E62" s="98" t="s">
        <v>455</v>
      </c>
      <c r="F62" s="98" t="s">
        <v>1</v>
      </c>
      <c r="G62" s="201">
        <v>1</v>
      </c>
      <c r="H62" s="203">
        <v>85000</v>
      </c>
      <c r="I62" s="200">
        <f t="shared" si="0"/>
        <v>372.80701754385967</v>
      </c>
      <c r="J62" s="98">
        <v>8</v>
      </c>
      <c r="K62" s="98">
        <v>12</v>
      </c>
      <c r="L62" s="98"/>
      <c r="M62" s="98"/>
      <c r="N62" s="199" cm="1">
        <f t="array" ref="N62">_xlfn.IFS(K62=12,228,K62=11,209,K62=10,196,K62=9,182)</f>
        <v>228</v>
      </c>
      <c r="O62" s="200">
        <f t="shared" si="1"/>
        <v>85000</v>
      </c>
    </row>
    <row r="63" spans="2:15" x14ac:dyDescent="0.25">
      <c r="B63" s="98" t="s">
        <v>456</v>
      </c>
      <c r="C63" s="98"/>
      <c r="D63" s="98" t="s">
        <v>454</v>
      </c>
      <c r="E63" s="98" t="s">
        <v>457</v>
      </c>
      <c r="F63" s="98" t="s">
        <v>1</v>
      </c>
      <c r="G63" s="201">
        <v>1</v>
      </c>
      <c r="H63" s="203">
        <v>90000</v>
      </c>
      <c r="I63" s="200">
        <f t="shared" si="0"/>
        <v>394.73684210526318</v>
      </c>
      <c r="J63" s="98">
        <v>8</v>
      </c>
      <c r="K63" s="98">
        <v>12</v>
      </c>
      <c r="L63" s="98"/>
      <c r="M63" s="98"/>
      <c r="N63" s="199" cm="1">
        <f t="array" ref="N63">_xlfn.IFS(K63=12,228,K63=11,209,K63=10,196,K63=9,182)</f>
        <v>228</v>
      </c>
      <c r="O63" s="200">
        <f t="shared" si="1"/>
        <v>90000</v>
      </c>
    </row>
    <row r="64" spans="2:15" x14ac:dyDescent="0.25">
      <c r="B64" s="98" t="s">
        <v>458</v>
      </c>
      <c r="C64" s="98"/>
      <c r="D64" s="98" t="s">
        <v>454</v>
      </c>
      <c r="E64" s="98" t="s">
        <v>459</v>
      </c>
      <c r="F64" s="98" t="s">
        <v>1</v>
      </c>
      <c r="G64" s="201">
        <v>1</v>
      </c>
      <c r="H64" s="203">
        <v>90000</v>
      </c>
      <c r="I64" s="200">
        <f t="shared" si="0"/>
        <v>394.73684210526318</v>
      </c>
      <c r="J64" s="98">
        <v>8</v>
      </c>
      <c r="K64" s="98">
        <v>12</v>
      </c>
      <c r="L64" s="98"/>
      <c r="M64" s="98"/>
      <c r="N64" s="199" cm="1">
        <f t="array" ref="N64">_xlfn.IFS(K64=12,228,K64=11,209,K64=10,196,K64=9,182)</f>
        <v>228</v>
      </c>
      <c r="O64" s="200">
        <f t="shared" si="1"/>
        <v>90000</v>
      </c>
    </row>
    <row r="65" spans="2:15" x14ac:dyDescent="0.25">
      <c r="B65" s="98" t="s">
        <v>460</v>
      </c>
      <c r="C65" s="98"/>
      <c r="D65" s="98" t="s">
        <v>454</v>
      </c>
      <c r="E65" s="98" t="s">
        <v>461</v>
      </c>
      <c r="F65" s="98" t="s">
        <v>452</v>
      </c>
      <c r="G65" s="201">
        <v>1</v>
      </c>
      <c r="H65" s="203">
        <v>90000</v>
      </c>
      <c r="I65" s="200">
        <f t="shared" si="0"/>
        <v>394.73684210526318</v>
      </c>
      <c r="J65" s="98">
        <v>8</v>
      </c>
      <c r="K65" s="98">
        <v>12</v>
      </c>
      <c r="L65" s="98"/>
      <c r="M65" s="98" t="s">
        <v>452</v>
      </c>
      <c r="N65" s="199" cm="1">
        <f t="array" ref="N65">_xlfn.IFS(K65=12,228,K65=11,209,K65=10,196,K65=9,182)</f>
        <v>228</v>
      </c>
      <c r="O65" s="200">
        <f t="shared" si="1"/>
        <v>90000</v>
      </c>
    </row>
    <row r="66" spans="2:15" x14ac:dyDescent="0.25">
      <c r="B66" s="98" t="s">
        <v>462</v>
      </c>
      <c r="C66" s="98"/>
      <c r="D66" s="98" t="s">
        <v>454</v>
      </c>
      <c r="E66" s="98" t="s">
        <v>49</v>
      </c>
      <c r="F66" s="98" t="s">
        <v>1</v>
      </c>
      <c r="G66" s="201">
        <v>1</v>
      </c>
      <c r="H66" s="203">
        <v>126000</v>
      </c>
      <c r="I66" s="200">
        <f t="shared" si="0"/>
        <v>552.63157894736844</v>
      </c>
      <c r="J66" s="98">
        <v>8</v>
      </c>
      <c r="K66" s="98">
        <v>12</v>
      </c>
      <c r="L66" s="98"/>
      <c r="M66" s="98"/>
      <c r="N66" s="199" cm="1">
        <f t="array" ref="N66">_xlfn.IFS(K66=12,228,K66=11,209,K66=10,196,K66=9,182)</f>
        <v>228</v>
      </c>
      <c r="O66" s="200">
        <f t="shared" si="1"/>
        <v>126000</v>
      </c>
    </row>
    <row r="67" spans="2:15" x14ac:dyDescent="0.25">
      <c r="B67" s="98" t="s">
        <v>463</v>
      </c>
      <c r="C67" s="98"/>
      <c r="D67" s="98" t="s">
        <v>464</v>
      </c>
      <c r="E67" s="98" t="s">
        <v>465</v>
      </c>
      <c r="F67" s="98" t="s">
        <v>1</v>
      </c>
      <c r="G67" s="201">
        <v>1</v>
      </c>
      <c r="H67" s="203">
        <v>65000</v>
      </c>
      <c r="I67" s="200">
        <f t="shared" si="0"/>
        <v>285.08771929824559</v>
      </c>
      <c r="J67" s="98">
        <v>8</v>
      </c>
      <c r="K67" s="98">
        <v>12</v>
      </c>
      <c r="L67" s="98"/>
      <c r="M67" s="98"/>
      <c r="N67" s="199" cm="1">
        <f t="array" ref="N67">_xlfn.IFS(K67=12,228,K67=11,209,K67=10,196,K67=9,182)</f>
        <v>228</v>
      </c>
      <c r="O67" s="200">
        <f t="shared" si="1"/>
        <v>64999.999999999993</v>
      </c>
    </row>
    <row r="68" spans="2:15" x14ac:dyDescent="0.25">
      <c r="B68" s="98" t="s">
        <v>466</v>
      </c>
      <c r="C68" s="98"/>
      <c r="D68" s="98" t="s">
        <v>464</v>
      </c>
      <c r="E68" s="98" t="s">
        <v>467</v>
      </c>
      <c r="F68" s="98" t="s">
        <v>1</v>
      </c>
      <c r="G68" s="201">
        <v>1</v>
      </c>
      <c r="H68" s="203">
        <v>50000</v>
      </c>
      <c r="I68" s="200">
        <f t="shared" si="0"/>
        <v>219.2982456140351</v>
      </c>
      <c r="J68" s="98">
        <v>8</v>
      </c>
      <c r="K68" s="98">
        <v>12</v>
      </c>
      <c r="L68" s="98"/>
      <c r="M68" s="98"/>
      <c r="N68" s="199" cm="1">
        <f t="array" ref="N68">_xlfn.IFS(K68=12,228,K68=11,209,K68=10,196,K68=9,182)</f>
        <v>228</v>
      </c>
      <c r="O68" s="200">
        <f t="shared" si="1"/>
        <v>50000</v>
      </c>
    </row>
    <row r="69" spans="2:15" x14ac:dyDescent="0.25">
      <c r="B69" s="98" t="s">
        <v>468</v>
      </c>
      <c r="C69" s="98"/>
      <c r="D69" s="98" t="s">
        <v>464</v>
      </c>
      <c r="E69" s="98" t="s">
        <v>57</v>
      </c>
      <c r="F69" s="98" t="s">
        <v>1</v>
      </c>
      <c r="G69" s="201">
        <v>1</v>
      </c>
      <c r="H69" s="203">
        <v>60000</v>
      </c>
      <c r="I69" s="200">
        <f t="shared" si="0"/>
        <v>263.15789473684208</v>
      </c>
      <c r="J69" s="98">
        <v>8</v>
      </c>
      <c r="K69" s="98">
        <v>12</v>
      </c>
      <c r="L69" s="98"/>
      <c r="M69" s="98"/>
      <c r="N69" s="199" cm="1">
        <f t="array" ref="N69">_xlfn.IFS(K69=12,228,K69=11,209,K69=10,196,K69=9,182)</f>
        <v>228</v>
      </c>
      <c r="O69" s="200">
        <f t="shared" si="1"/>
        <v>59999.999999999993</v>
      </c>
    </row>
    <row r="70" spans="2:15" x14ac:dyDescent="0.25">
      <c r="B70" s="98" t="s">
        <v>469</v>
      </c>
      <c r="C70" s="98"/>
      <c r="D70" s="98" t="s">
        <v>464</v>
      </c>
      <c r="E70" s="98" t="s">
        <v>59</v>
      </c>
      <c r="F70" s="98" t="s">
        <v>1</v>
      </c>
      <c r="G70" s="201">
        <v>1</v>
      </c>
      <c r="H70" s="203">
        <v>30600</v>
      </c>
      <c r="I70" s="200">
        <f t="shared" ref="I70:I133" si="2">IF(H70&lt;100,H70*J70,H70/N70)</f>
        <v>134.21052631578948</v>
      </c>
      <c r="J70" s="98">
        <v>8</v>
      </c>
      <c r="K70" s="98">
        <v>12</v>
      </c>
      <c r="L70" s="98"/>
      <c r="M70" s="98"/>
      <c r="N70" s="199" cm="1">
        <f t="array" ref="N70">_xlfn.IFS(K70=12,228,K70=11,209,K70=10,196,K70=9,182)</f>
        <v>228</v>
      </c>
      <c r="O70" s="200">
        <f t="shared" ref="O70:O133" si="3">IFERROR(N70*I70,0)</f>
        <v>30600</v>
      </c>
    </row>
    <row r="71" spans="2:15" x14ac:dyDescent="0.25">
      <c r="B71" s="98" t="s">
        <v>470</v>
      </c>
      <c r="C71" s="98"/>
      <c r="D71" s="98" t="s">
        <v>464</v>
      </c>
      <c r="E71" s="98" t="s">
        <v>471</v>
      </c>
      <c r="F71" s="98" t="s">
        <v>1</v>
      </c>
      <c r="G71" s="201">
        <v>1</v>
      </c>
      <c r="H71" s="203">
        <v>28800</v>
      </c>
      <c r="I71" s="200">
        <f t="shared" si="2"/>
        <v>126.31578947368421</v>
      </c>
      <c r="J71" s="98">
        <v>8</v>
      </c>
      <c r="K71" s="98">
        <v>12</v>
      </c>
      <c r="L71" s="98"/>
      <c r="M71" s="98"/>
      <c r="N71" s="199" cm="1">
        <f t="array" ref="N71">_xlfn.IFS(K71=12,228,K71=11,209,K71=10,196,K71=9,182)</f>
        <v>228</v>
      </c>
      <c r="O71" s="200">
        <f t="shared" si="3"/>
        <v>28800</v>
      </c>
    </row>
    <row r="72" spans="2:15" x14ac:dyDescent="0.25">
      <c r="B72" s="98" t="s">
        <v>472</v>
      </c>
      <c r="C72" s="98"/>
      <c r="D72" s="98" t="s">
        <v>464</v>
      </c>
      <c r="E72" s="98" t="s">
        <v>473</v>
      </c>
      <c r="F72" s="98" t="s">
        <v>1</v>
      </c>
      <c r="G72" s="201">
        <v>1</v>
      </c>
      <c r="H72" s="203">
        <v>24225</v>
      </c>
      <c r="I72" s="200">
        <f t="shared" si="2"/>
        <v>106.25</v>
      </c>
      <c r="J72" s="98">
        <v>8</v>
      </c>
      <c r="K72" s="98">
        <v>12</v>
      </c>
      <c r="L72" s="98"/>
      <c r="M72" s="98"/>
      <c r="N72" s="199" cm="1">
        <f t="array" ref="N72">_xlfn.IFS(K72=12,228,K72=11,209,K72=10,196,K72=9,182)</f>
        <v>228</v>
      </c>
      <c r="O72" s="200">
        <f t="shared" si="3"/>
        <v>24225</v>
      </c>
    </row>
    <row r="73" spans="2:15" x14ac:dyDescent="0.25">
      <c r="B73" s="98" t="s">
        <v>474</v>
      </c>
      <c r="C73" s="98"/>
      <c r="D73" s="98" t="s">
        <v>475</v>
      </c>
      <c r="E73" s="98" t="s">
        <v>476</v>
      </c>
      <c r="F73" s="98" t="s">
        <v>1</v>
      </c>
      <c r="G73" s="201">
        <v>1</v>
      </c>
      <c r="H73" s="201">
        <v>15</v>
      </c>
      <c r="I73" s="200">
        <f t="shared" si="2"/>
        <v>112.5</v>
      </c>
      <c r="J73" s="98">
        <v>7.5</v>
      </c>
      <c r="K73" s="98">
        <v>12</v>
      </c>
      <c r="L73" s="98"/>
      <c r="M73" s="98"/>
      <c r="N73" s="199" cm="1">
        <f t="array" ref="N73">_xlfn.IFS(K73=12,228,K73=11,209,K73=10,196,K73=9,182)</f>
        <v>228</v>
      </c>
      <c r="O73" s="200">
        <f t="shared" si="3"/>
        <v>25650</v>
      </c>
    </row>
    <row r="74" spans="2:15" x14ac:dyDescent="0.25">
      <c r="B74" s="98" t="s">
        <v>477</v>
      </c>
      <c r="C74" s="98"/>
      <c r="D74" s="98" t="s">
        <v>475</v>
      </c>
      <c r="E74" s="98" t="s">
        <v>478</v>
      </c>
      <c r="F74" s="98" t="s">
        <v>1</v>
      </c>
      <c r="G74" s="201">
        <v>1</v>
      </c>
      <c r="H74" s="201">
        <v>25</v>
      </c>
      <c r="I74" s="200">
        <f t="shared" si="2"/>
        <v>187.5</v>
      </c>
      <c r="J74" s="98">
        <v>7.5</v>
      </c>
      <c r="K74" s="98">
        <v>12</v>
      </c>
      <c r="L74" s="98"/>
      <c r="M74" s="98"/>
      <c r="N74" s="199" cm="1">
        <f t="array" ref="N74">_xlfn.IFS(K74=12,228,K74=11,209,K74=10,196,K74=9,182)</f>
        <v>228</v>
      </c>
      <c r="O74" s="200">
        <f t="shared" si="3"/>
        <v>42750</v>
      </c>
    </row>
    <row r="75" spans="2:15" x14ac:dyDescent="0.25">
      <c r="B75" s="98" t="s">
        <v>479</v>
      </c>
      <c r="C75" s="98"/>
      <c r="D75" s="98" t="s">
        <v>475</v>
      </c>
      <c r="E75" s="98" t="s">
        <v>480</v>
      </c>
      <c r="F75" s="98" t="s">
        <v>1</v>
      </c>
      <c r="G75" s="201">
        <v>1</v>
      </c>
      <c r="H75" s="201">
        <v>18</v>
      </c>
      <c r="I75" s="200">
        <f t="shared" si="2"/>
        <v>135</v>
      </c>
      <c r="J75" s="98">
        <v>7.5</v>
      </c>
      <c r="K75" s="98">
        <v>12</v>
      </c>
      <c r="L75" s="98"/>
      <c r="M75" s="98"/>
      <c r="N75" s="199" cm="1">
        <f t="array" ref="N75">_xlfn.IFS(K75=12,228,K75=11,209,K75=10,196,K75=9,182)</f>
        <v>228</v>
      </c>
      <c r="O75" s="200">
        <f t="shared" si="3"/>
        <v>30780</v>
      </c>
    </row>
    <row r="76" spans="2:15" x14ac:dyDescent="0.25">
      <c r="B76" s="98" t="s">
        <v>481</v>
      </c>
      <c r="C76" s="98"/>
      <c r="D76" s="98" t="s">
        <v>475</v>
      </c>
      <c r="E76" s="98" t="s">
        <v>482</v>
      </c>
      <c r="F76" s="98" t="s">
        <v>1</v>
      </c>
      <c r="G76" s="201">
        <v>1</v>
      </c>
      <c r="H76" s="201">
        <v>16</v>
      </c>
      <c r="I76" s="200">
        <f t="shared" si="2"/>
        <v>120</v>
      </c>
      <c r="J76" s="98">
        <v>7.5</v>
      </c>
      <c r="K76" s="98">
        <v>10</v>
      </c>
      <c r="L76" s="98"/>
      <c r="M76" s="98"/>
      <c r="N76" s="199" cm="1">
        <f t="array" ref="N76">_xlfn.IFS(K76=12,228,K76=11,209,K76=10,196,K76=9,182)</f>
        <v>196</v>
      </c>
      <c r="O76" s="200">
        <f t="shared" si="3"/>
        <v>23520</v>
      </c>
    </row>
    <row r="77" spans="2:15" x14ac:dyDescent="0.25">
      <c r="B77" s="98" t="s">
        <v>483</v>
      </c>
      <c r="C77" s="98"/>
      <c r="D77" s="98" t="s">
        <v>475</v>
      </c>
      <c r="E77" s="98" t="s">
        <v>484</v>
      </c>
      <c r="F77" s="98" t="s">
        <v>1</v>
      </c>
      <c r="G77" s="201">
        <v>1</v>
      </c>
      <c r="H77" s="201">
        <v>20.5</v>
      </c>
      <c r="I77" s="200">
        <f t="shared" si="2"/>
        <v>153.75</v>
      </c>
      <c r="J77" s="98">
        <v>7.5</v>
      </c>
      <c r="K77" s="98">
        <v>10</v>
      </c>
      <c r="L77" s="98"/>
      <c r="M77" s="98"/>
      <c r="N77" s="199" cm="1">
        <f t="array" ref="N77">_xlfn.IFS(K77=12,228,K77=11,209,K77=10,196,K77=9,182)</f>
        <v>196</v>
      </c>
      <c r="O77" s="200">
        <f t="shared" si="3"/>
        <v>30135</v>
      </c>
    </row>
    <row r="78" spans="2:15" x14ac:dyDescent="0.25">
      <c r="B78" s="98" t="s">
        <v>485</v>
      </c>
      <c r="C78" s="98"/>
      <c r="D78" s="98" t="s">
        <v>486</v>
      </c>
      <c r="E78" s="98" t="s">
        <v>487</v>
      </c>
      <c r="F78" s="98" t="s">
        <v>3</v>
      </c>
      <c r="G78" s="201">
        <v>1</v>
      </c>
      <c r="H78" s="201">
        <v>40000</v>
      </c>
      <c r="I78" s="200">
        <f t="shared" si="2"/>
        <v>204.08163265306123</v>
      </c>
      <c r="J78" s="98">
        <v>8</v>
      </c>
      <c r="K78" s="98">
        <v>10</v>
      </c>
      <c r="L78" s="98"/>
      <c r="M78" s="98"/>
      <c r="N78" s="199" cm="1">
        <f t="array" ref="N78">_xlfn.IFS(K78=12,228,K78=11,209,K78=10,196,K78=9,182)</f>
        <v>196</v>
      </c>
      <c r="O78" s="200">
        <f t="shared" si="3"/>
        <v>40000</v>
      </c>
    </row>
    <row r="79" spans="2:15" x14ac:dyDescent="0.25">
      <c r="B79" s="98" t="s">
        <v>488</v>
      </c>
      <c r="C79" s="98"/>
      <c r="D79" s="98" t="s">
        <v>486</v>
      </c>
      <c r="E79" s="98" t="s">
        <v>489</v>
      </c>
      <c r="F79" s="98" t="s">
        <v>3</v>
      </c>
      <c r="G79" s="201">
        <v>1</v>
      </c>
      <c r="H79" s="201">
        <v>17</v>
      </c>
      <c r="I79" s="200">
        <f t="shared" si="2"/>
        <v>127.5</v>
      </c>
      <c r="J79" s="98">
        <v>7.5</v>
      </c>
      <c r="K79" s="98">
        <v>10</v>
      </c>
      <c r="L79" s="98"/>
      <c r="M79" s="98"/>
      <c r="N79" s="199" cm="1">
        <f t="array" ref="N79">_xlfn.IFS(K79=12,228,K79=11,209,K79=10,196,K79=9,182)</f>
        <v>196</v>
      </c>
      <c r="O79" s="200">
        <f t="shared" si="3"/>
        <v>24990</v>
      </c>
    </row>
    <row r="80" spans="2:15" x14ac:dyDescent="0.25">
      <c r="B80" s="98" t="s">
        <v>490</v>
      </c>
      <c r="C80" s="98"/>
      <c r="D80" s="98" t="s">
        <v>486</v>
      </c>
      <c r="E80" s="98" t="s">
        <v>491</v>
      </c>
      <c r="F80" s="98" t="s">
        <v>3</v>
      </c>
      <c r="G80" s="201">
        <v>1</v>
      </c>
      <c r="H80" s="201">
        <v>15</v>
      </c>
      <c r="I80" s="200">
        <f t="shared" si="2"/>
        <v>112.5</v>
      </c>
      <c r="J80" s="98">
        <v>7.5</v>
      </c>
      <c r="K80" s="98">
        <v>10</v>
      </c>
      <c r="L80" s="98"/>
      <c r="M80" s="98"/>
      <c r="N80" s="199" cm="1">
        <f t="array" ref="N80">_xlfn.IFS(K80=12,228,K80=11,209,K80=10,196,K80=9,182)</f>
        <v>196</v>
      </c>
      <c r="O80" s="200">
        <f t="shared" si="3"/>
        <v>22050</v>
      </c>
    </row>
    <row r="81" spans="2:15" x14ac:dyDescent="0.25">
      <c r="B81" s="98" t="s">
        <v>492</v>
      </c>
      <c r="C81" s="98"/>
      <c r="D81" s="98" t="s">
        <v>493</v>
      </c>
      <c r="E81" s="98" t="s">
        <v>494</v>
      </c>
      <c r="F81" s="98" t="s">
        <v>345</v>
      </c>
      <c r="G81" s="201">
        <v>1</v>
      </c>
      <c r="H81" s="201">
        <v>22</v>
      </c>
      <c r="I81" s="200">
        <f t="shared" si="2"/>
        <v>176</v>
      </c>
      <c r="J81" s="98">
        <v>8</v>
      </c>
      <c r="K81" s="98">
        <v>12</v>
      </c>
      <c r="L81" s="98"/>
      <c r="M81" s="98" t="s">
        <v>495</v>
      </c>
      <c r="N81" s="199" cm="1">
        <f t="array" ref="N81">_xlfn.IFS(K81=12,228,K81=11,209,K81=10,196,K81=9,182)</f>
        <v>228</v>
      </c>
      <c r="O81" s="200">
        <f t="shared" si="3"/>
        <v>40128</v>
      </c>
    </row>
    <row r="82" spans="2:15" x14ac:dyDescent="0.25">
      <c r="B82" s="98" t="s">
        <v>496</v>
      </c>
      <c r="C82" s="98"/>
      <c r="D82" s="98" t="s">
        <v>497</v>
      </c>
      <c r="E82" s="98" t="s">
        <v>498</v>
      </c>
      <c r="F82" s="98" t="s">
        <v>2</v>
      </c>
      <c r="G82" s="201">
        <v>1</v>
      </c>
      <c r="H82" s="201">
        <v>16</v>
      </c>
      <c r="I82" s="200">
        <f t="shared" si="2"/>
        <v>120</v>
      </c>
      <c r="J82" s="98">
        <v>7.5</v>
      </c>
      <c r="K82" s="98">
        <v>10</v>
      </c>
      <c r="L82" s="98"/>
      <c r="M82" s="98"/>
      <c r="N82" s="199" cm="1">
        <f t="array" ref="N82">_xlfn.IFS(K82=12,228,K82=11,209,K82=10,196,K82=9,182)</f>
        <v>196</v>
      </c>
      <c r="O82" s="200">
        <f t="shared" si="3"/>
        <v>23520</v>
      </c>
    </row>
    <row r="83" spans="2:15" x14ac:dyDescent="0.25">
      <c r="B83" s="98" t="s">
        <v>499</v>
      </c>
      <c r="C83" s="98"/>
      <c r="D83" s="98" t="s">
        <v>497</v>
      </c>
      <c r="E83" s="98" t="s">
        <v>500</v>
      </c>
      <c r="F83" s="98" t="s">
        <v>2</v>
      </c>
      <c r="G83" s="201">
        <v>1</v>
      </c>
      <c r="H83" s="201">
        <v>20</v>
      </c>
      <c r="I83" s="200">
        <f t="shared" si="2"/>
        <v>150</v>
      </c>
      <c r="J83" s="98">
        <v>7.5</v>
      </c>
      <c r="K83" s="98">
        <v>10</v>
      </c>
      <c r="L83" s="98"/>
      <c r="M83" s="98"/>
      <c r="N83" s="199" cm="1">
        <f t="array" ref="N83">_xlfn.IFS(K83=12,228,K83=11,209,K83=10,196,K83=9,182)</f>
        <v>196</v>
      </c>
      <c r="O83" s="200">
        <f t="shared" si="3"/>
        <v>29400</v>
      </c>
    </row>
    <row r="84" spans="2:15" x14ac:dyDescent="0.25">
      <c r="B84" s="98" t="s">
        <v>501</v>
      </c>
      <c r="C84" s="98"/>
      <c r="D84" s="98" t="s">
        <v>497</v>
      </c>
      <c r="E84" s="98" t="s">
        <v>502</v>
      </c>
      <c r="F84" s="98" t="s">
        <v>2</v>
      </c>
      <c r="G84" s="201">
        <v>1</v>
      </c>
      <c r="H84" s="201">
        <v>14</v>
      </c>
      <c r="I84" s="200">
        <f t="shared" si="2"/>
        <v>105</v>
      </c>
      <c r="J84" s="98">
        <v>7.5</v>
      </c>
      <c r="K84" s="98">
        <v>10</v>
      </c>
      <c r="L84" s="98"/>
      <c r="M84" s="98"/>
      <c r="N84" s="199" cm="1">
        <f t="array" ref="N84">_xlfn.IFS(K84=12,228,K84=11,209,K84=10,196,K84=9,182)</f>
        <v>196</v>
      </c>
      <c r="O84" s="200">
        <f t="shared" si="3"/>
        <v>20580</v>
      </c>
    </row>
    <row r="85" spans="2:15" x14ac:dyDescent="0.25">
      <c r="B85" s="202" t="s">
        <v>503</v>
      </c>
      <c r="C85" s="98"/>
      <c r="D85" s="98" t="s">
        <v>497</v>
      </c>
      <c r="E85" s="98" t="s">
        <v>504</v>
      </c>
      <c r="F85" s="98" t="s">
        <v>2</v>
      </c>
      <c r="G85" s="201">
        <v>1</v>
      </c>
      <c r="H85" s="201">
        <v>14</v>
      </c>
      <c r="I85" s="200">
        <f t="shared" si="2"/>
        <v>105</v>
      </c>
      <c r="J85" s="98">
        <v>7.5</v>
      </c>
      <c r="K85" s="98">
        <v>10</v>
      </c>
      <c r="L85" s="98"/>
      <c r="M85" s="98"/>
      <c r="N85" s="199" cm="1">
        <f t="array" ref="N85">_xlfn.IFS(K85=12,228,K85=11,209,K85=10,196,K85=9,182)</f>
        <v>196</v>
      </c>
      <c r="O85" s="200">
        <f t="shared" si="3"/>
        <v>20580</v>
      </c>
    </row>
    <row r="86" spans="2:15" x14ac:dyDescent="0.25">
      <c r="B86" s="98" t="s">
        <v>505</v>
      </c>
      <c r="C86" s="98"/>
      <c r="D86" s="98" t="s">
        <v>497</v>
      </c>
      <c r="E86" s="98" t="s">
        <v>506</v>
      </c>
      <c r="F86" s="98" t="s">
        <v>2</v>
      </c>
      <c r="G86" s="201">
        <v>1</v>
      </c>
      <c r="H86" s="201">
        <v>22</v>
      </c>
      <c r="I86" s="200">
        <f t="shared" si="2"/>
        <v>165</v>
      </c>
      <c r="J86" s="98">
        <v>7.5</v>
      </c>
      <c r="K86" s="98">
        <v>10</v>
      </c>
      <c r="L86" s="98"/>
      <c r="M86" s="98"/>
      <c r="N86" s="199" cm="1">
        <f t="array" ref="N86">_xlfn.IFS(K86=12,228,K86=11,209,K86=10,196,K86=9,182)</f>
        <v>196</v>
      </c>
      <c r="O86" s="200">
        <f t="shared" si="3"/>
        <v>32340</v>
      </c>
    </row>
    <row r="87" spans="2:15" x14ac:dyDescent="0.25">
      <c r="B87" s="98" t="s">
        <v>507</v>
      </c>
      <c r="C87" s="98"/>
      <c r="D87" s="98" t="s">
        <v>508</v>
      </c>
      <c r="E87" s="98" t="s">
        <v>509</v>
      </c>
      <c r="F87" s="98" t="s">
        <v>1</v>
      </c>
      <c r="G87" s="201">
        <v>1</v>
      </c>
      <c r="H87" s="201">
        <v>16</v>
      </c>
      <c r="I87" s="200">
        <f t="shared" si="2"/>
        <v>120</v>
      </c>
      <c r="J87" s="98">
        <v>7.5</v>
      </c>
      <c r="K87" s="98">
        <v>10</v>
      </c>
      <c r="L87" s="98"/>
      <c r="M87" s="98"/>
      <c r="N87" s="199" cm="1">
        <f t="array" ref="N87">_xlfn.IFS(K87=12,228,K87=11,209,K87=10,196,K87=9,182)</f>
        <v>196</v>
      </c>
      <c r="O87" s="200">
        <f t="shared" si="3"/>
        <v>23520</v>
      </c>
    </row>
    <row r="88" spans="2:15" x14ac:dyDescent="0.25">
      <c r="B88" s="98" t="s">
        <v>510</v>
      </c>
      <c r="C88" s="98"/>
      <c r="D88" s="98" t="s">
        <v>508</v>
      </c>
      <c r="E88" s="98" t="s">
        <v>511</v>
      </c>
      <c r="F88" s="98" t="s">
        <v>1</v>
      </c>
      <c r="G88" s="201">
        <v>1</v>
      </c>
      <c r="H88" s="201">
        <v>15.5</v>
      </c>
      <c r="I88" s="200">
        <f t="shared" si="2"/>
        <v>116.25</v>
      </c>
      <c r="J88" s="98">
        <v>7.5</v>
      </c>
      <c r="K88" s="98">
        <v>10</v>
      </c>
      <c r="L88" s="98"/>
      <c r="M88" s="98"/>
      <c r="N88" s="199" cm="1">
        <f t="array" ref="N88">_xlfn.IFS(K88=12,228,K88=11,209,K88=10,196,K88=9,182)</f>
        <v>196</v>
      </c>
      <c r="O88" s="200">
        <f t="shared" si="3"/>
        <v>22785</v>
      </c>
    </row>
    <row r="89" spans="2:15" x14ac:dyDescent="0.25">
      <c r="B89" s="98" t="s">
        <v>512</v>
      </c>
      <c r="C89" s="98"/>
      <c r="D89" s="98" t="s">
        <v>508</v>
      </c>
      <c r="E89" s="98" t="s">
        <v>511</v>
      </c>
      <c r="F89" s="98" t="s">
        <v>1</v>
      </c>
      <c r="G89" s="201">
        <v>1</v>
      </c>
      <c r="H89" s="201">
        <v>12</v>
      </c>
      <c r="I89" s="200">
        <f t="shared" si="2"/>
        <v>90</v>
      </c>
      <c r="J89" s="98">
        <v>7.5</v>
      </c>
      <c r="K89" s="98">
        <v>10</v>
      </c>
      <c r="L89" s="98"/>
      <c r="M89" s="98"/>
      <c r="N89" s="199" cm="1">
        <f t="array" ref="N89">_xlfn.IFS(K89=12,228,K89=11,209,K89=10,196,K89=9,182)</f>
        <v>196</v>
      </c>
      <c r="O89" s="200">
        <f t="shared" si="3"/>
        <v>17640</v>
      </c>
    </row>
    <row r="90" spans="2:15" x14ac:dyDescent="0.25">
      <c r="B90" s="202" t="s">
        <v>503</v>
      </c>
      <c r="C90" s="98"/>
      <c r="D90" s="98" t="s">
        <v>508</v>
      </c>
      <c r="E90" s="98" t="s">
        <v>513</v>
      </c>
      <c r="F90" s="98" t="s">
        <v>1</v>
      </c>
      <c r="G90" s="201">
        <v>1</v>
      </c>
      <c r="H90" s="201">
        <v>14</v>
      </c>
      <c r="I90" s="200">
        <f t="shared" si="2"/>
        <v>105</v>
      </c>
      <c r="J90" s="98">
        <v>7.5</v>
      </c>
      <c r="K90" s="98">
        <v>10</v>
      </c>
      <c r="L90" s="98"/>
      <c r="M90" s="98"/>
      <c r="N90" s="199" cm="1">
        <f t="array" ref="N90">_xlfn.IFS(K90=12,228,K90=11,209,K90=10,196,K90=9,182)</f>
        <v>196</v>
      </c>
      <c r="O90" s="200">
        <f t="shared" si="3"/>
        <v>20580</v>
      </c>
    </row>
    <row r="91" spans="2:15" x14ac:dyDescent="0.25">
      <c r="B91" s="98" t="s">
        <v>514</v>
      </c>
      <c r="C91" s="98"/>
      <c r="D91" s="98" t="s">
        <v>508</v>
      </c>
      <c r="E91" s="98" t="s">
        <v>511</v>
      </c>
      <c r="F91" s="98" t="s">
        <v>1</v>
      </c>
      <c r="G91" s="201">
        <v>1</v>
      </c>
      <c r="H91" s="201">
        <v>14</v>
      </c>
      <c r="I91" s="200">
        <f t="shared" si="2"/>
        <v>105</v>
      </c>
      <c r="J91" s="98">
        <v>7.5</v>
      </c>
      <c r="K91" s="98">
        <v>10</v>
      </c>
      <c r="L91" s="98"/>
      <c r="M91" s="98"/>
      <c r="N91" s="199" cm="1">
        <f t="array" ref="N91">_xlfn.IFS(K91=12,228,K91=11,209,K91=10,196,K91=9,182)</f>
        <v>196</v>
      </c>
      <c r="O91" s="200">
        <f t="shared" si="3"/>
        <v>20580</v>
      </c>
    </row>
    <row r="92" spans="2:15" x14ac:dyDescent="0.25">
      <c r="B92" s="98" t="s">
        <v>515</v>
      </c>
      <c r="C92" s="98"/>
      <c r="D92" s="98" t="s">
        <v>508</v>
      </c>
      <c r="E92" s="98" t="s">
        <v>511</v>
      </c>
      <c r="F92" s="98" t="s">
        <v>1</v>
      </c>
      <c r="G92" s="201">
        <v>1</v>
      </c>
      <c r="H92" s="201">
        <v>16</v>
      </c>
      <c r="I92" s="200">
        <f t="shared" si="2"/>
        <v>120</v>
      </c>
      <c r="J92" s="98">
        <v>7.5</v>
      </c>
      <c r="K92" s="98">
        <v>10</v>
      </c>
      <c r="L92" s="98"/>
      <c r="M92" s="98"/>
      <c r="N92" s="199" cm="1">
        <f t="array" ref="N92">_xlfn.IFS(K92=12,228,K92=11,209,K92=10,196,K92=9,182)</f>
        <v>196</v>
      </c>
      <c r="O92" s="200">
        <f t="shared" si="3"/>
        <v>23520</v>
      </c>
    </row>
    <row r="93" spans="2:15" x14ac:dyDescent="0.25">
      <c r="B93" s="98" t="s">
        <v>516</v>
      </c>
      <c r="C93" s="98"/>
      <c r="D93" s="98" t="s">
        <v>508</v>
      </c>
      <c r="E93" s="98" t="s">
        <v>509</v>
      </c>
      <c r="F93" s="98" t="s">
        <v>1</v>
      </c>
      <c r="G93" s="201">
        <v>1</v>
      </c>
      <c r="H93" s="201">
        <v>14</v>
      </c>
      <c r="I93" s="200">
        <f t="shared" si="2"/>
        <v>105</v>
      </c>
      <c r="J93" s="98">
        <v>7.5</v>
      </c>
      <c r="K93" s="98">
        <v>10</v>
      </c>
      <c r="L93" s="98"/>
      <c r="M93" s="98"/>
      <c r="N93" s="199" cm="1">
        <f t="array" ref="N93">_xlfn.IFS(K93=12,228,K93=11,209,K93=10,196,K93=9,182)</f>
        <v>196</v>
      </c>
      <c r="O93" s="200">
        <f t="shared" si="3"/>
        <v>20580</v>
      </c>
    </row>
    <row r="94" spans="2:15" x14ac:dyDescent="0.25">
      <c r="B94" s="98" t="s">
        <v>517</v>
      </c>
      <c r="C94" s="98"/>
      <c r="D94" s="98" t="s">
        <v>497</v>
      </c>
      <c r="E94" s="98" t="s">
        <v>518</v>
      </c>
      <c r="F94" s="98" t="s">
        <v>2</v>
      </c>
      <c r="G94" s="201">
        <v>1</v>
      </c>
      <c r="H94" s="201">
        <v>16</v>
      </c>
      <c r="I94" s="200">
        <f t="shared" si="2"/>
        <v>120</v>
      </c>
      <c r="J94" s="98">
        <v>7.5</v>
      </c>
      <c r="K94" s="98">
        <v>10</v>
      </c>
      <c r="L94" s="98"/>
      <c r="M94" s="98"/>
      <c r="N94" s="199" cm="1">
        <f t="array" ref="N94">_xlfn.IFS(K94=12,228,K94=11,209,K94=10,196,K94=9,182)</f>
        <v>196</v>
      </c>
      <c r="O94" s="200">
        <f t="shared" si="3"/>
        <v>23520</v>
      </c>
    </row>
    <row r="95" spans="2:15" x14ac:dyDescent="0.25">
      <c r="B95" s="98" t="s">
        <v>519</v>
      </c>
      <c r="C95" s="98"/>
      <c r="D95" s="98" t="s">
        <v>508</v>
      </c>
      <c r="E95" s="98" t="s">
        <v>511</v>
      </c>
      <c r="F95" s="98" t="s">
        <v>1</v>
      </c>
      <c r="G95" s="201">
        <v>1</v>
      </c>
      <c r="H95" s="201">
        <v>14</v>
      </c>
      <c r="I95" s="200">
        <f t="shared" si="2"/>
        <v>105</v>
      </c>
      <c r="J95" s="98">
        <v>7.5</v>
      </c>
      <c r="K95" s="98">
        <v>10</v>
      </c>
      <c r="L95" s="98"/>
      <c r="M95" s="98"/>
      <c r="N95" s="199" cm="1">
        <f t="array" ref="N95">_xlfn.IFS(K95=12,228,K95=11,209,K95=10,196,K95=9,182)</f>
        <v>196</v>
      </c>
      <c r="O95" s="200">
        <f t="shared" si="3"/>
        <v>20580</v>
      </c>
    </row>
    <row r="96" spans="2:15" x14ac:dyDescent="0.25">
      <c r="B96" s="98" t="s">
        <v>520</v>
      </c>
      <c r="C96" s="98"/>
      <c r="D96" s="98" t="s">
        <v>508</v>
      </c>
      <c r="E96" s="98" t="s">
        <v>511</v>
      </c>
      <c r="F96" s="98" t="s">
        <v>1</v>
      </c>
      <c r="G96" s="201">
        <v>1</v>
      </c>
      <c r="H96" s="201">
        <v>14</v>
      </c>
      <c r="I96" s="200">
        <f t="shared" si="2"/>
        <v>105</v>
      </c>
      <c r="J96" s="98">
        <v>7.5</v>
      </c>
      <c r="K96" s="98">
        <v>10</v>
      </c>
      <c r="L96" s="98"/>
      <c r="M96" s="98"/>
      <c r="N96" s="199" cm="1">
        <f t="array" ref="N96">_xlfn.IFS(K96=12,228,K96=11,209,K96=10,196,K96=9,182)</f>
        <v>196</v>
      </c>
      <c r="O96" s="200">
        <f t="shared" si="3"/>
        <v>20580</v>
      </c>
    </row>
    <row r="97" spans="2:15" x14ac:dyDescent="0.25">
      <c r="B97" s="98" t="s">
        <v>521</v>
      </c>
      <c r="C97" s="98"/>
      <c r="D97" s="98" t="s">
        <v>508</v>
      </c>
      <c r="E97" s="98" t="s">
        <v>511</v>
      </c>
      <c r="F97" s="98" t="s">
        <v>1</v>
      </c>
      <c r="G97" s="201">
        <v>1</v>
      </c>
      <c r="H97" s="201">
        <v>16</v>
      </c>
      <c r="I97" s="200">
        <f t="shared" si="2"/>
        <v>120</v>
      </c>
      <c r="J97" s="98">
        <v>7.5</v>
      </c>
      <c r="K97" s="98">
        <v>10</v>
      </c>
      <c r="L97" s="98"/>
      <c r="M97" s="98"/>
      <c r="N97" s="199" cm="1">
        <f t="array" ref="N97">_xlfn.IFS(K97=12,228,K97=11,209,K97=10,196,K97=9,182)</f>
        <v>196</v>
      </c>
      <c r="O97" s="200">
        <f t="shared" si="3"/>
        <v>23520</v>
      </c>
    </row>
    <row r="98" spans="2:15" x14ac:dyDescent="0.25">
      <c r="B98" s="202" t="s">
        <v>503</v>
      </c>
      <c r="C98" s="98"/>
      <c r="D98" s="98" t="s">
        <v>508</v>
      </c>
      <c r="E98" s="98" t="s">
        <v>511</v>
      </c>
      <c r="F98" s="98" t="s">
        <v>1</v>
      </c>
      <c r="G98" s="201">
        <v>1</v>
      </c>
      <c r="H98" s="201">
        <v>14</v>
      </c>
      <c r="I98" s="200">
        <f t="shared" si="2"/>
        <v>105</v>
      </c>
      <c r="J98" s="98">
        <v>7.5</v>
      </c>
      <c r="K98" s="98">
        <v>10</v>
      </c>
      <c r="L98" s="98"/>
      <c r="M98" s="98"/>
      <c r="N98" s="199" cm="1">
        <f t="array" ref="N98">_xlfn.IFS(K98=12,228,K98=11,209,K98=10,196,K98=9,182)</f>
        <v>196</v>
      </c>
      <c r="O98" s="200">
        <f t="shared" si="3"/>
        <v>20580</v>
      </c>
    </row>
    <row r="99" spans="2:15" x14ac:dyDescent="0.25">
      <c r="B99" s="98" t="s">
        <v>522</v>
      </c>
      <c r="C99" s="98"/>
      <c r="D99" s="98" t="s">
        <v>497</v>
      </c>
      <c r="E99" s="98" t="s">
        <v>523</v>
      </c>
      <c r="F99" s="98" t="s">
        <v>2</v>
      </c>
      <c r="G99" s="201">
        <v>1</v>
      </c>
      <c r="H99" s="201">
        <v>16</v>
      </c>
      <c r="I99" s="200">
        <f t="shared" si="2"/>
        <v>120</v>
      </c>
      <c r="J99" s="98">
        <v>7.5</v>
      </c>
      <c r="K99" s="98">
        <v>10</v>
      </c>
      <c r="L99" s="98"/>
      <c r="M99" s="98"/>
      <c r="N99" s="199" cm="1">
        <f t="array" ref="N99">_xlfn.IFS(K99=12,228,K99=11,209,K99=10,196,K99=9,182)</f>
        <v>196</v>
      </c>
      <c r="O99" s="200">
        <f t="shared" si="3"/>
        <v>23520</v>
      </c>
    </row>
    <row r="100" spans="2:15" x14ac:dyDescent="0.25">
      <c r="B100" s="98" t="s">
        <v>524</v>
      </c>
      <c r="C100" s="98"/>
      <c r="D100" s="98" t="s">
        <v>508</v>
      </c>
      <c r="E100" s="98" t="s">
        <v>509</v>
      </c>
      <c r="F100" s="98" t="s">
        <v>1</v>
      </c>
      <c r="G100" s="201">
        <v>1</v>
      </c>
      <c r="H100" s="201">
        <v>14</v>
      </c>
      <c r="I100" s="200">
        <f t="shared" si="2"/>
        <v>105</v>
      </c>
      <c r="J100" s="98">
        <v>7.5</v>
      </c>
      <c r="K100" s="98">
        <v>10</v>
      </c>
      <c r="L100" s="98"/>
      <c r="M100" s="98"/>
      <c r="N100" s="199" cm="1">
        <f t="array" ref="N100">_xlfn.IFS(K100=12,228,K100=11,209,K100=10,196,K100=9,182)</f>
        <v>196</v>
      </c>
      <c r="O100" s="200">
        <f t="shared" si="3"/>
        <v>20580</v>
      </c>
    </row>
    <row r="101" spans="2:15" x14ac:dyDescent="0.25">
      <c r="B101" s="98" t="s">
        <v>525</v>
      </c>
      <c r="C101" s="98"/>
      <c r="D101" s="98" t="s">
        <v>508</v>
      </c>
      <c r="E101" s="98" t="s">
        <v>511</v>
      </c>
      <c r="F101" s="98" t="s">
        <v>1</v>
      </c>
      <c r="G101" s="201">
        <v>1</v>
      </c>
      <c r="H101" s="201">
        <v>13</v>
      </c>
      <c r="I101" s="200">
        <f t="shared" si="2"/>
        <v>97.5</v>
      </c>
      <c r="J101" s="98">
        <v>7.5</v>
      </c>
      <c r="K101" s="98">
        <v>10</v>
      </c>
      <c r="L101" s="98"/>
      <c r="M101" s="98"/>
      <c r="N101" s="199" cm="1">
        <f t="array" ref="N101">_xlfn.IFS(K101=12,228,K101=11,209,K101=10,196,K101=9,182)</f>
        <v>196</v>
      </c>
      <c r="O101" s="200">
        <f t="shared" si="3"/>
        <v>19110</v>
      </c>
    </row>
    <row r="102" spans="2:15" x14ac:dyDescent="0.25">
      <c r="B102" s="98" t="s">
        <v>526</v>
      </c>
      <c r="C102" s="98"/>
      <c r="D102" s="98" t="s">
        <v>508</v>
      </c>
      <c r="E102" s="98" t="s">
        <v>511</v>
      </c>
      <c r="F102" s="98" t="s">
        <v>1</v>
      </c>
      <c r="G102" s="201">
        <v>1</v>
      </c>
      <c r="H102" s="201">
        <v>19</v>
      </c>
      <c r="I102" s="200">
        <f t="shared" si="2"/>
        <v>142.5</v>
      </c>
      <c r="J102" s="98">
        <v>7.5</v>
      </c>
      <c r="K102" s="98">
        <v>10</v>
      </c>
      <c r="L102" s="98"/>
      <c r="M102" s="98"/>
      <c r="N102" s="199" cm="1">
        <f t="array" ref="N102">_xlfn.IFS(K102=12,228,K102=11,209,K102=10,196,K102=9,182)</f>
        <v>196</v>
      </c>
      <c r="O102" s="200">
        <f t="shared" si="3"/>
        <v>27930</v>
      </c>
    </row>
    <row r="103" spans="2:15" x14ac:dyDescent="0.25">
      <c r="B103" s="98" t="s">
        <v>527</v>
      </c>
      <c r="C103" s="98"/>
      <c r="D103" s="98" t="s">
        <v>508</v>
      </c>
      <c r="E103" s="98" t="s">
        <v>511</v>
      </c>
      <c r="F103" s="98" t="s">
        <v>1</v>
      </c>
      <c r="G103" s="201">
        <v>1</v>
      </c>
      <c r="H103" s="201">
        <v>13</v>
      </c>
      <c r="I103" s="200">
        <f t="shared" si="2"/>
        <v>97.5</v>
      </c>
      <c r="J103" s="98">
        <v>7.5</v>
      </c>
      <c r="K103" s="98">
        <v>10</v>
      </c>
      <c r="L103" s="98"/>
      <c r="M103" s="98"/>
      <c r="N103" s="199" cm="1">
        <f t="array" ref="N103">_xlfn.IFS(K103=12,228,K103=11,209,K103=10,196,K103=9,182)</f>
        <v>196</v>
      </c>
      <c r="O103" s="200">
        <f t="shared" si="3"/>
        <v>19110</v>
      </c>
    </row>
    <row r="104" spans="2:15" x14ac:dyDescent="0.25">
      <c r="B104" s="98" t="s">
        <v>528</v>
      </c>
      <c r="C104" s="98"/>
      <c r="D104" s="98" t="s">
        <v>508</v>
      </c>
      <c r="E104" s="98" t="s">
        <v>529</v>
      </c>
      <c r="F104" s="98" t="s">
        <v>1</v>
      </c>
      <c r="G104" s="201">
        <v>1</v>
      </c>
      <c r="H104" s="201">
        <v>13</v>
      </c>
      <c r="I104" s="200">
        <f t="shared" si="2"/>
        <v>97.5</v>
      </c>
      <c r="J104" s="98">
        <v>7.5</v>
      </c>
      <c r="K104" s="98">
        <v>10</v>
      </c>
      <c r="L104" s="98"/>
      <c r="M104" s="98"/>
      <c r="N104" s="199" cm="1">
        <f t="array" ref="N104">_xlfn.IFS(K104=12,228,K104=11,209,K104=10,196,K104=9,182)</f>
        <v>196</v>
      </c>
      <c r="O104" s="200">
        <f t="shared" si="3"/>
        <v>19110</v>
      </c>
    </row>
    <row r="105" spans="2:15" x14ac:dyDescent="0.25">
      <c r="B105" s="98" t="s">
        <v>530</v>
      </c>
      <c r="C105" s="98"/>
      <c r="D105" s="98" t="s">
        <v>508</v>
      </c>
      <c r="E105" s="98" t="s">
        <v>511</v>
      </c>
      <c r="F105" s="98" t="s">
        <v>1</v>
      </c>
      <c r="G105" s="201">
        <v>1</v>
      </c>
      <c r="H105" s="201">
        <v>14</v>
      </c>
      <c r="I105" s="200">
        <f t="shared" si="2"/>
        <v>105</v>
      </c>
      <c r="J105" s="98">
        <v>7.5</v>
      </c>
      <c r="K105" s="98">
        <v>10</v>
      </c>
      <c r="L105" s="98"/>
      <c r="M105" s="98"/>
      <c r="N105" s="199" cm="1">
        <f t="array" ref="N105">_xlfn.IFS(K105=12,228,K105=11,209,K105=10,196,K105=9,182)</f>
        <v>196</v>
      </c>
      <c r="O105" s="200">
        <f t="shared" si="3"/>
        <v>20580</v>
      </c>
    </row>
    <row r="106" spans="2:15" x14ac:dyDescent="0.25">
      <c r="B106" s="98"/>
      <c r="C106" s="98"/>
      <c r="D106" s="98"/>
      <c r="E106" s="98"/>
      <c r="F106" s="98"/>
      <c r="G106" s="201"/>
      <c r="H106" s="201"/>
      <c r="I106" s="200">
        <f t="shared" si="2"/>
        <v>0</v>
      </c>
      <c r="J106" s="98"/>
      <c r="K106" s="98"/>
      <c r="L106" s="98"/>
      <c r="M106" s="98"/>
      <c r="N106" s="199" t="e" cm="1">
        <f t="array" ref="N106">_xlfn.IFS(K106=12,228,K106=11,209,K106=10,196,K106=9,182)</f>
        <v>#N/A</v>
      </c>
      <c r="O106" s="200">
        <f t="shared" si="3"/>
        <v>0</v>
      </c>
    </row>
    <row r="107" spans="2:15" x14ac:dyDescent="0.25">
      <c r="B107" s="98"/>
      <c r="C107" s="98"/>
      <c r="D107" s="98"/>
      <c r="E107" s="98"/>
      <c r="F107" s="98"/>
      <c r="G107" s="201"/>
      <c r="H107" s="201"/>
      <c r="I107" s="200">
        <f t="shared" si="2"/>
        <v>0</v>
      </c>
      <c r="J107" s="98"/>
      <c r="K107" s="98"/>
      <c r="L107" s="98"/>
      <c r="M107" s="98"/>
      <c r="N107" s="199" t="e" cm="1">
        <f t="array" ref="N107">_xlfn.IFS(K107=12,228,K107=11,209,K107=10,196,K107=9,182)</f>
        <v>#N/A</v>
      </c>
      <c r="O107" s="200">
        <f t="shared" si="3"/>
        <v>0</v>
      </c>
    </row>
    <row r="108" spans="2:15" x14ac:dyDescent="0.25">
      <c r="B108" s="98"/>
      <c r="C108" s="98"/>
      <c r="D108" s="98"/>
      <c r="E108" s="98"/>
      <c r="F108" s="98"/>
      <c r="G108" s="201"/>
      <c r="H108" s="201"/>
      <c r="I108" s="200">
        <f t="shared" si="2"/>
        <v>0</v>
      </c>
      <c r="J108" s="98"/>
      <c r="K108" s="98"/>
      <c r="L108" s="98"/>
      <c r="M108" s="98"/>
      <c r="N108" s="199" t="e" cm="1">
        <f t="array" ref="N108">_xlfn.IFS(K108=12,228,K108=11,209,K108=10,196,K108=9,182)</f>
        <v>#N/A</v>
      </c>
      <c r="O108" s="200">
        <f t="shared" si="3"/>
        <v>0</v>
      </c>
    </row>
    <row r="109" spans="2:15" x14ac:dyDescent="0.25">
      <c r="B109" s="98"/>
      <c r="C109" s="98"/>
      <c r="D109" s="98"/>
      <c r="E109" s="98"/>
      <c r="F109" s="98"/>
      <c r="G109" s="201"/>
      <c r="H109" s="201"/>
      <c r="I109" s="200">
        <f t="shared" si="2"/>
        <v>0</v>
      </c>
      <c r="J109" s="98"/>
      <c r="K109" s="98"/>
      <c r="L109" s="98"/>
      <c r="M109" s="98"/>
      <c r="N109" s="199" t="e" cm="1">
        <f t="array" ref="N109">_xlfn.IFS(K109=12,228,K109=11,209,K109=10,196,K109=9,182)</f>
        <v>#N/A</v>
      </c>
      <c r="O109" s="200">
        <f t="shared" si="3"/>
        <v>0</v>
      </c>
    </row>
    <row r="110" spans="2:15" x14ac:dyDescent="0.25">
      <c r="B110" s="98"/>
      <c r="C110" s="98"/>
      <c r="D110" s="98"/>
      <c r="E110" s="98"/>
      <c r="F110" s="98"/>
      <c r="G110" s="201"/>
      <c r="H110" s="201"/>
      <c r="I110" s="200">
        <f t="shared" si="2"/>
        <v>0</v>
      </c>
      <c r="J110" s="98"/>
      <c r="K110" s="98"/>
      <c r="L110" s="98"/>
      <c r="M110" s="98"/>
      <c r="N110" s="199" t="e" cm="1">
        <f t="array" ref="N110">_xlfn.IFS(K110=12,228,K110=11,209,K110=10,196,K110=9,182)</f>
        <v>#N/A</v>
      </c>
      <c r="O110" s="200">
        <f t="shared" si="3"/>
        <v>0</v>
      </c>
    </row>
    <row r="111" spans="2:15" x14ac:dyDescent="0.25">
      <c r="B111" s="98"/>
      <c r="C111" s="98"/>
      <c r="D111" s="98"/>
      <c r="E111" s="98"/>
      <c r="F111" s="98"/>
      <c r="G111" s="201"/>
      <c r="H111" s="201"/>
      <c r="I111" s="200">
        <f t="shared" si="2"/>
        <v>0</v>
      </c>
      <c r="J111" s="98"/>
      <c r="K111" s="98"/>
      <c r="L111" s="98"/>
      <c r="M111" s="98"/>
      <c r="N111" s="199" t="e" cm="1">
        <f t="array" ref="N111">_xlfn.IFS(K111=12,228,K111=11,209,K111=10,196,K111=9,182)</f>
        <v>#N/A</v>
      </c>
      <c r="O111" s="200">
        <f t="shared" si="3"/>
        <v>0</v>
      </c>
    </row>
    <row r="112" spans="2:15" x14ac:dyDescent="0.25">
      <c r="B112" s="98"/>
      <c r="C112" s="98"/>
      <c r="D112" s="98"/>
      <c r="E112" s="98"/>
      <c r="F112" s="98"/>
      <c r="G112" s="201"/>
      <c r="H112" s="201"/>
      <c r="I112" s="200">
        <f t="shared" si="2"/>
        <v>0</v>
      </c>
      <c r="J112" s="98"/>
      <c r="K112" s="98"/>
      <c r="L112" s="98"/>
      <c r="M112" s="98"/>
      <c r="N112" s="199" t="e" cm="1">
        <f t="array" ref="N112">_xlfn.IFS(K112=12,228,K112=11,209,K112=10,196,K112=9,182)</f>
        <v>#N/A</v>
      </c>
      <c r="O112" s="200">
        <f t="shared" si="3"/>
        <v>0</v>
      </c>
    </row>
    <row r="113" spans="2:15" x14ac:dyDescent="0.25">
      <c r="B113" s="98"/>
      <c r="C113" s="98"/>
      <c r="D113" s="98"/>
      <c r="E113" s="98"/>
      <c r="F113" s="98"/>
      <c r="G113" s="201"/>
      <c r="H113" s="201"/>
      <c r="I113" s="200">
        <f t="shared" si="2"/>
        <v>0</v>
      </c>
      <c r="J113" s="98"/>
      <c r="K113" s="98"/>
      <c r="L113" s="98"/>
      <c r="M113" s="98"/>
      <c r="N113" s="199" t="e" cm="1">
        <f t="array" ref="N113">_xlfn.IFS(K113=12,228,K113=11,209,K113=10,196,K113=9,182)</f>
        <v>#N/A</v>
      </c>
      <c r="O113" s="200">
        <f t="shared" si="3"/>
        <v>0</v>
      </c>
    </row>
    <row r="114" spans="2:15" x14ac:dyDescent="0.25">
      <c r="B114" s="98"/>
      <c r="C114" s="98"/>
      <c r="D114" s="98"/>
      <c r="E114" s="98"/>
      <c r="F114" s="98"/>
      <c r="G114" s="201"/>
      <c r="H114" s="201"/>
      <c r="I114" s="200">
        <f t="shared" si="2"/>
        <v>0</v>
      </c>
      <c r="J114" s="98"/>
      <c r="K114" s="98"/>
      <c r="L114" s="98"/>
      <c r="M114" s="98"/>
      <c r="N114" s="199" t="e" cm="1">
        <f t="array" ref="N114">_xlfn.IFS(K114=12,228,K114=11,209,K114=10,196,K114=9,182)</f>
        <v>#N/A</v>
      </c>
      <c r="O114" s="200">
        <f t="shared" si="3"/>
        <v>0</v>
      </c>
    </row>
    <row r="115" spans="2:15" x14ac:dyDescent="0.25">
      <c r="B115" s="98"/>
      <c r="C115" s="98"/>
      <c r="D115" s="98"/>
      <c r="E115" s="98"/>
      <c r="F115" s="98"/>
      <c r="G115" s="201"/>
      <c r="H115" s="201"/>
      <c r="I115" s="200">
        <f t="shared" si="2"/>
        <v>0</v>
      </c>
      <c r="J115" s="98"/>
      <c r="K115" s="98"/>
      <c r="L115" s="98"/>
      <c r="M115" s="98"/>
      <c r="N115" s="199" t="e" cm="1">
        <f t="array" ref="N115">_xlfn.IFS(K115=12,228,K115=11,209,K115=10,196,K115=9,182)</f>
        <v>#N/A</v>
      </c>
      <c r="O115" s="200">
        <f t="shared" si="3"/>
        <v>0</v>
      </c>
    </row>
    <row r="116" spans="2:15" x14ac:dyDescent="0.25">
      <c r="B116" s="98"/>
      <c r="C116" s="98"/>
      <c r="D116" s="98"/>
      <c r="E116" s="98"/>
      <c r="F116" s="98"/>
      <c r="G116" s="201"/>
      <c r="H116" s="201"/>
      <c r="I116" s="200">
        <f t="shared" si="2"/>
        <v>0</v>
      </c>
      <c r="J116" s="98"/>
      <c r="K116" s="98"/>
      <c r="L116" s="98"/>
      <c r="M116" s="98"/>
      <c r="N116" s="199" t="e" cm="1">
        <f t="array" ref="N116">_xlfn.IFS(K116=12,228,K116=11,209,K116=10,196,K116=9,182)</f>
        <v>#N/A</v>
      </c>
      <c r="O116" s="200">
        <f t="shared" si="3"/>
        <v>0</v>
      </c>
    </row>
    <row r="117" spans="2:15" x14ac:dyDescent="0.25">
      <c r="B117" s="98"/>
      <c r="C117" s="98"/>
      <c r="D117" s="98"/>
      <c r="E117" s="98"/>
      <c r="F117" s="98"/>
      <c r="G117" s="201"/>
      <c r="H117" s="201"/>
      <c r="I117" s="200">
        <f t="shared" si="2"/>
        <v>0</v>
      </c>
      <c r="J117" s="98"/>
      <c r="K117" s="98"/>
      <c r="L117" s="98"/>
      <c r="M117" s="98"/>
      <c r="N117" s="199" t="e" cm="1">
        <f t="array" ref="N117">_xlfn.IFS(K117=12,228,K117=11,209,K117=10,196,K117=9,182)</f>
        <v>#N/A</v>
      </c>
      <c r="O117" s="200">
        <f t="shared" si="3"/>
        <v>0</v>
      </c>
    </row>
    <row r="118" spans="2:15" x14ac:dyDescent="0.25">
      <c r="B118" s="98"/>
      <c r="C118" s="98"/>
      <c r="D118" s="98"/>
      <c r="E118" s="98"/>
      <c r="F118" s="98"/>
      <c r="G118" s="201"/>
      <c r="H118" s="201"/>
      <c r="I118" s="200">
        <f t="shared" si="2"/>
        <v>0</v>
      </c>
      <c r="J118" s="98"/>
      <c r="K118" s="98"/>
      <c r="L118" s="98"/>
      <c r="M118" s="98"/>
      <c r="N118" s="199" t="e" cm="1">
        <f t="array" ref="N118">_xlfn.IFS(K118=12,228,K118=11,209,K118=10,196,K118=9,182)</f>
        <v>#N/A</v>
      </c>
      <c r="O118" s="200">
        <f t="shared" si="3"/>
        <v>0</v>
      </c>
    </row>
    <row r="119" spans="2:15" x14ac:dyDescent="0.25">
      <c r="B119" s="98"/>
      <c r="C119" s="98"/>
      <c r="D119" s="98"/>
      <c r="E119" s="98"/>
      <c r="F119" s="98"/>
      <c r="G119" s="201"/>
      <c r="H119" s="201"/>
      <c r="I119" s="200">
        <f t="shared" si="2"/>
        <v>0</v>
      </c>
      <c r="J119" s="98"/>
      <c r="K119" s="98"/>
      <c r="L119" s="98"/>
      <c r="M119" s="98"/>
      <c r="N119" s="199" t="e" cm="1">
        <f t="array" ref="N119">_xlfn.IFS(K119=12,228,K119=11,209,K119=10,196,K119=9,182)</f>
        <v>#N/A</v>
      </c>
      <c r="O119" s="200">
        <f t="shared" si="3"/>
        <v>0</v>
      </c>
    </row>
    <row r="120" spans="2:15" x14ac:dyDescent="0.25">
      <c r="B120" s="98"/>
      <c r="C120" s="98"/>
      <c r="D120" s="98"/>
      <c r="E120" s="98"/>
      <c r="F120" s="98"/>
      <c r="G120" s="201"/>
      <c r="H120" s="201"/>
      <c r="I120" s="200">
        <f t="shared" si="2"/>
        <v>0</v>
      </c>
      <c r="J120" s="98"/>
      <c r="K120" s="98"/>
      <c r="L120" s="98"/>
      <c r="M120" s="98"/>
      <c r="N120" s="199" t="e" cm="1">
        <f t="array" ref="N120">_xlfn.IFS(K120=12,228,K120=11,209,K120=10,196,K120=9,182)</f>
        <v>#N/A</v>
      </c>
      <c r="O120" s="200">
        <f t="shared" si="3"/>
        <v>0</v>
      </c>
    </row>
    <row r="121" spans="2:15" x14ac:dyDescent="0.25">
      <c r="B121" s="98"/>
      <c r="C121" s="98"/>
      <c r="D121" s="98"/>
      <c r="E121" s="98"/>
      <c r="F121" s="98"/>
      <c r="G121" s="201"/>
      <c r="H121" s="201"/>
      <c r="I121" s="200">
        <f t="shared" si="2"/>
        <v>0</v>
      </c>
      <c r="J121" s="98"/>
      <c r="K121" s="98"/>
      <c r="L121" s="98"/>
      <c r="M121" s="98"/>
      <c r="N121" s="199" t="e" cm="1">
        <f t="array" ref="N121">_xlfn.IFS(K121=12,228,K121=11,209,K121=10,196,K121=9,182)</f>
        <v>#N/A</v>
      </c>
      <c r="O121" s="200">
        <f t="shared" si="3"/>
        <v>0</v>
      </c>
    </row>
    <row r="122" spans="2:15" x14ac:dyDescent="0.25">
      <c r="B122" s="98"/>
      <c r="C122" s="98"/>
      <c r="D122" s="98"/>
      <c r="E122" s="98"/>
      <c r="F122" s="98"/>
      <c r="G122" s="201"/>
      <c r="H122" s="201"/>
      <c r="I122" s="200">
        <f t="shared" si="2"/>
        <v>0</v>
      </c>
      <c r="J122" s="98"/>
      <c r="K122" s="98"/>
      <c r="L122" s="98"/>
      <c r="M122" s="98"/>
      <c r="N122" s="199" t="e" cm="1">
        <f t="array" ref="N122">_xlfn.IFS(K122=12,228,K122=11,209,K122=10,196,K122=9,182)</f>
        <v>#N/A</v>
      </c>
      <c r="O122" s="200">
        <f t="shared" si="3"/>
        <v>0</v>
      </c>
    </row>
    <row r="123" spans="2:15" x14ac:dyDescent="0.25">
      <c r="B123" s="98"/>
      <c r="C123" s="98"/>
      <c r="D123" s="98"/>
      <c r="E123" s="98"/>
      <c r="F123" s="98"/>
      <c r="G123" s="201"/>
      <c r="H123" s="201"/>
      <c r="I123" s="200">
        <f t="shared" si="2"/>
        <v>0</v>
      </c>
      <c r="J123" s="98"/>
      <c r="K123" s="98"/>
      <c r="L123" s="98"/>
      <c r="M123" s="98"/>
      <c r="N123" s="199" t="e" cm="1">
        <f t="array" ref="N123">_xlfn.IFS(K123=12,228,K123=11,209,K123=10,196,K123=9,182)</f>
        <v>#N/A</v>
      </c>
      <c r="O123" s="200">
        <f t="shared" si="3"/>
        <v>0</v>
      </c>
    </row>
    <row r="124" spans="2:15" x14ac:dyDescent="0.25">
      <c r="B124" s="98"/>
      <c r="C124" s="98"/>
      <c r="D124" s="98"/>
      <c r="E124" s="98"/>
      <c r="F124" s="98"/>
      <c r="G124" s="201"/>
      <c r="H124" s="201"/>
      <c r="I124" s="200">
        <f t="shared" si="2"/>
        <v>0</v>
      </c>
      <c r="J124" s="98"/>
      <c r="K124" s="98"/>
      <c r="L124" s="98"/>
      <c r="M124" s="98"/>
      <c r="N124" s="199" t="e" cm="1">
        <f t="array" ref="N124">_xlfn.IFS(K124=12,228,K124=11,209,K124=10,196,K124=9,182)</f>
        <v>#N/A</v>
      </c>
      <c r="O124" s="200">
        <f t="shared" si="3"/>
        <v>0</v>
      </c>
    </row>
    <row r="125" spans="2:15" x14ac:dyDescent="0.25">
      <c r="B125" s="98"/>
      <c r="C125" s="98"/>
      <c r="D125" s="98"/>
      <c r="E125" s="98"/>
      <c r="F125" s="98"/>
      <c r="G125" s="201"/>
      <c r="H125" s="201"/>
      <c r="I125" s="200">
        <f t="shared" si="2"/>
        <v>0</v>
      </c>
      <c r="J125" s="98"/>
      <c r="K125" s="98"/>
      <c r="L125" s="98"/>
      <c r="M125" s="98"/>
      <c r="N125" s="199" t="e" cm="1">
        <f t="array" ref="N125">_xlfn.IFS(K125=12,228,K125=11,209,K125=10,196,K125=9,182)</f>
        <v>#N/A</v>
      </c>
      <c r="O125" s="200">
        <f t="shared" si="3"/>
        <v>0</v>
      </c>
    </row>
    <row r="126" spans="2:15" x14ac:dyDescent="0.25">
      <c r="B126" s="98"/>
      <c r="C126" s="98"/>
      <c r="D126" s="98"/>
      <c r="E126" s="98"/>
      <c r="F126" s="98"/>
      <c r="G126" s="201"/>
      <c r="H126" s="201"/>
      <c r="I126" s="200">
        <f t="shared" si="2"/>
        <v>0</v>
      </c>
      <c r="J126" s="98"/>
      <c r="K126" s="98"/>
      <c r="L126" s="98"/>
      <c r="M126" s="98"/>
      <c r="N126" s="199" t="e" cm="1">
        <f t="array" ref="N126">_xlfn.IFS(K126=12,228,K126=11,209,K126=10,196,K126=9,182)</f>
        <v>#N/A</v>
      </c>
      <c r="O126" s="200">
        <f t="shared" si="3"/>
        <v>0</v>
      </c>
    </row>
    <row r="127" spans="2:15" x14ac:dyDescent="0.25">
      <c r="B127" s="98"/>
      <c r="C127" s="98"/>
      <c r="D127" s="98"/>
      <c r="E127" s="98"/>
      <c r="F127" s="98"/>
      <c r="G127" s="201"/>
      <c r="H127" s="201"/>
      <c r="I127" s="200">
        <f t="shared" si="2"/>
        <v>0</v>
      </c>
      <c r="J127" s="98"/>
      <c r="K127" s="98"/>
      <c r="L127" s="98"/>
      <c r="M127" s="98"/>
      <c r="N127" s="199" t="e" cm="1">
        <f t="array" ref="N127">_xlfn.IFS(K127=12,228,K127=11,209,K127=10,196,K127=9,182)</f>
        <v>#N/A</v>
      </c>
      <c r="O127" s="200">
        <f t="shared" si="3"/>
        <v>0</v>
      </c>
    </row>
    <row r="128" spans="2:15" x14ac:dyDescent="0.25">
      <c r="B128" s="98"/>
      <c r="C128" s="98"/>
      <c r="D128" s="98"/>
      <c r="E128" s="98"/>
      <c r="F128" s="98"/>
      <c r="G128" s="201"/>
      <c r="H128" s="201"/>
      <c r="I128" s="200">
        <f t="shared" si="2"/>
        <v>0</v>
      </c>
      <c r="J128" s="98"/>
      <c r="K128" s="98"/>
      <c r="L128" s="98"/>
      <c r="M128" s="98"/>
      <c r="N128" s="199" t="e" cm="1">
        <f t="array" ref="N128">_xlfn.IFS(K128=12,228,K128=11,209,K128=10,196,K128=9,182)</f>
        <v>#N/A</v>
      </c>
      <c r="O128" s="200">
        <f t="shared" si="3"/>
        <v>0</v>
      </c>
    </row>
    <row r="129" spans="2:15" x14ac:dyDescent="0.25">
      <c r="B129" s="98"/>
      <c r="C129" s="98"/>
      <c r="D129" s="98"/>
      <c r="E129" s="98"/>
      <c r="F129" s="98"/>
      <c r="G129" s="201"/>
      <c r="H129" s="201"/>
      <c r="I129" s="200">
        <f t="shared" si="2"/>
        <v>0</v>
      </c>
      <c r="J129" s="98"/>
      <c r="K129" s="98"/>
      <c r="L129" s="98"/>
      <c r="M129" s="98"/>
      <c r="N129" s="199" t="e" cm="1">
        <f t="array" ref="N129">_xlfn.IFS(K129=12,228,K129=11,209,K129=10,196,K129=9,182)</f>
        <v>#N/A</v>
      </c>
      <c r="O129" s="200">
        <f t="shared" si="3"/>
        <v>0</v>
      </c>
    </row>
    <row r="130" spans="2:15" x14ac:dyDescent="0.25">
      <c r="B130" s="98"/>
      <c r="C130" s="98"/>
      <c r="D130" s="98"/>
      <c r="E130" s="98"/>
      <c r="F130" s="98"/>
      <c r="G130" s="201"/>
      <c r="H130" s="201"/>
      <c r="I130" s="200">
        <f t="shared" si="2"/>
        <v>0</v>
      </c>
      <c r="J130" s="98"/>
      <c r="K130" s="98"/>
      <c r="L130" s="98"/>
      <c r="M130" s="98"/>
      <c r="N130" s="199" t="e" cm="1">
        <f t="array" ref="N130">_xlfn.IFS(K130=12,228,K130=11,209,K130=10,196,K130=9,182)</f>
        <v>#N/A</v>
      </c>
      <c r="O130" s="200">
        <f t="shared" si="3"/>
        <v>0</v>
      </c>
    </row>
    <row r="131" spans="2:15" x14ac:dyDescent="0.25">
      <c r="B131" s="98"/>
      <c r="C131" s="98"/>
      <c r="D131" s="98"/>
      <c r="E131" s="98"/>
      <c r="F131" s="98"/>
      <c r="G131" s="201"/>
      <c r="H131" s="201"/>
      <c r="I131" s="200">
        <f t="shared" si="2"/>
        <v>0</v>
      </c>
      <c r="J131" s="98"/>
      <c r="K131" s="98"/>
      <c r="L131" s="98"/>
      <c r="M131" s="98"/>
      <c r="N131" s="199" t="e" cm="1">
        <f t="array" ref="N131">_xlfn.IFS(K131=12,228,K131=11,209,K131=10,196,K131=9,182)</f>
        <v>#N/A</v>
      </c>
      <c r="O131" s="200">
        <f t="shared" si="3"/>
        <v>0</v>
      </c>
    </row>
    <row r="132" spans="2:15" x14ac:dyDescent="0.25">
      <c r="B132" s="98"/>
      <c r="C132" s="98"/>
      <c r="D132" s="98"/>
      <c r="E132" s="98"/>
      <c r="F132" s="98"/>
      <c r="G132" s="201"/>
      <c r="H132" s="201"/>
      <c r="I132" s="200">
        <f t="shared" si="2"/>
        <v>0</v>
      </c>
      <c r="J132" s="98"/>
      <c r="K132" s="98"/>
      <c r="L132" s="98"/>
      <c r="M132" s="98"/>
      <c r="N132" s="199" t="e" cm="1">
        <f t="array" ref="N132">_xlfn.IFS(K132=12,228,K132=11,209,K132=10,196,K132=9,182)</f>
        <v>#N/A</v>
      </c>
      <c r="O132" s="200">
        <f t="shared" si="3"/>
        <v>0</v>
      </c>
    </row>
    <row r="133" spans="2:15" x14ac:dyDescent="0.25">
      <c r="B133" s="98"/>
      <c r="C133" s="98"/>
      <c r="D133" s="98"/>
      <c r="E133" s="98"/>
      <c r="F133" s="98"/>
      <c r="G133" s="201"/>
      <c r="H133" s="201"/>
      <c r="I133" s="200">
        <f t="shared" si="2"/>
        <v>0</v>
      </c>
      <c r="J133" s="98"/>
      <c r="K133" s="98"/>
      <c r="L133" s="98"/>
      <c r="M133" s="98"/>
      <c r="N133" s="199" t="e" cm="1">
        <f t="array" ref="N133">_xlfn.IFS(K133=12,228,K133=11,209,K133=10,196,K133=9,182)</f>
        <v>#N/A</v>
      </c>
      <c r="O133" s="200">
        <f t="shared" si="3"/>
        <v>0</v>
      </c>
    </row>
    <row r="134" spans="2:15" x14ac:dyDescent="0.25">
      <c r="B134" s="98"/>
      <c r="C134" s="98"/>
      <c r="D134" s="98"/>
      <c r="E134" s="98"/>
      <c r="F134" s="98"/>
      <c r="G134" s="201"/>
      <c r="H134" s="201"/>
      <c r="I134" s="200">
        <f t="shared" ref="I134:I197" si="4">IF(H134&lt;100,H134*J134,H134/N134)</f>
        <v>0</v>
      </c>
      <c r="J134" s="98"/>
      <c r="K134" s="98"/>
      <c r="L134" s="98"/>
      <c r="M134" s="98"/>
      <c r="N134" s="199" t="e" cm="1">
        <f t="array" ref="N134">_xlfn.IFS(K134=12,228,K134=11,209,K134=10,196,K134=9,182)</f>
        <v>#N/A</v>
      </c>
      <c r="O134" s="200">
        <f t="shared" ref="O134:O197" si="5">IFERROR(N134*I134,0)</f>
        <v>0</v>
      </c>
    </row>
    <row r="135" spans="2:15" x14ac:dyDescent="0.25">
      <c r="B135" s="98"/>
      <c r="C135" s="98"/>
      <c r="D135" s="98"/>
      <c r="E135" s="98"/>
      <c r="F135" s="98"/>
      <c r="G135" s="201"/>
      <c r="H135" s="201"/>
      <c r="I135" s="200">
        <f t="shared" si="4"/>
        <v>0</v>
      </c>
      <c r="J135" s="98"/>
      <c r="K135" s="98"/>
      <c r="L135" s="98"/>
      <c r="M135" s="98"/>
      <c r="N135" s="199" t="e" cm="1">
        <f t="array" ref="N135">_xlfn.IFS(K135=12,228,K135=11,209,K135=10,196,K135=9,182)</f>
        <v>#N/A</v>
      </c>
      <c r="O135" s="200">
        <f t="shared" si="5"/>
        <v>0</v>
      </c>
    </row>
    <row r="136" spans="2:15" x14ac:dyDescent="0.25">
      <c r="B136" s="98"/>
      <c r="C136" s="98"/>
      <c r="D136" s="98"/>
      <c r="E136" s="98"/>
      <c r="F136" s="98"/>
      <c r="G136" s="201"/>
      <c r="H136" s="201"/>
      <c r="I136" s="200">
        <f t="shared" si="4"/>
        <v>0</v>
      </c>
      <c r="J136" s="98"/>
      <c r="K136" s="98"/>
      <c r="L136" s="98"/>
      <c r="M136" s="98"/>
      <c r="N136" s="199" t="e" cm="1">
        <f t="array" ref="N136">_xlfn.IFS(K136=12,228,K136=11,209,K136=10,196,K136=9,182)</f>
        <v>#N/A</v>
      </c>
      <c r="O136" s="200">
        <f t="shared" si="5"/>
        <v>0</v>
      </c>
    </row>
    <row r="137" spans="2:15" x14ac:dyDescent="0.25">
      <c r="B137" s="98"/>
      <c r="C137" s="98"/>
      <c r="D137" s="98"/>
      <c r="E137" s="98"/>
      <c r="F137" s="98"/>
      <c r="G137" s="201"/>
      <c r="H137" s="201"/>
      <c r="I137" s="200">
        <f t="shared" si="4"/>
        <v>0</v>
      </c>
      <c r="J137" s="98"/>
      <c r="K137" s="98"/>
      <c r="L137" s="98"/>
      <c r="M137" s="98"/>
      <c r="N137" s="199" t="e" cm="1">
        <f t="array" ref="N137">_xlfn.IFS(K137=12,228,K137=11,209,K137=10,196,K137=9,182)</f>
        <v>#N/A</v>
      </c>
      <c r="O137" s="200">
        <f t="shared" si="5"/>
        <v>0</v>
      </c>
    </row>
    <row r="138" spans="2:15" x14ac:dyDescent="0.25">
      <c r="B138" s="98"/>
      <c r="C138" s="98"/>
      <c r="D138" s="98"/>
      <c r="E138" s="98"/>
      <c r="F138" s="98"/>
      <c r="G138" s="201"/>
      <c r="H138" s="201"/>
      <c r="I138" s="200">
        <f t="shared" si="4"/>
        <v>0</v>
      </c>
      <c r="J138" s="98"/>
      <c r="K138" s="98"/>
      <c r="L138" s="98"/>
      <c r="M138" s="98"/>
      <c r="N138" s="199" t="e" cm="1">
        <f t="array" ref="N138">_xlfn.IFS(K138=12,228,K138=11,209,K138=10,196,K138=9,182)</f>
        <v>#N/A</v>
      </c>
      <c r="O138" s="200">
        <f t="shared" si="5"/>
        <v>0</v>
      </c>
    </row>
    <row r="139" spans="2:15" x14ac:dyDescent="0.25">
      <c r="B139" s="98"/>
      <c r="C139" s="98"/>
      <c r="D139" s="98"/>
      <c r="E139" s="98"/>
      <c r="F139" s="98"/>
      <c r="G139" s="201"/>
      <c r="H139" s="201"/>
      <c r="I139" s="200">
        <f t="shared" si="4"/>
        <v>0</v>
      </c>
      <c r="J139" s="98"/>
      <c r="K139" s="98"/>
      <c r="L139" s="98"/>
      <c r="M139" s="98"/>
      <c r="N139" s="199" t="e" cm="1">
        <f t="array" ref="N139">_xlfn.IFS(K139=12,228,K139=11,209,K139=10,196,K139=9,182)</f>
        <v>#N/A</v>
      </c>
      <c r="O139" s="200">
        <f t="shared" si="5"/>
        <v>0</v>
      </c>
    </row>
    <row r="140" spans="2:15" x14ac:dyDescent="0.25">
      <c r="B140" s="98"/>
      <c r="C140" s="98"/>
      <c r="D140" s="98"/>
      <c r="E140" s="98"/>
      <c r="F140" s="98"/>
      <c r="G140" s="201"/>
      <c r="H140" s="201"/>
      <c r="I140" s="200">
        <f t="shared" si="4"/>
        <v>0</v>
      </c>
      <c r="J140" s="98"/>
      <c r="K140" s="98"/>
      <c r="L140" s="98"/>
      <c r="M140" s="98"/>
      <c r="N140" s="199" t="e" cm="1">
        <f t="array" ref="N140">_xlfn.IFS(K140=12,228,K140=11,209,K140=10,196,K140=9,182)</f>
        <v>#N/A</v>
      </c>
      <c r="O140" s="200">
        <f t="shared" si="5"/>
        <v>0</v>
      </c>
    </row>
    <row r="141" spans="2:15" x14ac:dyDescent="0.25">
      <c r="B141" s="98"/>
      <c r="C141" s="98"/>
      <c r="D141" s="98"/>
      <c r="E141" s="98"/>
      <c r="F141" s="98"/>
      <c r="G141" s="201"/>
      <c r="H141" s="201"/>
      <c r="I141" s="200">
        <f t="shared" si="4"/>
        <v>0</v>
      </c>
      <c r="J141" s="98"/>
      <c r="K141" s="98"/>
      <c r="L141" s="98"/>
      <c r="M141" s="98"/>
      <c r="N141" s="199" t="e" cm="1">
        <f t="array" ref="N141">_xlfn.IFS(K141=12,228,K141=11,209,K141=10,196,K141=9,182)</f>
        <v>#N/A</v>
      </c>
      <c r="O141" s="200">
        <f t="shared" si="5"/>
        <v>0</v>
      </c>
    </row>
    <row r="142" spans="2:15" x14ac:dyDescent="0.25">
      <c r="B142" s="98"/>
      <c r="C142" s="98"/>
      <c r="D142" s="98"/>
      <c r="E142" s="98"/>
      <c r="F142" s="98"/>
      <c r="G142" s="201"/>
      <c r="H142" s="201"/>
      <c r="I142" s="200">
        <f t="shared" si="4"/>
        <v>0</v>
      </c>
      <c r="J142" s="98"/>
      <c r="K142" s="98"/>
      <c r="L142" s="98"/>
      <c r="M142" s="98"/>
      <c r="N142" s="199" t="e" cm="1">
        <f t="array" ref="N142">_xlfn.IFS(K142=12,228,K142=11,209,K142=10,196,K142=9,182)</f>
        <v>#N/A</v>
      </c>
      <c r="O142" s="200">
        <f t="shared" si="5"/>
        <v>0</v>
      </c>
    </row>
    <row r="143" spans="2:15" x14ac:dyDescent="0.25">
      <c r="B143" s="98"/>
      <c r="C143" s="98"/>
      <c r="D143" s="98"/>
      <c r="E143" s="98"/>
      <c r="F143" s="98"/>
      <c r="G143" s="201"/>
      <c r="H143" s="201"/>
      <c r="I143" s="200">
        <f t="shared" si="4"/>
        <v>0</v>
      </c>
      <c r="J143" s="98"/>
      <c r="K143" s="98"/>
      <c r="L143" s="98"/>
      <c r="M143" s="98"/>
      <c r="N143" s="199" t="e" cm="1">
        <f t="array" ref="N143">_xlfn.IFS(K143=12,228,K143=11,209,K143=10,196,K143=9,182)</f>
        <v>#N/A</v>
      </c>
      <c r="O143" s="200">
        <f t="shared" si="5"/>
        <v>0</v>
      </c>
    </row>
    <row r="144" spans="2:15" x14ac:dyDescent="0.25">
      <c r="B144" s="98"/>
      <c r="C144" s="98"/>
      <c r="D144" s="98"/>
      <c r="E144" s="98"/>
      <c r="F144" s="98"/>
      <c r="G144" s="201"/>
      <c r="H144" s="201"/>
      <c r="I144" s="200">
        <f t="shared" si="4"/>
        <v>0</v>
      </c>
      <c r="J144" s="98"/>
      <c r="K144" s="98"/>
      <c r="L144" s="98"/>
      <c r="M144" s="98"/>
      <c r="N144" s="199" t="e" cm="1">
        <f t="array" ref="N144">_xlfn.IFS(K144=12,228,K144=11,209,K144=10,196,K144=9,182)</f>
        <v>#N/A</v>
      </c>
      <c r="O144" s="200">
        <f t="shared" si="5"/>
        <v>0</v>
      </c>
    </row>
    <row r="145" spans="2:15" x14ac:dyDescent="0.25">
      <c r="B145" s="98"/>
      <c r="C145" s="98"/>
      <c r="D145" s="98"/>
      <c r="E145" s="98"/>
      <c r="F145" s="98"/>
      <c r="G145" s="201"/>
      <c r="H145" s="201"/>
      <c r="I145" s="200">
        <f t="shared" si="4"/>
        <v>0</v>
      </c>
      <c r="J145" s="98"/>
      <c r="K145" s="98"/>
      <c r="L145" s="98"/>
      <c r="M145" s="98"/>
      <c r="N145" s="199" t="e" cm="1">
        <f t="array" ref="N145">_xlfn.IFS(K145=12,228,K145=11,209,K145=10,196,K145=9,182)</f>
        <v>#N/A</v>
      </c>
      <c r="O145" s="200">
        <f t="shared" si="5"/>
        <v>0</v>
      </c>
    </row>
    <row r="146" spans="2:15" x14ac:dyDescent="0.25">
      <c r="B146" s="98"/>
      <c r="C146" s="98"/>
      <c r="D146" s="98"/>
      <c r="E146" s="98"/>
      <c r="F146" s="98"/>
      <c r="G146" s="201"/>
      <c r="H146" s="201"/>
      <c r="I146" s="200">
        <f t="shared" si="4"/>
        <v>0</v>
      </c>
      <c r="J146" s="98"/>
      <c r="K146" s="98"/>
      <c r="L146" s="98"/>
      <c r="M146" s="98"/>
      <c r="N146" s="199" t="e" cm="1">
        <f t="array" ref="N146">_xlfn.IFS(K146=12,228,K146=11,209,K146=10,196,K146=9,182)</f>
        <v>#N/A</v>
      </c>
      <c r="O146" s="200">
        <f t="shared" si="5"/>
        <v>0</v>
      </c>
    </row>
    <row r="147" spans="2:15" x14ac:dyDescent="0.25">
      <c r="B147" s="98"/>
      <c r="C147" s="98"/>
      <c r="D147" s="98"/>
      <c r="E147" s="98"/>
      <c r="F147" s="98"/>
      <c r="G147" s="201"/>
      <c r="H147" s="201"/>
      <c r="I147" s="200">
        <f t="shared" si="4"/>
        <v>0</v>
      </c>
      <c r="J147" s="98"/>
      <c r="K147" s="98"/>
      <c r="L147" s="98"/>
      <c r="M147" s="98"/>
      <c r="N147" s="199" t="e" cm="1">
        <f t="array" ref="N147">_xlfn.IFS(K147=12,228,K147=11,209,K147=10,196,K147=9,182)</f>
        <v>#N/A</v>
      </c>
      <c r="O147" s="200">
        <f t="shared" si="5"/>
        <v>0</v>
      </c>
    </row>
    <row r="148" spans="2:15" x14ac:dyDescent="0.25">
      <c r="B148" s="98"/>
      <c r="C148" s="98"/>
      <c r="D148" s="98"/>
      <c r="E148" s="98"/>
      <c r="F148" s="98"/>
      <c r="G148" s="201"/>
      <c r="H148" s="201"/>
      <c r="I148" s="200">
        <f t="shared" si="4"/>
        <v>0</v>
      </c>
      <c r="J148" s="98"/>
      <c r="K148" s="98"/>
      <c r="L148" s="98"/>
      <c r="M148" s="98"/>
      <c r="N148" s="199" t="e" cm="1">
        <f t="array" ref="N148">_xlfn.IFS(K148=12,228,K148=11,209,K148=10,196,K148=9,182)</f>
        <v>#N/A</v>
      </c>
      <c r="O148" s="200">
        <f t="shared" si="5"/>
        <v>0</v>
      </c>
    </row>
    <row r="149" spans="2:15" x14ac:dyDescent="0.25">
      <c r="B149" s="98"/>
      <c r="C149" s="98"/>
      <c r="D149" s="98"/>
      <c r="E149" s="98"/>
      <c r="F149" s="98"/>
      <c r="G149" s="201"/>
      <c r="H149" s="201"/>
      <c r="I149" s="200">
        <f t="shared" si="4"/>
        <v>0</v>
      </c>
      <c r="J149" s="98"/>
      <c r="K149" s="98"/>
      <c r="L149" s="98"/>
      <c r="M149" s="98"/>
      <c r="N149" s="199" t="e" cm="1">
        <f t="array" ref="N149">_xlfn.IFS(K149=12,228,K149=11,209,K149=10,196,K149=9,182)</f>
        <v>#N/A</v>
      </c>
      <c r="O149" s="200">
        <f t="shared" si="5"/>
        <v>0</v>
      </c>
    </row>
    <row r="150" spans="2:15" x14ac:dyDescent="0.25">
      <c r="B150" s="98"/>
      <c r="C150" s="98"/>
      <c r="D150" s="98"/>
      <c r="E150" s="98"/>
      <c r="F150" s="98"/>
      <c r="G150" s="201"/>
      <c r="H150" s="201"/>
      <c r="I150" s="200">
        <f t="shared" si="4"/>
        <v>0</v>
      </c>
      <c r="J150" s="98"/>
      <c r="K150" s="98"/>
      <c r="L150" s="98"/>
      <c r="M150" s="98"/>
      <c r="N150" s="199" t="e" cm="1">
        <f t="array" ref="N150">_xlfn.IFS(K150=12,228,K150=11,209,K150=10,196,K150=9,182)</f>
        <v>#N/A</v>
      </c>
      <c r="O150" s="200">
        <f t="shared" si="5"/>
        <v>0</v>
      </c>
    </row>
    <row r="151" spans="2:15" x14ac:dyDescent="0.25">
      <c r="B151" s="98"/>
      <c r="C151" s="98"/>
      <c r="D151" s="98"/>
      <c r="E151" s="98"/>
      <c r="F151" s="98"/>
      <c r="G151" s="201"/>
      <c r="H151" s="201"/>
      <c r="I151" s="200">
        <f t="shared" si="4"/>
        <v>0</v>
      </c>
      <c r="J151" s="98"/>
      <c r="K151" s="98"/>
      <c r="L151" s="98"/>
      <c r="M151" s="98"/>
      <c r="N151" s="199" t="e" cm="1">
        <f t="array" ref="N151">_xlfn.IFS(K151=12,228,K151=11,209,K151=10,196,K151=9,182)</f>
        <v>#N/A</v>
      </c>
      <c r="O151" s="200">
        <f t="shared" si="5"/>
        <v>0</v>
      </c>
    </row>
    <row r="152" spans="2:15" x14ac:dyDescent="0.25">
      <c r="B152" s="98"/>
      <c r="C152" s="98"/>
      <c r="D152" s="98"/>
      <c r="E152" s="98"/>
      <c r="F152" s="98"/>
      <c r="G152" s="201"/>
      <c r="H152" s="201"/>
      <c r="I152" s="200">
        <f t="shared" si="4"/>
        <v>0</v>
      </c>
      <c r="J152" s="98"/>
      <c r="K152" s="98"/>
      <c r="L152" s="98"/>
      <c r="M152" s="98"/>
      <c r="N152" s="199" t="e" cm="1">
        <f t="array" ref="N152">_xlfn.IFS(K152=12,228,K152=11,209,K152=10,196,K152=9,182)</f>
        <v>#N/A</v>
      </c>
      <c r="O152" s="200">
        <f t="shared" si="5"/>
        <v>0</v>
      </c>
    </row>
    <row r="153" spans="2:15" x14ac:dyDescent="0.25">
      <c r="B153" s="98"/>
      <c r="C153" s="98"/>
      <c r="D153" s="98"/>
      <c r="E153" s="98"/>
      <c r="F153" s="98"/>
      <c r="G153" s="201"/>
      <c r="H153" s="201"/>
      <c r="I153" s="200">
        <f t="shared" si="4"/>
        <v>0</v>
      </c>
      <c r="J153" s="98"/>
      <c r="K153" s="98"/>
      <c r="L153" s="98"/>
      <c r="M153" s="98"/>
      <c r="N153" s="199" t="e" cm="1">
        <f t="array" ref="N153">_xlfn.IFS(K153=12,228,K153=11,209,K153=10,196,K153=9,182)</f>
        <v>#N/A</v>
      </c>
      <c r="O153" s="200">
        <f t="shared" si="5"/>
        <v>0</v>
      </c>
    </row>
    <row r="154" spans="2:15" x14ac:dyDescent="0.25">
      <c r="B154" s="98"/>
      <c r="C154" s="98"/>
      <c r="D154" s="98"/>
      <c r="E154" s="98"/>
      <c r="F154" s="98"/>
      <c r="G154" s="201"/>
      <c r="H154" s="201"/>
      <c r="I154" s="200">
        <f t="shared" si="4"/>
        <v>0</v>
      </c>
      <c r="J154" s="98"/>
      <c r="K154" s="98"/>
      <c r="L154" s="98"/>
      <c r="M154" s="98"/>
      <c r="N154" s="199" t="e" cm="1">
        <f t="array" ref="N154">_xlfn.IFS(K154=12,228,K154=11,209,K154=10,196,K154=9,182)</f>
        <v>#N/A</v>
      </c>
      <c r="O154" s="200">
        <f t="shared" si="5"/>
        <v>0</v>
      </c>
    </row>
    <row r="155" spans="2:15" x14ac:dyDescent="0.25">
      <c r="B155" s="98"/>
      <c r="C155" s="98"/>
      <c r="D155" s="98"/>
      <c r="E155" s="98"/>
      <c r="F155" s="98"/>
      <c r="G155" s="201"/>
      <c r="H155" s="201"/>
      <c r="I155" s="200">
        <f t="shared" si="4"/>
        <v>0</v>
      </c>
      <c r="J155" s="98"/>
      <c r="K155" s="98"/>
      <c r="L155" s="98"/>
      <c r="M155" s="98"/>
      <c r="N155" s="199" t="e" cm="1">
        <f t="array" ref="N155">_xlfn.IFS(K155=12,228,K155=11,209,K155=10,196,K155=9,182)</f>
        <v>#N/A</v>
      </c>
      <c r="O155" s="200">
        <f t="shared" si="5"/>
        <v>0</v>
      </c>
    </row>
    <row r="156" spans="2:15" x14ac:dyDescent="0.25">
      <c r="B156" s="98"/>
      <c r="C156" s="98"/>
      <c r="D156" s="98"/>
      <c r="E156" s="98"/>
      <c r="F156" s="98"/>
      <c r="G156" s="201"/>
      <c r="H156" s="201"/>
      <c r="I156" s="200">
        <f t="shared" si="4"/>
        <v>0</v>
      </c>
      <c r="J156" s="98"/>
      <c r="K156" s="98"/>
      <c r="L156" s="98"/>
      <c r="M156" s="98"/>
      <c r="N156" s="199" t="e" cm="1">
        <f t="array" ref="N156">_xlfn.IFS(K156=12,228,K156=11,209,K156=10,196,K156=9,182)</f>
        <v>#N/A</v>
      </c>
      <c r="O156" s="200">
        <f t="shared" si="5"/>
        <v>0</v>
      </c>
    </row>
    <row r="157" spans="2:15" x14ac:dyDescent="0.25">
      <c r="B157" s="98"/>
      <c r="C157" s="98"/>
      <c r="D157" s="98"/>
      <c r="E157" s="98"/>
      <c r="F157" s="98"/>
      <c r="G157" s="201"/>
      <c r="H157" s="201"/>
      <c r="I157" s="200">
        <f t="shared" si="4"/>
        <v>0</v>
      </c>
      <c r="J157" s="98"/>
      <c r="K157" s="98"/>
      <c r="L157" s="98"/>
      <c r="M157" s="98"/>
      <c r="N157" s="199" t="e" cm="1">
        <f t="array" ref="N157">_xlfn.IFS(K157=12,228,K157=11,209,K157=10,196,K157=9,182)</f>
        <v>#N/A</v>
      </c>
      <c r="O157" s="200">
        <f t="shared" si="5"/>
        <v>0</v>
      </c>
    </row>
    <row r="158" spans="2:15" x14ac:dyDescent="0.25">
      <c r="B158" s="98"/>
      <c r="C158" s="98"/>
      <c r="D158" s="98"/>
      <c r="E158" s="98"/>
      <c r="F158" s="98"/>
      <c r="G158" s="201"/>
      <c r="H158" s="201"/>
      <c r="I158" s="200">
        <f t="shared" si="4"/>
        <v>0</v>
      </c>
      <c r="J158" s="98"/>
      <c r="K158" s="98"/>
      <c r="L158" s="98"/>
      <c r="M158" s="98"/>
      <c r="N158" s="199" t="e" cm="1">
        <f t="array" ref="N158">_xlfn.IFS(K158=12,228,K158=11,209,K158=10,196,K158=9,182)</f>
        <v>#N/A</v>
      </c>
      <c r="O158" s="200">
        <f t="shared" si="5"/>
        <v>0</v>
      </c>
    </row>
    <row r="159" spans="2:15" x14ac:dyDescent="0.25">
      <c r="B159" s="98"/>
      <c r="C159" s="98"/>
      <c r="D159" s="98"/>
      <c r="E159" s="98"/>
      <c r="F159" s="98"/>
      <c r="G159" s="201"/>
      <c r="H159" s="201"/>
      <c r="I159" s="200">
        <f t="shared" si="4"/>
        <v>0</v>
      </c>
      <c r="J159" s="98"/>
      <c r="K159" s="98"/>
      <c r="L159" s="98"/>
      <c r="M159" s="98"/>
      <c r="N159" s="199" t="e" cm="1">
        <f t="array" ref="N159">_xlfn.IFS(K159=12,228,K159=11,209,K159=10,196,K159=9,182)</f>
        <v>#N/A</v>
      </c>
      <c r="O159" s="200">
        <f t="shared" si="5"/>
        <v>0</v>
      </c>
    </row>
    <row r="160" spans="2:15" x14ac:dyDescent="0.25">
      <c r="B160" s="98"/>
      <c r="C160" s="98"/>
      <c r="D160" s="98"/>
      <c r="E160" s="98"/>
      <c r="F160" s="98"/>
      <c r="G160" s="201"/>
      <c r="H160" s="201"/>
      <c r="I160" s="200">
        <f t="shared" si="4"/>
        <v>0</v>
      </c>
      <c r="J160" s="98"/>
      <c r="K160" s="98"/>
      <c r="L160" s="98"/>
      <c r="M160" s="98"/>
      <c r="N160" s="199" t="e" cm="1">
        <f t="array" ref="N160">_xlfn.IFS(K160=12,228,K160=11,209,K160=10,196,K160=9,182)</f>
        <v>#N/A</v>
      </c>
      <c r="O160" s="200">
        <f t="shared" si="5"/>
        <v>0</v>
      </c>
    </row>
    <row r="161" spans="2:15" x14ac:dyDescent="0.25">
      <c r="B161" s="98"/>
      <c r="C161" s="98"/>
      <c r="D161" s="98"/>
      <c r="E161" s="98"/>
      <c r="F161" s="98"/>
      <c r="G161" s="201"/>
      <c r="H161" s="201"/>
      <c r="I161" s="200">
        <f t="shared" si="4"/>
        <v>0</v>
      </c>
      <c r="J161" s="98"/>
      <c r="K161" s="98"/>
      <c r="L161" s="98"/>
      <c r="M161" s="98"/>
      <c r="N161" s="199" t="e" cm="1">
        <f t="array" ref="N161">_xlfn.IFS(K161=12,228,K161=11,209,K161=10,196,K161=9,182)</f>
        <v>#N/A</v>
      </c>
      <c r="O161" s="200">
        <f t="shared" si="5"/>
        <v>0</v>
      </c>
    </row>
    <row r="162" spans="2:15" x14ac:dyDescent="0.25">
      <c r="B162" s="98"/>
      <c r="C162" s="98"/>
      <c r="D162" s="98"/>
      <c r="E162" s="98"/>
      <c r="F162" s="98"/>
      <c r="G162" s="201"/>
      <c r="H162" s="201"/>
      <c r="I162" s="200">
        <f t="shared" si="4"/>
        <v>0</v>
      </c>
      <c r="J162" s="98"/>
      <c r="K162" s="98"/>
      <c r="L162" s="98"/>
      <c r="M162" s="98"/>
      <c r="N162" s="199" t="e" cm="1">
        <f t="array" ref="N162">_xlfn.IFS(K162=12,228,K162=11,209,K162=10,196,K162=9,182)</f>
        <v>#N/A</v>
      </c>
      <c r="O162" s="200">
        <f t="shared" si="5"/>
        <v>0</v>
      </c>
    </row>
    <row r="163" spans="2:15" x14ac:dyDescent="0.25">
      <c r="B163" s="98"/>
      <c r="C163" s="98"/>
      <c r="D163" s="98"/>
      <c r="E163" s="98"/>
      <c r="F163" s="98"/>
      <c r="G163" s="201"/>
      <c r="H163" s="201"/>
      <c r="I163" s="200">
        <f t="shared" si="4"/>
        <v>0</v>
      </c>
      <c r="J163" s="98"/>
      <c r="K163" s="98"/>
      <c r="L163" s="98"/>
      <c r="M163" s="98"/>
      <c r="N163" s="199" t="e" cm="1">
        <f t="array" ref="N163">_xlfn.IFS(K163=12,228,K163=11,209,K163=10,196,K163=9,182)</f>
        <v>#N/A</v>
      </c>
      <c r="O163" s="200">
        <f t="shared" si="5"/>
        <v>0</v>
      </c>
    </row>
    <row r="164" spans="2:15" x14ac:dyDescent="0.25">
      <c r="B164" s="98"/>
      <c r="C164" s="98"/>
      <c r="D164" s="98"/>
      <c r="E164" s="98"/>
      <c r="F164" s="98"/>
      <c r="G164" s="201"/>
      <c r="H164" s="201"/>
      <c r="I164" s="200">
        <f t="shared" si="4"/>
        <v>0</v>
      </c>
      <c r="J164" s="98"/>
      <c r="K164" s="98"/>
      <c r="L164" s="98"/>
      <c r="M164" s="98"/>
      <c r="N164" s="199" t="e" cm="1">
        <f t="array" ref="N164">_xlfn.IFS(K164=12,228,K164=11,209,K164=10,196,K164=9,182)</f>
        <v>#N/A</v>
      </c>
      <c r="O164" s="200">
        <f t="shared" si="5"/>
        <v>0</v>
      </c>
    </row>
    <row r="165" spans="2:15" x14ac:dyDescent="0.25">
      <c r="B165" s="98"/>
      <c r="C165" s="98"/>
      <c r="D165" s="98"/>
      <c r="E165" s="98"/>
      <c r="F165" s="98"/>
      <c r="G165" s="201"/>
      <c r="H165" s="201"/>
      <c r="I165" s="200">
        <f t="shared" si="4"/>
        <v>0</v>
      </c>
      <c r="J165" s="98"/>
      <c r="K165" s="98"/>
      <c r="L165" s="98"/>
      <c r="M165" s="98"/>
      <c r="N165" s="199" t="e" cm="1">
        <f t="array" ref="N165">_xlfn.IFS(K165=12,228,K165=11,209,K165=10,196,K165=9,182)</f>
        <v>#N/A</v>
      </c>
      <c r="O165" s="200">
        <f t="shared" si="5"/>
        <v>0</v>
      </c>
    </row>
    <row r="166" spans="2:15" x14ac:dyDescent="0.25">
      <c r="B166" s="98"/>
      <c r="C166" s="98"/>
      <c r="D166" s="98"/>
      <c r="E166" s="98"/>
      <c r="F166" s="98"/>
      <c r="G166" s="201"/>
      <c r="H166" s="201"/>
      <c r="I166" s="200">
        <f t="shared" si="4"/>
        <v>0</v>
      </c>
      <c r="J166" s="98"/>
      <c r="K166" s="98"/>
      <c r="L166" s="98"/>
      <c r="M166" s="98"/>
      <c r="N166" s="199" t="e" cm="1">
        <f t="array" ref="N166">_xlfn.IFS(K166=12,228,K166=11,209,K166=10,196,K166=9,182)</f>
        <v>#N/A</v>
      </c>
      <c r="O166" s="200">
        <f t="shared" si="5"/>
        <v>0</v>
      </c>
    </row>
    <row r="167" spans="2:15" x14ac:dyDescent="0.25">
      <c r="B167" s="98"/>
      <c r="C167" s="98"/>
      <c r="D167" s="98"/>
      <c r="E167" s="98"/>
      <c r="F167" s="98"/>
      <c r="G167" s="201"/>
      <c r="H167" s="201"/>
      <c r="I167" s="200">
        <f t="shared" si="4"/>
        <v>0</v>
      </c>
      <c r="J167" s="98"/>
      <c r="K167" s="98"/>
      <c r="L167" s="98"/>
      <c r="M167" s="98"/>
      <c r="N167" s="199" t="e" cm="1">
        <f t="array" ref="N167">_xlfn.IFS(K167=12,228,K167=11,209,K167=10,196,K167=9,182)</f>
        <v>#N/A</v>
      </c>
      <c r="O167" s="200">
        <f t="shared" si="5"/>
        <v>0</v>
      </c>
    </row>
    <row r="168" spans="2:15" x14ac:dyDescent="0.25">
      <c r="B168" s="98"/>
      <c r="C168" s="98"/>
      <c r="D168" s="98"/>
      <c r="E168" s="98"/>
      <c r="F168" s="98"/>
      <c r="G168" s="201"/>
      <c r="H168" s="201"/>
      <c r="I168" s="200">
        <f t="shared" si="4"/>
        <v>0</v>
      </c>
      <c r="J168" s="98"/>
      <c r="K168" s="98"/>
      <c r="L168" s="98"/>
      <c r="M168" s="98"/>
      <c r="N168" s="199" t="e" cm="1">
        <f t="array" ref="N168">_xlfn.IFS(K168=12,228,K168=11,209,K168=10,196,K168=9,182)</f>
        <v>#N/A</v>
      </c>
      <c r="O168" s="200">
        <f t="shared" si="5"/>
        <v>0</v>
      </c>
    </row>
    <row r="169" spans="2:15" x14ac:dyDescent="0.25">
      <c r="B169" s="98"/>
      <c r="C169" s="98"/>
      <c r="D169" s="98"/>
      <c r="E169" s="98"/>
      <c r="F169" s="98"/>
      <c r="G169" s="201"/>
      <c r="H169" s="201"/>
      <c r="I169" s="200">
        <f t="shared" si="4"/>
        <v>0</v>
      </c>
      <c r="J169" s="98"/>
      <c r="K169" s="98"/>
      <c r="L169" s="98"/>
      <c r="M169" s="98"/>
      <c r="N169" s="199" t="e" cm="1">
        <f t="array" ref="N169">_xlfn.IFS(K169=12,228,K169=11,209,K169=10,196,K169=9,182)</f>
        <v>#N/A</v>
      </c>
      <c r="O169" s="200">
        <f t="shared" si="5"/>
        <v>0</v>
      </c>
    </row>
    <row r="170" spans="2:15" x14ac:dyDescent="0.25">
      <c r="B170" s="98"/>
      <c r="C170" s="98"/>
      <c r="D170" s="98"/>
      <c r="E170" s="98"/>
      <c r="F170" s="98"/>
      <c r="G170" s="201"/>
      <c r="H170" s="201"/>
      <c r="I170" s="200">
        <f t="shared" si="4"/>
        <v>0</v>
      </c>
      <c r="J170" s="98"/>
      <c r="K170" s="98"/>
      <c r="L170" s="98"/>
      <c r="M170" s="98"/>
      <c r="N170" s="199" t="e" cm="1">
        <f t="array" ref="N170">_xlfn.IFS(K170=12,228,K170=11,209,K170=10,196,K170=9,182)</f>
        <v>#N/A</v>
      </c>
      <c r="O170" s="200">
        <f t="shared" si="5"/>
        <v>0</v>
      </c>
    </row>
    <row r="171" spans="2:15" x14ac:dyDescent="0.25">
      <c r="B171" s="98"/>
      <c r="C171" s="98"/>
      <c r="D171" s="98"/>
      <c r="E171" s="98"/>
      <c r="F171" s="98"/>
      <c r="G171" s="201"/>
      <c r="H171" s="201"/>
      <c r="I171" s="200">
        <f t="shared" si="4"/>
        <v>0</v>
      </c>
      <c r="J171" s="98"/>
      <c r="K171" s="98"/>
      <c r="L171" s="98"/>
      <c r="M171" s="98"/>
      <c r="N171" s="199" t="e" cm="1">
        <f t="array" ref="N171">_xlfn.IFS(K171=12,228,K171=11,209,K171=10,196,K171=9,182)</f>
        <v>#N/A</v>
      </c>
      <c r="O171" s="200">
        <f t="shared" si="5"/>
        <v>0</v>
      </c>
    </row>
    <row r="172" spans="2:15" x14ac:dyDescent="0.25">
      <c r="B172" s="98"/>
      <c r="C172" s="98"/>
      <c r="D172" s="98"/>
      <c r="E172" s="98"/>
      <c r="F172" s="98"/>
      <c r="G172" s="201"/>
      <c r="H172" s="201"/>
      <c r="I172" s="200">
        <f t="shared" si="4"/>
        <v>0</v>
      </c>
      <c r="J172" s="98"/>
      <c r="K172" s="98"/>
      <c r="L172" s="98"/>
      <c r="M172" s="98"/>
      <c r="N172" s="199" t="e" cm="1">
        <f t="array" ref="N172">_xlfn.IFS(K172=12,228,K172=11,209,K172=10,196,K172=9,182)</f>
        <v>#N/A</v>
      </c>
      <c r="O172" s="200">
        <f t="shared" si="5"/>
        <v>0</v>
      </c>
    </row>
    <row r="173" spans="2:15" x14ac:dyDescent="0.25">
      <c r="B173" s="98"/>
      <c r="C173" s="98"/>
      <c r="D173" s="98"/>
      <c r="E173" s="98"/>
      <c r="F173" s="98"/>
      <c r="G173" s="201"/>
      <c r="H173" s="201"/>
      <c r="I173" s="200">
        <f t="shared" si="4"/>
        <v>0</v>
      </c>
      <c r="J173" s="98"/>
      <c r="K173" s="98"/>
      <c r="L173" s="98"/>
      <c r="M173" s="98"/>
      <c r="N173" s="199" t="e" cm="1">
        <f t="array" ref="N173">_xlfn.IFS(K173=12,228,K173=11,209,K173=10,196,K173=9,182)</f>
        <v>#N/A</v>
      </c>
      <c r="O173" s="200">
        <f t="shared" si="5"/>
        <v>0</v>
      </c>
    </row>
    <row r="174" spans="2:15" x14ac:dyDescent="0.25">
      <c r="B174" s="98"/>
      <c r="C174" s="98"/>
      <c r="D174" s="98"/>
      <c r="E174" s="98"/>
      <c r="F174" s="98"/>
      <c r="G174" s="201"/>
      <c r="H174" s="201"/>
      <c r="I174" s="200">
        <f t="shared" si="4"/>
        <v>0</v>
      </c>
      <c r="J174" s="98"/>
      <c r="K174" s="98"/>
      <c r="L174" s="98"/>
      <c r="M174" s="98"/>
      <c r="N174" s="199" t="e" cm="1">
        <f t="array" ref="N174">_xlfn.IFS(K174=12,228,K174=11,209,K174=10,196,K174=9,182)</f>
        <v>#N/A</v>
      </c>
      <c r="O174" s="200">
        <f t="shared" si="5"/>
        <v>0</v>
      </c>
    </row>
    <row r="175" spans="2:15" x14ac:dyDescent="0.25">
      <c r="B175" s="98"/>
      <c r="C175" s="98"/>
      <c r="D175" s="98"/>
      <c r="E175" s="98"/>
      <c r="F175" s="98"/>
      <c r="G175" s="201"/>
      <c r="H175" s="201"/>
      <c r="I175" s="200">
        <f t="shared" si="4"/>
        <v>0</v>
      </c>
      <c r="J175" s="98"/>
      <c r="K175" s="98"/>
      <c r="L175" s="98"/>
      <c r="M175" s="98"/>
      <c r="N175" s="199" t="e" cm="1">
        <f t="array" ref="N175">_xlfn.IFS(K175=12,228,K175=11,209,K175=10,196,K175=9,182)</f>
        <v>#N/A</v>
      </c>
      <c r="O175" s="200">
        <f t="shared" si="5"/>
        <v>0</v>
      </c>
    </row>
    <row r="176" spans="2:15" x14ac:dyDescent="0.25">
      <c r="B176" s="98"/>
      <c r="C176" s="98"/>
      <c r="D176" s="98"/>
      <c r="E176" s="98"/>
      <c r="F176" s="98"/>
      <c r="G176" s="201"/>
      <c r="H176" s="201"/>
      <c r="I176" s="200">
        <f t="shared" si="4"/>
        <v>0</v>
      </c>
      <c r="J176" s="98"/>
      <c r="K176" s="98"/>
      <c r="L176" s="98"/>
      <c r="M176" s="98"/>
      <c r="N176" s="199" t="e" cm="1">
        <f t="array" ref="N176">_xlfn.IFS(K176=12,228,K176=11,209,K176=10,196,K176=9,182)</f>
        <v>#N/A</v>
      </c>
      <c r="O176" s="200">
        <f t="shared" si="5"/>
        <v>0</v>
      </c>
    </row>
    <row r="177" spans="2:15" x14ac:dyDescent="0.25">
      <c r="B177" s="98"/>
      <c r="C177" s="98"/>
      <c r="D177" s="98"/>
      <c r="E177" s="98"/>
      <c r="F177" s="98"/>
      <c r="G177" s="201"/>
      <c r="H177" s="201"/>
      <c r="I177" s="200">
        <f t="shared" si="4"/>
        <v>0</v>
      </c>
      <c r="J177" s="98"/>
      <c r="K177" s="98"/>
      <c r="L177" s="98"/>
      <c r="M177" s="98"/>
      <c r="N177" s="199" t="e" cm="1">
        <f t="array" ref="N177">_xlfn.IFS(K177=12,228,K177=11,209,K177=10,196,K177=9,182)</f>
        <v>#N/A</v>
      </c>
      <c r="O177" s="200">
        <f t="shared" si="5"/>
        <v>0</v>
      </c>
    </row>
    <row r="178" spans="2:15" x14ac:dyDescent="0.25">
      <c r="B178" s="98"/>
      <c r="C178" s="98"/>
      <c r="D178" s="98"/>
      <c r="E178" s="98"/>
      <c r="F178" s="98"/>
      <c r="G178" s="201"/>
      <c r="H178" s="201"/>
      <c r="I178" s="200">
        <f t="shared" si="4"/>
        <v>0</v>
      </c>
      <c r="J178" s="98"/>
      <c r="K178" s="98"/>
      <c r="L178" s="98"/>
      <c r="M178" s="98"/>
      <c r="N178" s="199" t="e" cm="1">
        <f t="array" ref="N178">_xlfn.IFS(K178=12,228,K178=11,209,K178=10,196,K178=9,182)</f>
        <v>#N/A</v>
      </c>
      <c r="O178" s="200">
        <f t="shared" si="5"/>
        <v>0</v>
      </c>
    </row>
    <row r="179" spans="2:15" x14ac:dyDescent="0.25">
      <c r="B179" s="98"/>
      <c r="C179" s="98"/>
      <c r="D179" s="98"/>
      <c r="E179" s="98"/>
      <c r="F179" s="98"/>
      <c r="G179" s="201"/>
      <c r="H179" s="201"/>
      <c r="I179" s="200">
        <f t="shared" si="4"/>
        <v>0</v>
      </c>
      <c r="J179" s="98"/>
      <c r="K179" s="98"/>
      <c r="L179" s="98"/>
      <c r="M179" s="98"/>
      <c r="N179" s="199" t="e" cm="1">
        <f t="array" ref="N179">_xlfn.IFS(K179=12,228,K179=11,209,K179=10,196,K179=9,182)</f>
        <v>#N/A</v>
      </c>
      <c r="O179" s="200">
        <f t="shared" si="5"/>
        <v>0</v>
      </c>
    </row>
    <row r="180" spans="2:15" x14ac:dyDescent="0.25">
      <c r="B180" s="98"/>
      <c r="C180" s="98"/>
      <c r="D180" s="98"/>
      <c r="E180" s="98"/>
      <c r="F180" s="98"/>
      <c r="G180" s="201"/>
      <c r="H180" s="201"/>
      <c r="I180" s="200">
        <f t="shared" si="4"/>
        <v>0</v>
      </c>
      <c r="J180" s="98"/>
      <c r="K180" s="98"/>
      <c r="L180" s="98"/>
      <c r="M180" s="98"/>
      <c r="N180" s="199" t="e" cm="1">
        <f t="array" ref="N180">_xlfn.IFS(K180=12,228,K180=11,209,K180=10,196,K180=9,182)</f>
        <v>#N/A</v>
      </c>
      <c r="O180" s="200">
        <f t="shared" si="5"/>
        <v>0</v>
      </c>
    </row>
    <row r="181" spans="2:15" x14ac:dyDescent="0.25">
      <c r="B181" s="98"/>
      <c r="C181" s="98"/>
      <c r="D181" s="98"/>
      <c r="E181" s="98"/>
      <c r="F181" s="98"/>
      <c r="G181" s="201"/>
      <c r="H181" s="201"/>
      <c r="I181" s="200">
        <f t="shared" si="4"/>
        <v>0</v>
      </c>
      <c r="J181" s="98"/>
      <c r="K181" s="98"/>
      <c r="L181" s="98"/>
      <c r="M181" s="98"/>
      <c r="N181" s="199" t="e" cm="1">
        <f t="array" ref="N181">_xlfn.IFS(K181=12,228,K181=11,209,K181=10,196,K181=9,182)</f>
        <v>#N/A</v>
      </c>
      <c r="O181" s="200">
        <f t="shared" si="5"/>
        <v>0</v>
      </c>
    </row>
    <row r="182" spans="2:15" x14ac:dyDescent="0.25">
      <c r="B182" s="98"/>
      <c r="C182" s="98"/>
      <c r="D182" s="98"/>
      <c r="E182" s="98"/>
      <c r="F182" s="98"/>
      <c r="G182" s="201"/>
      <c r="H182" s="201"/>
      <c r="I182" s="200">
        <f t="shared" si="4"/>
        <v>0</v>
      </c>
      <c r="J182" s="98"/>
      <c r="K182" s="98"/>
      <c r="L182" s="98"/>
      <c r="M182" s="98"/>
      <c r="N182" s="199" t="e" cm="1">
        <f t="array" ref="N182">_xlfn.IFS(K182=12,228,K182=11,209,K182=10,196,K182=9,182)</f>
        <v>#N/A</v>
      </c>
      <c r="O182" s="200">
        <f t="shared" si="5"/>
        <v>0</v>
      </c>
    </row>
    <row r="183" spans="2:15" x14ac:dyDescent="0.25">
      <c r="B183" s="98"/>
      <c r="C183" s="98"/>
      <c r="D183" s="98"/>
      <c r="E183" s="98"/>
      <c r="F183" s="98"/>
      <c r="G183" s="201"/>
      <c r="H183" s="201"/>
      <c r="I183" s="200">
        <f t="shared" si="4"/>
        <v>0</v>
      </c>
      <c r="J183" s="98"/>
      <c r="K183" s="98"/>
      <c r="L183" s="98"/>
      <c r="M183" s="98"/>
      <c r="N183" s="199" t="e" cm="1">
        <f t="array" ref="N183">_xlfn.IFS(K183=12,228,K183=11,209,K183=10,196,K183=9,182)</f>
        <v>#N/A</v>
      </c>
      <c r="O183" s="200">
        <f t="shared" si="5"/>
        <v>0</v>
      </c>
    </row>
    <row r="184" spans="2:15" x14ac:dyDescent="0.25">
      <c r="B184" s="98"/>
      <c r="C184" s="98"/>
      <c r="D184" s="98"/>
      <c r="E184" s="98"/>
      <c r="F184" s="98"/>
      <c r="G184" s="201"/>
      <c r="H184" s="201"/>
      <c r="I184" s="200">
        <f t="shared" si="4"/>
        <v>0</v>
      </c>
      <c r="J184" s="98"/>
      <c r="K184" s="98"/>
      <c r="L184" s="98"/>
      <c r="M184" s="98"/>
      <c r="N184" s="199" t="e" cm="1">
        <f t="array" ref="N184">_xlfn.IFS(K184=12,228,K184=11,209,K184=10,196,K184=9,182)</f>
        <v>#N/A</v>
      </c>
      <c r="O184" s="200">
        <f t="shared" si="5"/>
        <v>0</v>
      </c>
    </row>
    <row r="185" spans="2:15" x14ac:dyDescent="0.25">
      <c r="B185" s="98"/>
      <c r="C185" s="98"/>
      <c r="D185" s="98"/>
      <c r="E185" s="98"/>
      <c r="F185" s="98"/>
      <c r="G185" s="201"/>
      <c r="H185" s="201"/>
      <c r="I185" s="200">
        <f t="shared" si="4"/>
        <v>0</v>
      </c>
      <c r="J185" s="98"/>
      <c r="K185" s="98"/>
      <c r="L185" s="98"/>
      <c r="M185" s="98"/>
      <c r="N185" s="199" t="e" cm="1">
        <f t="array" ref="N185">_xlfn.IFS(K185=12,228,K185=11,209,K185=10,196,K185=9,182)</f>
        <v>#N/A</v>
      </c>
      <c r="O185" s="200">
        <f t="shared" si="5"/>
        <v>0</v>
      </c>
    </row>
    <row r="186" spans="2:15" x14ac:dyDescent="0.25">
      <c r="B186" s="98"/>
      <c r="C186" s="98"/>
      <c r="D186" s="98"/>
      <c r="E186" s="98"/>
      <c r="F186" s="98"/>
      <c r="G186" s="201"/>
      <c r="H186" s="201"/>
      <c r="I186" s="200">
        <f t="shared" si="4"/>
        <v>0</v>
      </c>
      <c r="J186" s="98"/>
      <c r="K186" s="98"/>
      <c r="L186" s="98"/>
      <c r="M186" s="98"/>
      <c r="N186" s="199" t="e" cm="1">
        <f t="array" ref="N186">_xlfn.IFS(K186=12,228,K186=11,209,K186=10,196,K186=9,182)</f>
        <v>#N/A</v>
      </c>
      <c r="O186" s="200">
        <f t="shared" si="5"/>
        <v>0</v>
      </c>
    </row>
    <row r="187" spans="2:15" x14ac:dyDescent="0.25">
      <c r="B187" s="98"/>
      <c r="C187" s="98"/>
      <c r="D187" s="98"/>
      <c r="E187" s="98"/>
      <c r="F187" s="98"/>
      <c r="G187" s="201"/>
      <c r="H187" s="201"/>
      <c r="I187" s="200">
        <f t="shared" si="4"/>
        <v>0</v>
      </c>
      <c r="J187" s="98"/>
      <c r="K187" s="98"/>
      <c r="L187" s="98"/>
      <c r="M187" s="98"/>
      <c r="N187" s="199" t="e" cm="1">
        <f t="array" ref="N187">_xlfn.IFS(K187=12,228,K187=11,209,K187=10,196,K187=9,182)</f>
        <v>#N/A</v>
      </c>
      <c r="O187" s="200">
        <f t="shared" si="5"/>
        <v>0</v>
      </c>
    </row>
    <row r="188" spans="2:15" x14ac:dyDescent="0.25">
      <c r="B188" s="98"/>
      <c r="C188" s="98"/>
      <c r="D188" s="98"/>
      <c r="E188" s="98"/>
      <c r="F188" s="98"/>
      <c r="G188" s="201"/>
      <c r="H188" s="201"/>
      <c r="I188" s="200">
        <f t="shared" si="4"/>
        <v>0</v>
      </c>
      <c r="J188" s="98"/>
      <c r="K188" s="98"/>
      <c r="L188" s="98"/>
      <c r="M188" s="98"/>
      <c r="N188" s="199" t="e" cm="1">
        <f t="array" ref="N188">_xlfn.IFS(K188=12,228,K188=11,209,K188=10,196,K188=9,182)</f>
        <v>#N/A</v>
      </c>
      <c r="O188" s="200">
        <f t="shared" si="5"/>
        <v>0</v>
      </c>
    </row>
    <row r="189" spans="2:15" x14ac:dyDescent="0.25">
      <c r="B189" s="98"/>
      <c r="C189" s="98"/>
      <c r="D189" s="98"/>
      <c r="E189" s="98"/>
      <c r="F189" s="98"/>
      <c r="G189" s="201"/>
      <c r="H189" s="201"/>
      <c r="I189" s="200">
        <f t="shared" si="4"/>
        <v>0</v>
      </c>
      <c r="J189" s="98"/>
      <c r="K189" s="98"/>
      <c r="L189" s="98"/>
      <c r="M189" s="98"/>
      <c r="N189" s="199" t="e" cm="1">
        <f t="array" ref="N189">_xlfn.IFS(K189=12,228,K189=11,209,K189=10,196,K189=9,182)</f>
        <v>#N/A</v>
      </c>
      <c r="O189" s="200">
        <f t="shared" si="5"/>
        <v>0</v>
      </c>
    </row>
    <row r="190" spans="2:15" x14ac:dyDescent="0.25">
      <c r="B190" s="98"/>
      <c r="C190" s="98"/>
      <c r="D190" s="98"/>
      <c r="E190" s="98"/>
      <c r="F190" s="98"/>
      <c r="G190" s="201"/>
      <c r="H190" s="201"/>
      <c r="I190" s="200">
        <f t="shared" si="4"/>
        <v>0</v>
      </c>
      <c r="J190" s="98"/>
      <c r="K190" s="98"/>
      <c r="L190" s="98"/>
      <c r="M190" s="98"/>
      <c r="N190" s="199" t="e" cm="1">
        <f t="array" ref="N190">_xlfn.IFS(K190=12,228,K190=11,209,K190=10,196,K190=9,182)</f>
        <v>#N/A</v>
      </c>
      <c r="O190" s="200">
        <f t="shared" si="5"/>
        <v>0</v>
      </c>
    </row>
    <row r="191" spans="2:15" x14ac:dyDescent="0.25">
      <c r="B191" s="98"/>
      <c r="C191" s="98"/>
      <c r="D191" s="98"/>
      <c r="E191" s="98"/>
      <c r="F191" s="98"/>
      <c r="G191" s="201"/>
      <c r="H191" s="201"/>
      <c r="I191" s="200">
        <f t="shared" si="4"/>
        <v>0</v>
      </c>
      <c r="J191" s="98"/>
      <c r="K191" s="98"/>
      <c r="L191" s="98"/>
      <c r="M191" s="98"/>
      <c r="N191" s="199" t="e" cm="1">
        <f t="array" ref="N191">_xlfn.IFS(K191=12,228,K191=11,209,K191=10,196,K191=9,182)</f>
        <v>#N/A</v>
      </c>
      <c r="O191" s="200">
        <f t="shared" si="5"/>
        <v>0</v>
      </c>
    </row>
    <row r="192" spans="2:15" x14ac:dyDescent="0.25">
      <c r="B192" s="98"/>
      <c r="C192" s="98"/>
      <c r="D192" s="98"/>
      <c r="E192" s="98"/>
      <c r="F192" s="98"/>
      <c r="G192" s="201"/>
      <c r="H192" s="201"/>
      <c r="I192" s="200">
        <f t="shared" si="4"/>
        <v>0</v>
      </c>
      <c r="J192" s="98"/>
      <c r="K192" s="98"/>
      <c r="L192" s="98"/>
      <c r="M192" s="98"/>
      <c r="N192" s="199" t="e" cm="1">
        <f t="array" ref="N192">_xlfn.IFS(K192=12,228,K192=11,209,K192=10,196,K192=9,182)</f>
        <v>#N/A</v>
      </c>
      <c r="O192" s="200">
        <f t="shared" si="5"/>
        <v>0</v>
      </c>
    </row>
    <row r="193" spans="2:15" x14ac:dyDescent="0.25">
      <c r="B193" s="98"/>
      <c r="C193" s="98"/>
      <c r="D193" s="98"/>
      <c r="E193" s="98"/>
      <c r="F193" s="98"/>
      <c r="G193" s="201"/>
      <c r="H193" s="201"/>
      <c r="I193" s="200">
        <f t="shared" si="4"/>
        <v>0</v>
      </c>
      <c r="J193" s="98"/>
      <c r="K193" s="98"/>
      <c r="L193" s="98"/>
      <c r="M193" s="98"/>
      <c r="N193" s="199" t="e" cm="1">
        <f t="array" ref="N193">_xlfn.IFS(K193=12,228,K193=11,209,K193=10,196,K193=9,182)</f>
        <v>#N/A</v>
      </c>
      <c r="O193" s="200">
        <f t="shared" si="5"/>
        <v>0</v>
      </c>
    </row>
    <row r="194" spans="2:15" x14ac:dyDescent="0.25">
      <c r="B194" s="98"/>
      <c r="C194" s="98"/>
      <c r="D194" s="98"/>
      <c r="E194" s="98"/>
      <c r="F194" s="98"/>
      <c r="G194" s="201"/>
      <c r="H194" s="201"/>
      <c r="I194" s="200">
        <f t="shared" si="4"/>
        <v>0</v>
      </c>
      <c r="J194" s="98"/>
      <c r="K194" s="98"/>
      <c r="L194" s="98"/>
      <c r="M194" s="98"/>
      <c r="N194" s="199" t="e" cm="1">
        <f t="array" ref="N194">_xlfn.IFS(K194=12,228,K194=11,209,K194=10,196,K194=9,182)</f>
        <v>#N/A</v>
      </c>
      <c r="O194" s="200">
        <f t="shared" si="5"/>
        <v>0</v>
      </c>
    </row>
    <row r="195" spans="2:15" x14ac:dyDescent="0.25">
      <c r="B195" s="98"/>
      <c r="C195" s="98"/>
      <c r="D195" s="98"/>
      <c r="E195" s="98"/>
      <c r="F195" s="98"/>
      <c r="G195" s="201"/>
      <c r="H195" s="201"/>
      <c r="I195" s="200">
        <f t="shared" si="4"/>
        <v>0</v>
      </c>
      <c r="J195" s="98"/>
      <c r="K195" s="98"/>
      <c r="L195" s="98"/>
      <c r="M195" s="98"/>
      <c r="N195" s="199" t="e" cm="1">
        <f t="array" ref="N195">_xlfn.IFS(K195=12,228,K195=11,209,K195=10,196,K195=9,182)</f>
        <v>#N/A</v>
      </c>
      <c r="O195" s="200">
        <f t="shared" si="5"/>
        <v>0</v>
      </c>
    </row>
    <row r="196" spans="2:15" x14ac:dyDescent="0.25">
      <c r="B196" s="98"/>
      <c r="C196" s="98"/>
      <c r="D196" s="98"/>
      <c r="E196" s="98"/>
      <c r="F196" s="98"/>
      <c r="G196" s="201"/>
      <c r="H196" s="201"/>
      <c r="I196" s="200">
        <f t="shared" si="4"/>
        <v>0</v>
      </c>
      <c r="J196" s="98"/>
      <c r="K196" s="98"/>
      <c r="L196" s="98"/>
      <c r="M196" s="98"/>
      <c r="N196" s="199" t="e" cm="1">
        <f t="array" ref="N196">_xlfn.IFS(K196=12,228,K196=11,209,K196=10,196,K196=9,182)</f>
        <v>#N/A</v>
      </c>
      <c r="O196" s="200">
        <f t="shared" si="5"/>
        <v>0</v>
      </c>
    </row>
    <row r="197" spans="2:15" x14ac:dyDescent="0.25">
      <c r="B197" s="98"/>
      <c r="C197" s="98"/>
      <c r="D197" s="98"/>
      <c r="E197" s="98"/>
      <c r="F197" s="98"/>
      <c r="G197" s="201"/>
      <c r="H197" s="201"/>
      <c r="I197" s="200">
        <f t="shared" si="4"/>
        <v>0</v>
      </c>
      <c r="J197" s="98"/>
      <c r="K197" s="98"/>
      <c r="L197" s="98"/>
      <c r="M197" s="98"/>
      <c r="N197" s="199" t="e" cm="1">
        <f t="array" ref="N197">_xlfn.IFS(K197=12,228,K197=11,209,K197=10,196,K197=9,182)</f>
        <v>#N/A</v>
      </c>
      <c r="O197" s="200">
        <f t="shared" si="5"/>
        <v>0</v>
      </c>
    </row>
    <row r="198" spans="2:15" x14ac:dyDescent="0.25">
      <c r="B198" s="98"/>
      <c r="C198" s="98"/>
      <c r="D198" s="98"/>
      <c r="E198" s="98"/>
      <c r="F198" s="98"/>
      <c r="G198" s="201"/>
      <c r="H198" s="201"/>
      <c r="I198" s="200">
        <f t="shared" ref="I198:I261" si="6">IF(H198&lt;100,H198*J198,H198/N198)</f>
        <v>0</v>
      </c>
      <c r="J198" s="98"/>
      <c r="K198" s="98"/>
      <c r="L198" s="98"/>
      <c r="M198" s="98"/>
      <c r="N198" s="199" t="e" cm="1">
        <f t="array" ref="N198">_xlfn.IFS(K198=12,228,K198=11,209,K198=10,196,K198=9,182)</f>
        <v>#N/A</v>
      </c>
      <c r="O198" s="200">
        <f t="shared" ref="O198:O261" si="7">IFERROR(N198*I198,0)</f>
        <v>0</v>
      </c>
    </row>
    <row r="199" spans="2:15" x14ac:dyDescent="0.25">
      <c r="B199" s="98"/>
      <c r="C199" s="98"/>
      <c r="D199" s="98"/>
      <c r="E199" s="98"/>
      <c r="F199" s="98"/>
      <c r="G199" s="201"/>
      <c r="H199" s="201"/>
      <c r="I199" s="200">
        <f t="shared" si="6"/>
        <v>0</v>
      </c>
      <c r="J199" s="98"/>
      <c r="K199" s="98"/>
      <c r="L199" s="98"/>
      <c r="M199" s="98"/>
      <c r="N199" s="199" t="e" cm="1">
        <f t="array" ref="N199">_xlfn.IFS(K199=12,228,K199=11,209,K199=10,196,K199=9,182)</f>
        <v>#N/A</v>
      </c>
      <c r="O199" s="200">
        <f t="shared" si="7"/>
        <v>0</v>
      </c>
    </row>
    <row r="200" spans="2:15" x14ac:dyDescent="0.25">
      <c r="B200" s="98"/>
      <c r="C200" s="98"/>
      <c r="D200" s="98"/>
      <c r="E200" s="98"/>
      <c r="F200" s="98"/>
      <c r="G200" s="201"/>
      <c r="H200" s="201"/>
      <c r="I200" s="200">
        <f t="shared" si="6"/>
        <v>0</v>
      </c>
      <c r="J200" s="98"/>
      <c r="K200" s="98"/>
      <c r="L200" s="98"/>
      <c r="M200" s="98"/>
      <c r="N200" s="199" t="e" cm="1">
        <f t="array" ref="N200">_xlfn.IFS(K200=12,228,K200=11,209,K200=10,196,K200=9,182)</f>
        <v>#N/A</v>
      </c>
      <c r="O200" s="200">
        <f t="shared" si="7"/>
        <v>0</v>
      </c>
    </row>
    <row r="201" spans="2:15" x14ac:dyDescent="0.25">
      <c r="B201" s="98"/>
      <c r="C201" s="98"/>
      <c r="D201" s="98"/>
      <c r="E201" s="98"/>
      <c r="F201" s="98"/>
      <c r="G201" s="201"/>
      <c r="H201" s="201"/>
      <c r="I201" s="200">
        <f t="shared" si="6"/>
        <v>0</v>
      </c>
      <c r="J201" s="98"/>
      <c r="K201" s="98"/>
      <c r="L201" s="98"/>
      <c r="M201" s="98"/>
      <c r="N201" s="199" t="e" cm="1">
        <f t="array" ref="N201">_xlfn.IFS(K201=12,228,K201=11,209,K201=10,196,K201=9,182)</f>
        <v>#N/A</v>
      </c>
      <c r="O201" s="200">
        <f t="shared" si="7"/>
        <v>0</v>
      </c>
    </row>
    <row r="202" spans="2:15" x14ac:dyDescent="0.25">
      <c r="B202" s="98"/>
      <c r="C202" s="98"/>
      <c r="D202" s="98"/>
      <c r="E202" s="98"/>
      <c r="F202" s="98"/>
      <c r="G202" s="201"/>
      <c r="H202" s="201"/>
      <c r="I202" s="200">
        <f t="shared" si="6"/>
        <v>0</v>
      </c>
      <c r="J202" s="98"/>
      <c r="K202" s="98"/>
      <c r="L202" s="98"/>
      <c r="M202" s="98"/>
      <c r="N202" s="199" t="e" cm="1">
        <f t="array" ref="N202">_xlfn.IFS(K202=12,228,K202=11,209,K202=10,196,K202=9,182)</f>
        <v>#N/A</v>
      </c>
      <c r="O202" s="200">
        <f t="shared" si="7"/>
        <v>0</v>
      </c>
    </row>
    <row r="203" spans="2:15" x14ac:dyDescent="0.25">
      <c r="B203" s="98"/>
      <c r="C203" s="98"/>
      <c r="D203" s="98"/>
      <c r="E203" s="98"/>
      <c r="F203" s="98"/>
      <c r="G203" s="201"/>
      <c r="H203" s="201"/>
      <c r="I203" s="200">
        <f t="shared" si="6"/>
        <v>0</v>
      </c>
      <c r="J203" s="98"/>
      <c r="K203" s="98"/>
      <c r="L203" s="98"/>
      <c r="M203" s="98"/>
      <c r="N203" s="199" t="e" cm="1">
        <f t="array" ref="N203">_xlfn.IFS(K203=12,228,K203=11,209,K203=10,196,K203=9,182)</f>
        <v>#N/A</v>
      </c>
      <c r="O203" s="200">
        <f t="shared" si="7"/>
        <v>0</v>
      </c>
    </row>
    <row r="204" spans="2:15" x14ac:dyDescent="0.25">
      <c r="B204" s="98"/>
      <c r="C204" s="98"/>
      <c r="D204" s="98"/>
      <c r="E204" s="98"/>
      <c r="F204" s="98"/>
      <c r="G204" s="201"/>
      <c r="H204" s="201"/>
      <c r="I204" s="200">
        <f t="shared" si="6"/>
        <v>0</v>
      </c>
      <c r="J204" s="98"/>
      <c r="K204" s="98"/>
      <c r="L204" s="98"/>
      <c r="M204" s="98"/>
      <c r="N204" s="199" t="e" cm="1">
        <f t="array" ref="N204">_xlfn.IFS(K204=12,228,K204=11,209,K204=10,196,K204=9,182)</f>
        <v>#N/A</v>
      </c>
      <c r="O204" s="200">
        <f t="shared" si="7"/>
        <v>0</v>
      </c>
    </row>
    <row r="205" spans="2:15" x14ac:dyDescent="0.25">
      <c r="B205" s="98"/>
      <c r="C205" s="98"/>
      <c r="D205" s="98"/>
      <c r="E205" s="98"/>
      <c r="F205" s="98"/>
      <c r="G205" s="201"/>
      <c r="H205" s="201"/>
      <c r="I205" s="200">
        <f t="shared" si="6"/>
        <v>0</v>
      </c>
      <c r="J205" s="98"/>
      <c r="K205" s="98"/>
      <c r="L205" s="98"/>
      <c r="M205" s="98"/>
      <c r="N205" s="199" t="e" cm="1">
        <f t="array" ref="N205">_xlfn.IFS(K205=12,228,K205=11,209,K205=10,196,K205=9,182)</f>
        <v>#N/A</v>
      </c>
      <c r="O205" s="200">
        <f t="shared" si="7"/>
        <v>0</v>
      </c>
    </row>
    <row r="206" spans="2:15" x14ac:dyDescent="0.25">
      <c r="B206" s="98"/>
      <c r="C206" s="98"/>
      <c r="D206" s="98"/>
      <c r="E206" s="98"/>
      <c r="F206" s="98"/>
      <c r="G206" s="201"/>
      <c r="H206" s="201"/>
      <c r="I206" s="200">
        <f t="shared" si="6"/>
        <v>0</v>
      </c>
      <c r="J206" s="98"/>
      <c r="K206" s="98"/>
      <c r="L206" s="98"/>
      <c r="M206" s="98"/>
      <c r="N206" s="199" t="e" cm="1">
        <f t="array" ref="N206">_xlfn.IFS(K206=12,228,K206=11,209,K206=10,196,K206=9,182)</f>
        <v>#N/A</v>
      </c>
      <c r="O206" s="200">
        <f t="shared" si="7"/>
        <v>0</v>
      </c>
    </row>
    <row r="207" spans="2:15" x14ac:dyDescent="0.25">
      <c r="B207" s="98"/>
      <c r="C207" s="98"/>
      <c r="D207" s="98"/>
      <c r="E207" s="98"/>
      <c r="F207" s="98"/>
      <c r="G207" s="201"/>
      <c r="H207" s="201"/>
      <c r="I207" s="200">
        <f t="shared" si="6"/>
        <v>0</v>
      </c>
      <c r="J207" s="98"/>
      <c r="K207" s="98"/>
      <c r="L207" s="98"/>
      <c r="M207" s="98"/>
      <c r="N207" s="199" t="e" cm="1">
        <f t="array" ref="N207">_xlfn.IFS(K207=12,228,K207=11,209,K207=10,196,K207=9,182)</f>
        <v>#N/A</v>
      </c>
      <c r="O207" s="200">
        <f t="shared" si="7"/>
        <v>0</v>
      </c>
    </row>
    <row r="208" spans="2:15" x14ac:dyDescent="0.25">
      <c r="B208" s="98"/>
      <c r="C208" s="98"/>
      <c r="D208" s="98"/>
      <c r="E208" s="98"/>
      <c r="F208" s="98"/>
      <c r="G208" s="201"/>
      <c r="H208" s="201"/>
      <c r="I208" s="200">
        <f t="shared" si="6"/>
        <v>0</v>
      </c>
      <c r="J208" s="98"/>
      <c r="K208" s="98"/>
      <c r="L208" s="98"/>
      <c r="M208" s="98"/>
      <c r="N208" s="199" t="e" cm="1">
        <f t="array" ref="N208">_xlfn.IFS(K208=12,228,K208=11,209,K208=10,196,K208=9,182)</f>
        <v>#N/A</v>
      </c>
      <c r="O208" s="200">
        <f t="shared" si="7"/>
        <v>0</v>
      </c>
    </row>
    <row r="209" spans="2:15" x14ac:dyDescent="0.25">
      <c r="B209" s="98"/>
      <c r="C209" s="98"/>
      <c r="D209" s="98"/>
      <c r="E209" s="98"/>
      <c r="F209" s="98"/>
      <c r="G209" s="201"/>
      <c r="H209" s="201"/>
      <c r="I209" s="200">
        <f t="shared" si="6"/>
        <v>0</v>
      </c>
      <c r="J209" s="98"/>
      <c r="K209" s="98"/>
      <c r="L209" s="98"/>
      <c r="M209" s="98"/>
      <c r="N209" s="199" t="e" cm="1">
        <f t="array" ref="N209">_xlfn.IFS(K209=12,228,K209=11,209,K209=10,196,K209=9,182)</f>
        <v>#N/A</v>
      </c>
      <c r="O209" s="200">
        <f t="shared" si="7"/>
        <v>0</v>
      </c>
    </row>
    <row r="210" spans="2:15" x14ac:dyDescent="0.25">
      <c r="B210" s="98"/>
      <c r="C210" s="98"/>
      <c r="D210" s="98"/>
      <c r="E210" s="98"/>
      <c r="F210" s="98"/>
      <c r="G210" s="201"/>
      <c r="H210" s="201"/>
      <c r="I210" s="200">
        <f t="shared" si="6"/>
        <v>0</v>
      </c>
      <c r="J210" s="98"/>
      <c r="K210" s="98"/>
      <c r="L210" s="98"/>
      <c r="M210" s="98"/>
      <c r="N210" s="199" t="e" cm="1">
        <f t="array" ref="N210">_xlfn.IFS(K210=12,228,K210=11,209,K210=10,196,K210=9,182)</f>
        <v>#N/A</v>
      </c>
      <c r="O210" s="200">
        <f t="shared" si="7"/>
        <v>0</v>
      </c>
    </row>
    <row r="211" spans="2:15" x14ac:dyDescent="0.25">
      <c r="B211" s="98"/>
      <c r="C211" s="98"/>
      <c r="D211" s="98"/>
      <c r="E211" s="98"/>
      <c r="F211" s="98"/>
      <c r="G211" s="201"/>
      <c r="H211" s="201"/>
      <c r="I211" s="200">
        <f t="shared" si="6"/>
        <v>0</v>
      </c>
      <c r="J211" s="98"/>
      <c r="K211" s="98"/>
      <c r="L211" s="98"/>
      <c r="M211" s="98"/>
      <c r="N211" s="199" t="e" cm="1">
        <f t="array" ref="N211">_xlfn.IFS(K211=12,228,K211=11,209,K211=10,196,K211=9,182)</f>
        <v>#N/A</v>
      </c>
      <c r="O211" s="200">
        <f t="shared" si="7"/>
        <v>0</v>
      </c>
    </row>
    <row r="212" spans="2:15" x14ac:dyDescent="0.25">
      <c r="B212" s="98"/>
      <c r="C212" s="98"/>
      <c r="D212" s="98"/>
      <c r="E212" s="98"/>
      <c r="F212" s="98"/>
      <c r="G212" s="201"/>
      <c r="H212" s="201"/>
      <c r="I212" s="200">
        <f t="shared" si="6"/>
        <v>0</v>
      </c>
      <c r="J212" s="98"/>
      <c r="K212" s="98"/>
      <c r="L212" s="98"/>
      <c r="M212" s="98"/>
      <c r="N212" s="199" t="e" cm="1">
        <f t="array" ref="N212">_xlfn.IFS(K212=12,228,K212=11,209,K212=10,196,K212=9,182)</f>
        <v>#N/A</v>
      </c>
      <c r="O212" s="200">
        <f t="shared" si="7"/>
        <v>0</v>
      </c>
    </row>
    <row r="213" spans="2:15" x14ac:dyDescent="0.25">
      <c r="B213" s="98"/>
      <c r="C213" s="98"/>
      <c r="D213" s="98"/>
      <c r="E213" s="98"/>
      <c r="F213" s="98"/>
      <c r="G213" s="201"/>
      <c r="H213" s="201"/>
      <c r="I213" s="200">
        <f t="shared" si="6"/>
        <v>0</v>
      </c>
      <c r="J213" s="98"/>
      <c r="K213" s="98"/>
      <c r="L213" s="98"/>
      <c r="M213" s="98"/>
      <c r="N213" s="199" t="e" cm="1">
        <f t="array" ref="N213">_xlfn.IFS(K213=12,228,K213=11,209,K213=10,196,K213=9,182)</f>
        <v>#N/A</v>
      </c>
      <c r="O213" s="200">
        <f t="shared" si="7"/>
        <v>0</v>
      </c>
    </row>
    <row r="214" spans="2:15" x14ac:dyDescent="0.25">
      <c r="B214" s="98"/>
      <c r="C214" s="98"/>
      <c r="D214" s="98"/>
      <c r="E214" s="98"/>
      <c r="F214" s="98"/>
      <c r="G214" s="201"/>
      <c r="H214" s="201"/>
      <c r="I214" s="200">
        <f t="shared" si="6"/>
        <v>0</v>
      </c>
      <c r="J214" s="98"/>
      <c r="K214" s="98"/>
      <c r="L214" s="98"/>
      <c r="M214" s="98"/>
      <c r="N214" s="199" t="e" cm="1">
        <f t="array" ref="N214">_xlfn.IFS(K214=12,228,K214=11,209,K214=10,196,K214=9,182)</f>
        <v>#N/A</v>
      </c>
      <c r="O214" s="200">
        <f t="shared" si="7"/>
        <v>0</v>
      </c>
    </row>
    <row r="215" spans="2:15" x14ac:dyDescent="0.25">
      <c r="B215" s="98"/>
      <c r="C215" s="98"/>
      <c r="D215" s="98"/>
      <c r="E215" s="98"/>
      <c r="F215" s="98"/>
      <c r="G215" s="201"/>
      <c r="H215" s="201"/>
      <c r="I215" s="200">
        <f t="shared" si="6"/>
        <v>0</v>
      </c>
      <c r="J215" s="98"/>
      <c r="K215" s="98"/>
      <c r="L215" s="98"/>
      <c r="M215" s="98"/>
      <c r="N215" s="199" t="e" cm="1">
        <f t="array" ref="N215">_xlfn.IFS(K215=12,228,K215=11,209,K215=10,196,K215=9,182)</f>
        <v>#N/A</v>
      </c>
      <c r="O215" s="200">
        <f t="shared" si="7"/>
        <v>0</v>
      </c>
    </row>
    <row r="216" spans="2:15" x14ac:dyDescent="0.25">
      <c r="B216" s="98"/>
      <c r="C216" s="98"/>
      <c r="D216" s="98"/>
      <c r="E216" s="98"/>
      <c r="F216" s="98"/>
      <c r="G216" s="201"/>
      <c r="H216" s="201"/>
      <c r="I216" s="200">
        <f t="shared" si="6"/>
        <v>0</v>
      </c>
      <c r="J216" s="98"/>
      <c r="K216" s="98"/>
      <c r="L216" s="98"/>
      <c r="M216" s="98"/>
      <c r="N216" s="199" t="e" cm="1">
        <f t="array" ref="N216">_xlfn.IFS(K216=12,228,K216=11,209,K216=10,196,K216=9,182)</f>
        <v>#N/A</v>
      </c>
      <c r="O216" s="200">
        <f t="shared" si="7"/>
        <v>0</v>
      </c>
    </row>
    <row r="217" spans="2:15" x14ac:dyDescent="0.25">
      <c r="B217" s="98"/>
      <c r="C217" s="98"/>
      <c r="D217" s="98"/>
      <c r="E217" s="98"/>
      <c r="F217" s="98"/>
      <c r="G217" s="201"/>
      <c r="H217" s="201"/>
      <c r="I217" s="200">
        <f t="shared" si="6"/>
        <v>0</v>
      </c>
      <c r="J217" s="98"/>
      <c r="K217" s="98"/>
      <c r="L217" s="98"/>
      <c r="M217" s="98"/>
      <c r="N217" s="199" t="e" cm="1">
        <f t="array" ref="N217">_xlfn.IFS(K217=12,228,K217=11,209,K217=10,196,K217=9,182)</f>
        <v>#N/A</v>
      </c>
      <c r="O217" s="200">
        <f t="shared" si="7"/>
        <v>0</v>
      </c>
    </row>
    <row r="218" spans="2:15" x14ac:dyDescent="0.25">
      <c r="B218" s="98"/>
      <c r="C218" s="98"/>
      <c r="D218" s="98"/>
      <c r="E218" s="98"/>
      <c r="F218" s="98"/>
      <c r="G218" s="201"/>
      <c r="H218" s="201"/>
      <c r="I218" s="200">
        <f t="shared" si="6"/>
        <v>0</v>
      </c>
      <c r="J218" s="98"/>
      <c r="K218" s="98"/>
      <c r="L218" s="98"/>
      <c r="M218" s="98"/>
      <c r="N218" s="199" t="e" cm="1">
        <f t="array" ref="N218">_xlfn.IFS(K218=12,228,K218=11,209,K218=10,196,K218=9,182)</f>
        <v>#N/A</v>
      </c>
      <c r="O218" s="200">
        <f t="shared" si="7"/>
        <v>0</v>
      </c>
    </row>
    <row r="219" spans="2:15" x14ac:dyDescent="0.25">
      <c r="B219" s="98"/>
      <c r="C219" s="98"/>
      <c r="D219" s="98"/>
      <c r="E219" s="98"/>
      <c r="F219" s="98"/>
      <c r="G219" s="201"/>
      <c r="H219" s="201"/>
      <c r="I219" s="200">
        <f t="shared" si="6"/>
        <v>0</v>
      </c>
      <c r="J219" s="98"/>
      <c r="K219" s="98"/>
      <c r="L219" s="98"/>
      <c r="M219" s="98"/>
      <c r="N219" s="199" t="e" cm="1">
        <f t="array" ref="N219">_xlfn.IFS(K219=12,228,K219=11,209,K219=10,196,K219=9,182)</f>
        <v>#N/A</v>
      </c>
      <c r="O219" s="200">
        <f t="shared" si="7"/>
        <v>0</v>
      </c>
    </row>
    <row r="220" spans="2:15" x14ac:dyDescent="0.25">
      <c r="B220" s="98"/>
      <c r="C220" s="98"/>
      <c r="D220" s="98"/>
      <c r="E220" s="98"/>
      <c r="F220" s="98"/>
      <c r="G220" s="201"/>
      <c r="H220" s="201"/>
      <c r="I220" s="200">
        <f t="shared" si="6"/>
        <v>0</v>
      </c>
      <c r="J220" s="98"/>
      <c r="K220" s="98"/>
      <c r="L220" s="98"/>
      <c r="M220" s="98"/>
      <c r="N220" s="199" t="e" cm="1">
        <f t="array" ref="N220">_xlfn.IFS(K220=12,228,K220=11,209,K220=10,196,K220=9,182)</f>
        <v>#N/A</v>
      </c>
      <c r="O220" s="200">
        <f t="shared" si="7"/>
        <v>0</v>
      </c>
    </row>
    <row r="221" spans="2:15" x14ac:dyDescent="0.25">
      <c r="B221" s="98"/>
      <c r="C221" s="98"/>
      <c r="D221" s="98"/>
      <c r="E221" s="98"/>
      <c r="F221" s="98"/>
      <c r="G221" s="201"/>
      <c r="H221" s="201"/>
      <c r="I221" s="200">
        <f t="shared" si="6"/>
        <v>0</v>
      </c>
      <c r="J221" s="98"/>
      <c r="K221" s="98"/>
      <c r="L221" s="98"/>
      <c r="M221" s="98"/>
      <c r="N221" s="199" t="e" cm="1">
        <f t="array" ref="N221">_xlfn.IFS(K221=12,228,K221=11,209,K221=10,196,K221=9,182)</f>
        <v>#N/A</v>
      </c>
      <c r="O221" s="200">
        <f t="shared" si="7"/>
        <v>0</v>
      </c>
    </row>
    <row r="222" spans="2:15" x14ac:dyDescent="0.25">
      <c r="B222" s="98"/>
      <c r="C222" s="98"/>
      <c r="D222" s="98"/>
      <c r="E222" s="98"/>
      <c r="F222" s="98"/>
      <c r="G222" s="201"/>
      <c r="H222" s="201"/>
      <c r="I222" s="200">
        <f t="shared" si="6"/>
        <v>0</v>
      </c>
      <c r="J222" s="98"/>
      <c r="K222" s="98"/>
      <c r="L222" s="98"/>
      <c r="M222" s="98"/>
      <c r="N222" s="199" t="e" cm="1">
        <f t="array" ref="N222">_xlfn.IFS(K222=12,228,K222=11,209,K222=10,196,K222=9,182)</f>
        <v>#N/A</v>
      </c>
      <c r="O222" s="200">
        <f t="shared" si="7"/>
        <v>0</v>
      </c>
    </row>
    <row r="223" spans="2:15" x14ac:dyDescent="0.25">
      <c r="B223" s="98"/>
      <c r="C223" s="98"/>
      <c r="D223" s="98"/>
      <c r="E223" s="98"/>
      <c r="F223" s="98"/>
      <c r="G223" s="201"/>
      <c r="H223" s="201"/>
      <c r="I223" s="200">
        <f t="shared" si="6"/>
        <v>0</v>
      </c>
      <c r="J223" s="98"/>
      <c r="K223" s="98"/>
      <c r="L223" s="98"/>
      <c r="M223" s="98"/>
      <c r="N223" s="199" t="e" cm="1">
        <f t="array" ref="N223">_xlfn.IFS(K223=12,228,K223=11,209,K223=10,196,K223=9,182)</f>
        <v>#N/A</v>
      </c>
      <c r="O223" s="200">
        <f t="shared" si="7"/>
        <v>0</v>
      </c>
    </row>
    <row r="224" spans="2:15" x14ac:dyDescent="0.25">
      <c r="B224" s="98"/>
      <c r="C224" s="98"/>
      <c r="D224" s="98"/>
      <c r="E224" s="98"/>
      <c r="F224" s="98"/>
      <c r="G224" s="201"/>
      <c r="H224" s="201"/>
      <c r="I224" s="200">
        <f t="shared" si="6"/>
        <v>0</v>
      </c>
      <c r="J224" s="98"/>
      <c r="K224" s="98"/>
      <c r="L224" s="98"/>
      <c r="M224" s="98"/>
      <c r="N224" s="199" t="e" cm="1">
        <f t="array" ref="N224">_xlfn.IFS(K224=12,228,K224=11,209,K224=10,196,K224=9,182)</f>
        <v>#N/A</v>
      </c>
      <c r="O224" s="200">
        <f t="shared" si="7"/>
        <v>0</v>
      </c>
    </row>
    <row r="225" spans="2:15" x14ac:dyDescent="0.25">
      <c r="B225" s="98"/>
      <c r="C225" s="98"/>
      <c r="D225" s="98"/>
      <c r="E225" s="98"/>
      <c r="F225" s="98"/>
      <c r="G225" s="201"/>
      <c r="H225" s="201"/>
      <c r="I225" s="200">
        <f t="shared" si="6"/>
        <v>0</v>
      </c>
      <c r="J225" s="98"/>
      <c r="K225" s="98"/>
      <c r="L225" s="98"/>
      <c r="M225" s="98"/>
      <c r="N225" s="199" t="e" cm="1">
        <f t="array" ref="N225">_xlfn.IFS(K225=12,228,K225=11,209,K225=10,196,K225=9,182)</f>
        <v>#N/A</v>
      </c>
      <c r="O225" s="200">
        <f t="shared" si="7"/>
        <v>0</v>
      </c>
    </row>
    <row r="226" spans="2:15" x14ac:dyDescent="0.25">
      <c r="B226" s="98"/>
      <c r="C226" s="98"/>
      <c r="D226" s="98"/>
      <c r="E226" s="98"/>
      <c r="F226" s="98"/>
      <c r="G226" s="201"/>
      <c r="H226" s="201"/>
      <c r="I226" s="200">
        <f t="shared" si="6"/>
        <v>0</v>
      </c>
      <c r="J226" s="98"/>
      <c r="K226" s="98"/>
      <c r="L226" s="98"/>
      <c r="M226" s="98"/>
      <c r="N226" s="199" t="e" cm="1">
        <f t="array" ref="N226">_xlfn.IFS(K226=12,228,K226=11,209,K226=10,196,K226=9,182)</f>
        <v>#N/A</v>
      </c>
      <c r="O226" s="200">
        <f t="shared" si="7"/>
        <v>0</v>
      </c>
    </row>
    <row r="227" spans="2:15" x14ac:dyDescent="0.25">
      <c r="B227" s="98"/>
      <c r="C227" s="98"/>
      <c r="D227" s="98"/>
      <c r="E227" s="98"/>
      <c r="F227" s="98"/>
      <c r="G227" s="201"/>
      <c r="H227" s="201"/>
      <c r="I227" s="200">
        <f t="shared" si="6"/>
        <v>0</v>
      </c>
      <c r="J227" s="98"/>
      <c r="K227" s="98"/>
      <c r="L227" s="98"/>
      <c r="M227" s="98"/>
      <c r="N227" s="199" t="e" cm="1">
        <f t="array" ref="N227">_xlfn.IFS(K227=12,228,K227=11,209,K227=10,196,K227=9,182)</f>
        <v>#N/A</v>
      </c>
      <c r="O227" s="200">
        <f t="shared" si="7"/>
        <v>0</v>
      </c>
    </row>
    <row r="228" spans="2:15" x14ac:dyDescent="0.25">
      <c r="B228" s="98"/>
      <c r="C228" s="98"/>
      <c r="D228" s="98"/>
      <c r="E228" s="98"/>
      <c r="F228" s="98"/>
      <c r="G228" s="201"/>
      <c r="H228" s="201"/>
      <c r="I228" s="200">
        <f t="shared" si="6"/>
        <v>0</v>
      </c>
      <c r="J228" s="98"/>
      <c r="K228" s="98"/>
      <c r="L228" s="98"/>
      <c r="M228" s="98"/>
      <c r="N228" s="199" t="e" cm="1">
        <f t="array" ref="N228">_xlfn.IFS(K228=12,228,K228=11,209,K228=10,196,K228=9,182)</f>
        <v>#N/A</v>
      </c>
      <c r="O228" s="200">
        <f t="shared" si="7"/>
        <v>0</v>
      </c>
    </row>
    <row r="229" spans="2:15" x14ac:dyDescent="0.25">
      <c r="B229" s="98"/>
      <c r="C229" s="98"/>
      <c r="D229" s="98"/>
      <c r="E229" s="98"/>
      <c r="F229" s="98"/>
      <c r="G229" s="201"/>
      <c r="H229" s="201"/>
      <c r="I229" s="200">
        <f t="shared" si="6"/>
        <v>0</v>
      </c>
      <c r="J229" s="98"/>
      <c r="K229" s="98"/>
      <c r="L229" s="98"/>
      <c r="M229" s="98"/>
      <c r="N229" s="199" t="e" cm="1">
        <f t="array" ref="N229">_xlfn.IFS(K229=12,228,K229=11,209,K229=10,196,K229=9,182)</f>
        <v>#N/A</v>
      </c>
      <c r="O229" s="200">
        <f t="shared" si="7"/>
        <v>0</v>
      </c>
    </row>
    <row r="230" spans="2:15" x14ac:dyDescent="0.25">
      <c r="B230" s="98"/>
      <c r="C230" s="98"/>
      <c r="D230" s="98"/>
      <c r="E230" s="98"/>
      <c r="F230" s="98"/>
      <c r="G230" s="201"/>
      <c r="H230" s="201"/>
      <c r="I230" s="200">
        <f t="shared" si="6"/>
        <v>0</v>
      </c>
      <c r="J230" s="98"/>
      <c r="K230" s="98"/>
      <c r="L230" s="98"/>
      <c r="M230" s="98"/>
      <c r="N230" s="199" t="e" cm="1">
        <f t="array" ref="N230">_xlfn.IFS(K230=12,228,K230=11,209,K230=10,196,K230=9,182)</f>
        <v>#N/A</v>
      </c>
      <c r="O230" s="200">
        <f t="shared" si="7"/>
        <v>0</v>
      </c>
    </row>
    <row r="231" spans="2:15" x14ac:dyDescent="0.25">
      <c r="B231" s="98"/>
      <c r="C231" s="98"/>
      <c r="D231" s="98"/>
      <c r="E231" s="98"/>
      <c r="F231" s="98"/>
      <c r="G231" s="201"/>
      <c r="H231" s="201"/>
      <c r="I231" s="200">
        <f t="shared" si="6"/>
        <v>0</v>
      </c>
      <c r="J231" s="98"/>
      <c r="K231" s="98"/>
      <c r="L231" s="98"/>
      <c r="M231" s="98"/>
      <c r="N231" s="199" t="e" cm="1">
        <f t="array" ref="N231">_xlfn.IFS(K231=12,228,K231=11,209,K231=10,196,K231=9,182)</f>
        <v>#N/A</v>
      </c>
      <c r="O231" s="200">
        <f t="shared" si="7"/>
        <v>0</v>
      </c>
    </row>
    <row r="232" spans="2:15" x14ac:dyDescent="0.25">
      <c r="B232" s="98"/>
      <c r="C232" s="98"/>
      <c r="D232" s="98"/>
      <c r="E232" s="98"/>
      <c r="F232" s="98"/>
      <c r="G232" s="201"/>
      <c r="H232" s="201"/>
      <c r="I232" s="200">
        <f t="shared" si="6"/>
        <v>0</v>
      </c>
      <c r="J232" s="98"/>
      <c r="K232" s="98"/>
      <c r="L232" s="98"/>
      <c r="M232" s="98"/>
      <c r="N232" s="199" t="e" cm="1">
        <f t="array" ref="N232">_xlfn.IFS(K232=12,228,K232=11,209,K232=10,196,K232=9,182)</f>
        <v>#N/A</v>
      </c>
      <c r="O232" s="200">
        <f t="shared" si="7"/>
        <v>0</v>
      </c>
    </row>
    <row r="233" spans="2:15" x14ac:dyDescent="0.25">
      <c r="B233" s="98"/>
      <c r="C233" s="98"/>
      <c r="D233" s="98"/>
      <c r="E233" s="98"/>
      <c r="F233" s="98"/>
      <c r="G233" s="201"/>
      <c r="H233" s="201"/>
      <c r="I233" s="200">
        <f t="shared" si="6"/>
        <v>0</v>
      </c>
      <c r="J233" s="98"/>
      <c r="K233" s="98"/>
      <c r="L233" s="98"/>
      <c r="M233" s="98"/>
      <c r="N233" s="199" t="e" cm="1">
        <f t="array" ref="N233">_xlfn.IFS(K233=12,228,K233=11,209,K233=10,196,K233=9,182)</f>
        <v>#N/A</v>
      </c>
      <c r="O233" s="200">
        <f t="shared" si="7"/>
        <v>0</v>
      </c>
    </row>
    <row r="234" spans="2:15" x14ac:dyDescent="0.25">
      <c r="B234" s="98"/>
      <c r="C234" s="98"/>
      <c r="D234" s="98"/>
      <c r="E234" s="98"/>
      <c r="F234" s="98"/>
      <c r="G234" s="201"/>
      <c r="H234" s="201"/>
      <c r="I234" s="200">
        <f t="shared" si="6"/>
        <v>0</v>
      </c>
      <c r="J234" s="98"/>
      <c r="K234" s="98"/>
      <c r="L234" s="98"/>
      <c r="M234" s="98"/>
      <c r="N234" s="199" t="e" cm="1">
        <f t="array" ref="N234">_xlfn.IFS(K234=12,228,K234=11,209,K234=10,196,K234=9,182)</f>
        <v>#N/A</v>
      </c>
      <c r="O234" s="200">
        <f t="shared" si="7"/>
        <v>0</v>
      </c>
    </row>
    <row r="235" spans="2:15" x14ac:dyDescent="0.25">
      <c r="B235" s="98"/>
      <c r="C235" s="98"/>
      <c r="D235" s="98"/>
      <c r="E235" s="98"/>
      <c r="F235" s="98"/>
      <c r="G235" s="201"/>
      <c r="H235" s="201"/>
      <c r="I235" s="200">
        <f t="shared" si="6"/>
        <v>0</v>
      </c>
      <c r="J235" s="98"/>
      <c r="K235" s="98"/>
      <c r="L235" s="98"/>
      <c r="M235" s="98"/>
      <c r="N235" s="199" t="e" cm="1">
        <f t="array" ref="N235">_xlfn.IFS(K235=12,228,K235=11,209,K235=10,196,K235=9,182)</f>
        <v>#N/A</v>
      </c>
      <c r="O235" s="200">
        <f t="shared" si="7"/>
        <v>0</v>
      </c>
    </row>
    <row r="236" spans="2:15" x14ac:dyDescent="0.25">
      <c r="B236" s="98"/>
      <c r="C236" s="98"/>
      <c r="D236" s="98"/>
      <c r="E236" s="98"/>
      <c r="F236" s="98"/>
      <c r="G236" s="201"/>
      <c r="H236" s="201"/>
      <c r="I236" s="200">
        <f t="shared" si="6"/>
        <v>0</v>
      </c>
      <c r="J236" s="98"/>
      <c r="K236" s="98"/>
      <c r="L236" s="98"/>
      <c r="M236" s="98"/>
      <c r="N236" s="199" t="e" cm="1">
        <f t="array" ref="N236">_xlfn.IFS(K236=12,228,K236=11,209,K236=10,196,K236=9,182)</f>
        <v>#N/A</v>
      </c>
      <c r="O236" s="200">
        <f t="shared" si="7"/>
        <v>0</v>
      </c>
    </row>
    <row r="237" spans="2:15" x14ac:dyDescent="0.25">
      <c r="B237" s="98"/>
      <c r="C237" s="98"/>
      <c r="D237" s="98"/>
      <c r="E237" s="98"/>
      <c r="F237" s="98"/>
      <c r="G237" s="201"/>
      <c r="H237" s="201"/>
      <c r="I237" s="200">
        <f t="shared" si="6"/>
        <v>0</v>
      </c>
      <c r="J237" s="98"/>
      <c r="K237" s="98"/>
      <c r="L237" s="98"/>
      <c r="M237" s="98"/>
      <c r="N237" s="199" t="e" cm="1">
        <f t="array" ref="N237">_xlfn.IFS(K237=12,228,K237=11,209,K237=10,196,K237=9,182)</f>
        <v>#N/A</v>
      </c>
      <c r="O237" s="200">
        <f t="shared" si="7"/>
        <v>0</v>
      </c>
    </row>
    <row r="238" spans="2:15" x14ac:dyDescent="0.25">
      <c r="B238" s="98"/>
      <c r="C238" s="98"/>
      <c r="D238" s="98"/>
      <c r="E238" s="98"/>
      <c r="F238" s="98"/>
      <c r="G238" s="201"/>
      <c r="H238" s="201"/>
      <c r="I238" s="200">
        <f t="shared" si="6"/>
        <v>0</v>
      </c>
      <c r="J238" s="98"/>
      <c r="K238" s="98"/>
      <c r="L238" s="98"/>
      <c r="M238" s="98"/>
      <c r="N238" s="199" t="e" cm="1">
        <f t="array" ref="N238">_xlfn.IFS(K238=12,228,K238=11,209,K238=10,196,K238=9,182)</f>
        <v>#N/A</v>
      </c>
      <c r="O238" s="200">
        <f t="shared" si="7"/>
        <v>0</v>
      </c>
    </row>
    <row r="239" spans="2:15" x14ac:dyDescent="0.25">
      <c r="B239" s="98"/>
      <c r="C239" s="98"/>
      <c r="D239" s="98"/>
      <c r="E239" s="98"/>
      <c r="F239" s="98"/>
      <c r="G239" s="201"/>
      <c r="H239" s="201"/>
      <c r="I239" s="200">
        <f t="shared" si="6"/>
        <v>0</v>
      </c>
      <c r="J239" s="98"/>
      <c r="K239" s="98"/>
      <c r="L239" s="98"/>
      <c r="M239" s="98"/>
      <c r="N239" s="199" t="e" cm="1">
        <f t="array" ref="N239">_xlfn.IFS(K239=12,228,K239=11,209,K239=10,196,K239=9,182)</f>
        <v>#N/A</v>
      </c>
      <c r="O239" s="200">
        <f t="shared" si="7"/>
        <v>0</v>
      </c>
    </row>
    <row r="240" spans="2:15" x14ac:dyDescent="0.25">
      <c r="B240" s="98"/>
      <c r="C240" s="98"/>
      <c r="D240" s="98"/>
      <c r="E240" s="98"/>
      <c r="F240" s="98"/>
      <c r="G240" s="201"/>
      <c r="H240" s="201"/>
      <c r="I240" s="200">
        <f t="shared" si="6"/>
        <v>0</v>
      </c>
      <c r="J240" s="98"/>
      <c r="K240" s="98"/>
      <c r="L240" s="98"/>
      <c r="M240" s="98"/>
      <c r="N240" s="199" t="e" cm="1">
        <f t="array" ref="N240">_xlfn.IFS(K240=12,228,K240=11,209,K240=10,196,K240=9,182)</f>
        <v>#N/A</v>
      </c>
      <c r="O240" s="200">
        <f t="shared" si="7"/>
        <v>0</v>
      </c>
    </row>
    <row r="241" spans="2:15" x14ac:dyDescent="0.25">
      <c r="B241" s="98"/>
      <c r="C241" s="98"/>
      <c r="D241" s="98"/>
      <c r="E241" s="98"/>
      <c r="F241" s="98"/>
      <c r="G241" s="201"/>
      <c r="H241" s="201"/>
      <c r="I241" s="200">
        <f t="shared" si="6"/>
        <v>0</v>
      </c>
      <c r="J241" s="98"/>
      <c r="K241" s="98"/>
      <c r="L241" s="98"/>
      <c r="M241" s="98"/>
      <c r="N241" s="199" t="e" cm="1">
        <f t="array" ref="N241">_xlfn.IFS(K241=12,228,K241=11,209,K241=10,196,K241=9,182)</f>
        <v>#N/A</v>
      </c>
      <c r="O241" s="200">
        <f t="shared" si="7"/>
        <v>0</v>
      </c>
    </row>
    <row r="242" spans="2:15" x14ac:dyDescent="0.25">
      <c r="B242" s="98"/>
      <c r="C242" s="98"/>
      <c r="D242" s="98"/>
      <c r="E242" s="98"/>
      <c r="F242" s="98"/>
      <c r="G242" s="201"/>
      <c r="H242" s="201"/>
      <c r="I242" s="200">
        <f t="shared" si="6"/>
        <v>0</v>
      </c>
      <c r="J242" s="98"/>
      <c r="K242" s="98"/>
      <c r="L242" s="98"/>
      <c r="M242" s="98"/>
      <c r="N242" s="199" t="e" cm="1">
        <f t="array" ref="N242">_xlfn.IFS(K242=12,228,K242=11,209,K242=10,196,K242=9,182)</f>
        <v>#N/A</v>
      </c>
      <c r="O242" s="200">
        <f t="shared" si="7"/>
        <v>0</v>
      </c>
    </row>
    <row r="243" spans="2:15" x14ac:dyDescent="0.25">
      <c r="B243" s="98"/>
      <c r="C243" s="98"/>
      <c r="D243" s="98"/>
      <c r="E243" s="98"/>
      <c r="F243" s="98"/>
      <c r="G243" s="201"/>
      <c r="H243" s="201"/>
      <c r="I243" s="200">
        <f t="shared" si="6"/>
        <v>0</v>
      </c>
      <c r="J243" s="98"/>
      <c r="K243" s="98"/>
      <c r="L243" s="98"/>
      <c r="M243" s="98"/>
      <c r="N243" s="199" t="e" cm="1">
        <f t="array" ref="N243">_xlfn.IFS(K243=12,228,K243=11,209,K243=10,196,K243=9,182)</f>
        <v>#N/A</v>
      </c>
      <c r="O243" s="200">
        <f t="shared" si="7"/>
        <v>0</v>
      </c>
    </row>
    <row r="244" spans="2:15" x14ac:dyDescent="0.25">
      <c r="B244" s="98"/>
      <c r="C244" s="98"/>
      <c r="D244" s="98"/>
      <c r="E244" s="98"/>
      <c r="F244" s="98"/>
      <c r="G244" s="201"/>
      <c r="H244" s="201"/>
      <c r="I244" s="200">
        <f t="shared" si="6"/>
        <v>0</v>
      </c>
      <c r="J244" s="98"/>
      <c r="K244" s="98"/>
      <c r="L244" s="98"/>
      <c r="M244" s="98"/>
      <c r="N244" s="199" t="e" cm="1">
        <f t="array" ref="N244">_xlfn.IFS(K244=12,228,K244=11,209,K244=10,196,K244=9,182)</f>
        <v>#N/A</v>
      </c>
      <c r="O244" s="200">
        <f t="shared" si="7"/>
        <v>0</v>
      </c>
    </row>
    <row r="245" spans="2:15" x14ac:dyDescent="0.25">
      <c r="B245" s="98"/>
      <c r="C245" s="98"/>
      <c r="D245" s="98"/>
      <c r="E245" s="98"/>
      <c r="F245" s="98"/>
      <c r="G245" s="201"/>
      <c r="H245" s="201"/>
      <c r="I245" s="200">
        <f t="shared" si="6"/>
        <v>0</v>
      </c>
      <c r="J245" s="98"/>
      <c r="K245" s="98"/>
      <c r="L245" s="98"/>
      <c r="M245" s="98"/>
      <c r="N245" s="199" t="e" cm="1">
        <f t="array" ref="N245">_xlfn.IFS(K245=12,228,K245=11,209,K245=10,196,K245=9,182)</f>
        <v>#N/A</v>
      </c>
      <c r="O245" s="200">
        <f t="shared" si="7"/>
        <v>0</v>
      </c>
    </row>
    <row r="246" spans="2:15" x14ac:dyDescent="0.25">
      <c r="B246" s="98"/>
      <c r="C246" s="98"/>
      <c r="D246" s="98"/>
      <c r="E246" s="98"/>
      <c r="F246" s="98"/>
      <c r="G246" s="201"/>
      <c r="H246" s="201"/>
      <c r="I246" s="200">
        <f t="shared" si="6"/>
        <v>0</v>
      </c>
      <c r="J246" s="98"/>
      <c r="K246" s="98"/>
      <c r="L246" s="98"/>
      <c r="M246" s="98"/>
      <c r="N246" s="199" t="e" cm="1">
        <f t="array" ref="N246">_xlfn.IFS(K246=12,228,K246=11,209,K246=10,196,K246=9,182)</f>
        <v>#N/A</v>
      </c>
      <c r="O246" s="200">
        <f t="shared" si="7"/>
        <v>0</v>
      </c>
    </row>
    <row r="247" spans="2:15" x14ac:dyDescent="0.25">
      <c r="B247" s="98"/>
      <c r="C247" s="98"/>
      <c r="D247" s="98"/>
      <c r="E247" s="98"/>
      <c r="F247" s="98"/>
      <c r="G247" s="201"/>
      <c r="H247" s="201"/>
      <c r="I247" s="200">
        <f t="shared" si="6"/>
        <v>0</v>
      </c>
      <c r="J247" s="98"/>
      <c r="K247" s="98"/>
      <c r="L247" s="98"/>
      <c r="M247" s="98"/>
      <c r="N247" s="199" t="e" cm="1">
        <f t="array" ref="N247">_xlfn.IFS(K247=12,228,K247=11,209,K247=10,196,K247=9,182)</f>
        <v>#N/A</v>
      </c>
      <c r="O247" s="200">
        <f t="shared" si="7"/>
        <v>0</v>
      </c>
    </row>
    <row r="248" spans="2:15" x14ac:dyDescent="0.25">
      <c r="B248" s="98"/>
      <c r="C248" s="98"/>
      <c r="D248" s="98"/>
      <c r="E248" s="98"/>
      <c r="F248" s="98"/>
      <c r="G248" s="201"/>
      <c r="H248" s="201"/>
      <c r="I248" s="200">
        <f t="shared" si="6"/>
        <v>0</v>
      </c>
      <c r="J248" s="98"/>
      <c r="K248" s="98"/>
      <c r="L248" s="98"/>
      <c r="M248" s="98"/>
      <c r="N248" s="199" t="e" cm="1">
        <f t="array" ref="N248">_xlfn.IFS(K248=12,228,K248=11,209,K248=10,196,K248=9,182)</f>
        <v>#N/A</v>
      </c>
      <c r="O248" s="200">
        <f t="shared" si="7"/>
        <v>0</v>
      </c>
    </row>
    <row r="249" spans="2:15" x14ac:dyDescent="0.25">
      <c r="B249" s="98"/>
      <c r="C249" s="98"/>
      <c r="D249" s="98"/>
      <c r="E249" s="98"/>
      <c r="F249" s="98"/>
      <c r="G249" s="201"/>
      <c r="H249" s="201"/>
      <c r="I249" s="200">
        <f t="shared" si="6"/>
        <v>0</v>
      </c>
      <c r="J249" s="98"/>
      <c r="K249" s="98"/>
      <c r="L249" s="98"/>
      <c r="M249" s="98"/>
      <c r="N249" s="199" t="e" cm="1">
        <f t="array" ref="N249">_xlfn.IFS(K249=12,228,K249=11,209,K249=10,196,K249=9,182)</f>
        <v>#N/A</v>
      </c>
      <c r="O249" s="200">
        <f t="shared" si="7"/>
        <v>0</v>
      </c>
    </row>
    <row r="250" spans="2:15" x14ac:dyDescent="0.25">
      <c r="B250" s="98"/>
      <c r="C250" s="98"/>
      <c r="D250" s="98"/>
      <c r="E250" s="98"/>
      <c r="F250" s="98"/>
      <c r="G250" s="201"/>
      <c r="H250" s="201"/>
      <c r="I250" s="200">
        <f t="shared" si="6"/>
        <v>0</v>
      </c>
      <c r="J250" s="98"/>
      <c r="K250" s="98"/>
      <c r="L250" s="98"/>
      <c r="M250" s="98"/>
      <c r="N250" s="199" t="e" cm="1">
        <f t="array" ref="N250">_xlfn.IFS(K250=12,228,K250=11,209,K250=10,196,K250=9,182)</f>
        <v>#N/A</v>
      </c>
      <c r="O250" s="200">
        <f t="shared" si="7"/>
        <v>0</v>
      </c>
    </row>
    <row r="251" spans="2:15" x14ac:dyDescent="0.25">
      <c r="B251" s="98"/>
      <c r="C251" s="98"/>
      <c r="D251" s="98"/>
      <c r="E251" s="98"/>
      <c r="F251" s="98"/>
      <c r="G251" s="201"/>
      <c r="H251" s="201"/>
      <c r="I251" s="200">
        <f t="shared" si="6"/>
        <v>0</v>
      </c>
      <c r="J251" s="98"/>
      <c r="K251" s="98"/>
      <c r="L251" s="98"/>
      <c r="M251" s="98"/>
      <c r="N251" s="199" t="e" cm="1">
        <f t="array" ref="N251">_xlfn.IFS(K251=12,228,K251=11,209,K251=10,196,K251=9,182)</f>
        <v>#N/A</v>
      </c>
      <c r="O251" s="200">
        <f t="shared" si="7"/>
        <v>0</v>
      </c>
    </row>
    <row r="252" spans="2:15" x14ac:dyDescent="0.25">
      <c r="B252" s="98"/>
      <c r="C252" s="98"/>
      <c r="D252" s="98"/>
      <c r="E252" s="98"/>
      <c r="F252" s="98"/>
      <c r="G252" s="201"/>
      <c r="H252" s="201"/>
      <c r="I252" s="200">
        <f t="shared" si="6"/>
        <v>0</v>
      </c>
      <c r="J252" s="98"/>
      <c r="K252" s="98"/>
      <c r="L252" s="98"/>
      <c r="M252" s="98"/>
      <c r="N252" s="199" t="e" cm="1">
        <f t="array" ref="N252">_xlfn.IFS(K252=12,228,K252=11,209,K252=10,196,K252=9,182)</f>
        <v>#N/A</v>
      </c>
      <c r="O252" s="200">
        <f t="shared" si="7"/>
        <v>0</v>
      </c>
    </row>
    <row r="253" spans="2:15" x14ac:dyDescent="0.25">
      <c r="B253" s="98"/>
      <c r="C253" s="98"/>
      <c r="D253" s="98"/>
      <c r="E253" s="98"/>
      <c r="F253" s="98"/>
      <c r="G253" s="201"/>
      <c r="H253" s="201"/>
      <c r="I253" s="200">
        <f t="shared" si="6"/>
        <v>0</v>
      </c>
      <c r="J253" s="98"/>
      <c r="K253" s="98"/>
      <c r="L253" s="98"/>
      <c r="M253" s="98"/>
      <c r="N253" s="199" t="e" cm="1">
        <f t="array" ref="N253">_xlfn.IFS(K253=12,228,K253=11,209,K253=10,196,K253=9,182)</f>
        <v>#N/A</v>
      </c>
      <c r="O253" s="200">
        <f t="shared" si="7"/>
        <v>0</v>
      </c>
    </row>
    <row r="254" spans="2:15" x14ac:dyDescent="0.25">
      <c r="B254" s="98"/>
      <c r="C254" s="98"/>
      <c r="D254" s="98"/>
      <c r="E254" s="98"/>
      <c r="F254" s="98"/>
      <c r="G254" s="201"/>
      <c r="H254" s="201"/>
      <c r="I254" s="200">
        <f t="shared" si="6"/>
        <v>0</v>
      </c>
      <c r="J254" s="98"/>
      <c r="K254" s="98"/>
      <c r="L254" s="98"/>
      <c r="M254" s="98"/>
      <c r="N254" s="199" t="e" cm="1">
        <f t="array" ref="N254">_xlfn.IFS(K254=12,228,K254=11,209,K254=10,196,K254=9,182)</f>
        <v>#N/A</v>
      </c>
      <c r="O254" s="200">
        <f t="shared" si="7"/>
        <v>0</v>
      </c>
    </row>
    <row r="255" spans="2:15" x14ac:dyDescent="0.25">
      <c r="B255" s="98"/>
      <c r="C255" s="98"/>
      <c r="D255" s="98"/>
      <c r="E255" s="98"/>
      <c r="F255" s="98"/>
      <c r="G255" s="201"/>
      <c r="H255" s="201"/>
      <c r="I255" s="200">
        <f t="shared" si="6"/>
        <v>0</v>
      </c>
      <c r="J255" s="98"/>
      <c r="K255" s="98"/>
      <c r="L255" s="98"/>
      <c r="M255" s="98"/>
      <c r="N255" s="199" t="e" cm="1">
        <f t="array" ref="N255">_xlfn.IFS(K255=12,228,K255=11,209,K255=10,196,K255=9,182)</f>
        <v>#N/A</v>
      </c>
      <c r="O255" s="200">
        <f t="shared" si="7"/>
        <v>0</v>
      </c>
    </row>
    <row r="256" spans="2:15" x14ac:dyDescent="0.25">
      <c r="B256" s="98"/>
      <c r="C256" s="98"/>
      <c r="D256" s="98"/>
      <c r="E256" s="98"/>
      <c r="F256" s="98"/>
      <c r="G256" s="201"/>
      <c r="H256" s="201"/>
      <c r="I256" s="200">
        <f t="shared" si="6"/>
        <v>0</v>
      </c>
      <c r="J256" s="98"/>
      <c r="K256" s="98"/>
      <c r="L256" s="98"/>
      <c r="M256" s="98"/>
      <c r="N256" s="199" t="e" cm="1">
        <f t="array" ref="N256">_xlfn.IFS(K256=12,228,K256=11,209,K256=10,196,K256=9,182)</f>
        <v>#N/A</v>
      </c>
      <c r="O256" s="200">
        <f t="shared" si="7"/>
        <v>0</v>
      </c>
    </row>
    <row r="257" spans="2:15" x14ac:dyDescent="0.25">
      <c r="B257" s="98"/>
      <c r="C257" s="98"/>
      <c r="D257" s="98"/>
      <c r="E257" s="98"/>
      <c r="F257" s="98"/>
      <c r="G257" s="201"/>
      <c r="H257" s="201"/>
      <c r="I257" s="200">
        <f t="shared" si="6"/>
        <v>0</v>
      </c>
      <c r="J257" s="98"/>
      <c r="K257" s="98"/>
      <c r="L257" s="98"/>
      <c r="M257" s="98"/>
      <c r="N257" s="199" t="e" cm="1">
        <f t="array" ref="N257">_xlfn.IFS(K257=12,228,K257=11,209,K257=10,196,K257=9,182)</f>
        <v>#N/A</v>
      </c>
      <c r="O257" s="200">
        <f t="shared" si="7"/>
        <v>0</v>
      </c>
    </row>
    <row r="258" spans="2:15" x14ac:dyDescent="0.25">
      <c r="B258" s="98"/>
      <c r="C258" s="98"/>
      <c r="D258" s="98"/>
      <c r="E258" s="98"/>
      <c r="F258" s="98"/>
      <c r="G258" s="201"/>
      <c r="H258" s="201"/>
      <c r="I258" s="200">
        <f t="shared" si="6"/>
        <v>0</v>
      </c>
      <c r="J258" s="98"/>
      <c r="K258" s="98"/>
      <c r="L258" s="98"/>
      <c r="M258" s="98"/>
      <c r="N258" s="199" t="e" cm="1">
        <f t="array" ref="N258">_xlfn.IFS(K258=12,228,K258=11,209,K258=10,196,K258=9,182)</f>
        <v>#N/A</v>
      </c>
      <c r="O258" s="200">
        <f t="shared" si="7"/>
        <v>0</v>
      </c>
    </row>
    <row r="259" spans="2:15" x14ac:dyDescent="0.25">
      <c r="B259" s="98"/>
      <c r="C259" s="98"/>
      <c r="D259" s="98"/>
      <c r="E259" s="98"/>
      <c r="F259" s="98"/>
      <c r="G259" s="201"/>
      <c r="H259" s="201"/>
      <c r="I259" s="200">
        <f t="shared" si="6"/>
        <v>0</v>
      </c>
      <c r="J259" s="98"/>
      <c r="K259" s="98"/>
      <c r="L259" s="98"/>
      <c r="M259" s="98"/>
      <c r="N259" s="199" t="e" cm="1">
        <f t="array" ref="N259">_xlfn.IFS(K259=12,228,K259=11,209,K259=10,196,K259=9,182)</f>
        <v>#N/A</v>
      </c>
      <c r="O259" s="200">
        <f t="shared" si="7"/>
        <v>0</v>
      </c>
    </row>
    <row r="260" spans="2:15" x14ac:dyDescent="0.25">
      <c r="B260" s="98"/>
      <c r="C260" s="98"/>
      <c r="D260" s="98"/>
      <c r="E260" s="98"/>
      <c r="F260" s="98"/>
      <c r="G260" s="201"/>
      <c r="H260" s="201"/>
      <c r="I260" s="200">
        <f t="shared" si="6"/>
        <v>0</v>
      </c>
      <c r="J260" s="98"/>
      <c r="K260" s="98"/>
      <c r="L260" s="98"/>
      <c r="M260" s="98"/>
      <c r="N260" s="199" t="e" cm="1">
        <f t="array" ref="N260">_xlfn.IFS(K260=12,228,K260=11,209,K260=10,196,K260=9,182)</f>
        <v>#N/A</v>
      </c>
      <c r="O260" s="200">
        <f t="shared" si="7"/>
        <v>0</v>
      </c>
    </row>
    <row r="261" spans="2:15" x14ac:dyDescent="0.25">
      <c r="B261" s="98"/>
      <c r="C261" s="98"/>
      <c r="D261" s="98"/>
      <c r="E261" s="98"/>
      <c r="F261" s="98"/>
      <c r="G261" s="201"/>
      <c r="H261" s="201"/>
      <c r="I261" s="200">
        <f t="shared" si="6"/>
        <v>0</v>
      </c>
      <c r="J261" s="98"/>
      <c r="K261" s="98"/>
      <c r="L261" s="98"/>
      <c r="M261" s="98"/>
      <c r="N261" s="199" t="e" cm="1">
        <f t="array" ref="N261">_xlfn.IFS(K261=12,228,K261=11,209,K261=10,196,K261=9,182)</f>
        <v>#N/A</v>
      </c>
      <c r="O261" s="200">
        <f t="shared" si="7"/>
        <v>0</v>
      </c>
    </row>
    <row r="262" spans="2:15" x14ac:dyDescent="0.25">
      <c r="B262" s="98"/>
      <c r="C262" s="98"/>
      <c r="D262" s="98"/>
      <c r="E262" s="98"/>
      <c r="F262" s="98"/>
      <c r="G262" s="201"/>
      <c r="H262" s="201"/>
      <c r="I262" s="200">
        <f t="shared" ref="I262:I300" si="8">IF(H262&lt;100,H262*J262,H262/N262)</f>
        <v>0</v>
      </c>
      <c r="J262" s="98"/>
      <c r="K262" s="98"/>
      <c r="L262" s="98"/>
      <c r="M262" s="98"/>
      <c r="N262" s="199" t="e" cm="1">
        <f t="array" ref="N262">_xlfn.IFS(K262=12,228,K262=11,209,K262=10,196,K262=9,182)</f>
        <v>#N/A</v>
      </c>
      <c r="O262" s="200">
        <f t="shared" ref="O262:O300" si="9">IFERROR(N262*I262,0)</f>
        <v>0</v>
      </c>
    </row>
    <row r="263" spans="2:15" x14ac:dyDescent="0.25">
      <c r="B263" s="98"/>
      <c r="C263" s="98"/>
      <c r="D263" s="98"/>
      <c r="E263" s="98"/>
      <c r="F263" s="98"/>
      <c r="G263" s="201"/>
      <c r="H263" s="201"/>
      <c r="I263" s="200">
        <f t="shared" si="8"/>
        <v>0</v>
      </c>
      <c r="J263" s="98"/>
      <c r="K263" s="98"/>
      <c r="L263" s="98"/>
      <c r="M263" s="98"/>
      <c r="N263" s="199" t="e" cm="1">
        <f t="array" ref="N263">_xlfn.IFS(K263=12,228,K263=11,209,K263=10,196,K263=9,182)</f>
        <v>#N/A</v>
      </c>
      <c r="O263" s="200">
        <f t="shared" si="9"/>
        <v>0</v>
      </c>
    </row>
    <row r="264" spans="2:15" x14ac:dyDescent="0.25">
      <c r="B264" s="98"/>
      <c r="C264" s="98"/>
      <c r="D264" s="98"/>
      <c r="E264" s="98"/>
      <c r="F264" s="98"/>
      <c r="G264" s="201"/>
      <c r="H264" s="201"/>
      <c r="I264" s="200">
        <f t="shared" si="8"/>
        <v>0</v>
      </c>
      <c r="J264" s="98"/>
      <c r="K264" s="98"/>
      <c r="L264" s="98"/>
      <c r="M264" s="98"/>
      <c r="N264" s="199" t="e" cm="1">
        <f t="array" ref="N264">_xlfn.IFS(K264=12,228,K264=11,209,K264=10,196,K264=9,182)</f>
        <v>#N/A</v>
      </c>
      <c r="O264" s="200">
        <f t="shared" si="9"/>
        <v>0</v>
      </c>
    </row>
    <row r="265" spans="2:15" x14ac:dyDescent="0.25">
      <c r="B265" s="98"/>
      <c r="C265" s="98"/>
      <c r="D265" s="98"/>
      <c r="E265" s="98"/>
      <c r="F265" s="98"/>
      <c r="G265" s="201"/>
      <c r="H265" s="201"/>
      <c r="I265" s="200">
        <f t="shared" si="8"/>
        <v>0</v>
      </c>
      <c r="J265" s="98"/>
      <c r="K265" s="98"/>
      <c r="L265" s="98"/>
      <c r="M265" s="98"/>
      <c r="N265" s="199" t="e" cm="1">
        <f t="array" ref="N265">_xlfn.IFS(K265=12,228,K265=11,209,K265=10,196,K265=9,182)</f>
        <v>#N/A</v>
      </c>
      <c r="O265" s="200">
        <f t="shared" si="9"/>
        <v>0</v>
      </c>
    </row>
    <row r="266" spans="2:15" x14ac:dyDescent="0.25">
      <c r="B266" s="98"/>
      <c r="C266" s="98"/>
      <c r="D266" s="98"/>
      <c r="E266" s="98"/>
      <c r="F266" s="98"/>
      <c r="G266" s="201"/>
      <c r="H266" s="201"/>
      <c r="I266" s="200">
        <f t="shared" si="8"/>
        <v>0</v>
      </c>
      <c r="J266" s="98"/>
      <c r="K266" s="98"/>
      <c r="L266" s="98"/>
      <c r="M266" s="98"/>
      <c r="N266" s="199" t="e" cm="1">
        <f t="array" ref="N266">_xlfn.IFS(K266=12,228,K266=11,209,K266=10,196,K266=9,182)</f>
        <v>#N/A</v>
      </c>
      <c r="O266" s="200">
        <f t="shared" si="9"/>
        <v>0</v>
      </c>
    </row>
    <row r="267" spans="2:15" x14ac:dyDescent="0.25">
      <c r="B267" s="98"/>
      <c r="C267" s="98"/>
      <c r="D267" s="98"/>
      <c r="E267" s="98"/>
      <c r="F267" s="98"/>
      <c r="G267" s="201"/>
      <c r="H267" s="201"/>
      <c r="I267" s="200">
        <f t="shared" si="8"/>
        <v>0</v>
      </c>
      <c r="J267" s="98"/>
      <c r="K267" s="98"/>
      <c r="L267" s="98"/>
      <c r="M267" s="98"/>
      <c r="N267" s="199" t="e" cm="1">
        <f t="array" ref="N267">_xlfn.IFS(K267=12,228,K267=11,209,K267=10,196,K267=9,182)</f>
        <v>#N/A</v>
      </c>
      <c r="O267" s="200">
        <f t="shared" si="9"/>
        <v>0</v>
      </c>
    </row>
    <row r="268" spans="2:15" x14ac:dyDescent="0.25">
      <c r="B268" s="98"/>
      <c r="C268" s="98"/>
      <c r="D268" s="98"/>
      <c r="E268" s="98"/>
      <c r="F268" s="98"/>
      <c r="G268" s="201"/>
      <c r="H268" s="201"/>
      <c r="I268" s="200">
        <f t="shared" si="8"/>
        <v>0</v>
      </c>
      <c r="J268" s="98"/>
      <c r="K268" s="98"/>
      <c r="L268" s="98"/>
      <c r="M268" s="98"/>
      <c r="N268" s="199" t="e" cm="1">
        <f t="array" ref="N268">_xlfn.IFS(K268=12,228,K268=11,209,K268=10,196,K268=9,182)</f>
        <v>#N/A</v>
      </c>
      <c r="O268" s="200">
        <f t="shared" si="9"/>
        <v>0</v>
      </c>
    </row>
    <row r="269" spans="2:15" x14ac:dyDescent="0.25">
      <c r="B269" s="98"/>
      <c r="C269" s="98"/>
      <c r="D269" s="98"/>
      <c r="E269" s="98"/>
      <c r="F269" s="98"/>
      <c r="G269" s="201"/>
      <c r="H269" s="201"/>
      <c r="I269" s="200">
        <f t="shared" si="8"/>
        <v>0</v>
      </c>
      <c r="J269" s="98"/>
      <c r="K269" s="98"/>
      <c r="L269" s="98"/>
      <c r="M269" s="98"/>
      <c r="N269" s="199" t="e" cm="1">
        <f t="array" ref="N269">_xlfn.IFS(K269=12,228,K269=11,209,K269=10,196,K269=9,182)</f>
        <v>#N/A</v>
      </c>
      <c r="O269" s="200">
        <f t="shared" si="9"/>
        <v>0</v>
      </c>
    </row>
    <row r="270" spans="2:15" x14ac:dyDescent="0.25">
      <c r="B270" s="98"/>
      <c r="C270" s="98"/>
      <c r="D270" s="98"/>
      <c r="E270" s="98"/>
      <c r="F270" s="98"/>
      <c r="G270" s="201"/>
      <c r="H270" s="201"/>
      <c r="I270" s="200">
        <f t="shared" si="8"/>
        <v>0</v>
      </c>
      <c r="J270" s="98"/>
      <c r="K270" s="98"/>
      <c r="L270" s="98"/>
      <c r="M270" s="98"/>
      <c r="N270" s="199" t="e" cm="1">
        <f t="array" ref="N270">_xlfn.IFS(K270=12,228,K270=11,209,K270=10,196,K270=9,182)</f>
        <v>#N/A</v>
      </c>
      <c r="O270" s="200">
        <f t="shared" si="9"/>
        <v>0</v>
      </c>
    </row>
    <row r="271" spans="2:15" x14ac:dyDescent="0.25">
      <c r="B271" s="98"/>
      <c r="C271" s="98"/>
      <c r="D271" s="98"/>
      <c r="E271" s="98"/>
      <c r="F271" s="98"/>
      <c r="G271" s="201"/>
      <c r="H271" s="201"/>
      <c r="I271" s="200">
        <f t="shared" si="8"/>
        <v>0</v>
      </c>
      <c r="J271" s="98"/>
      <c r="K271" s="98"/>
      <c r="L271" s="98"/>
      <c r="M271" s="98"/>
      <c r="N271" s="199" t="e" cm="1">
        <f t="array" ref="N271">_xlfn.IFS(K271=12,228,K271=11,209,K271=10,196,K271=9,182)</f>
        <v>#N/A</v>
      </c>
      <c r="O271" s="200">
        <f t="shared" si="9"/>
        <v>0</v>
      </c>
    </row>
    <row r="272" spans="2:15" x14ac:dyDescent="0.25">
      <c r="B272" s="98"/>
      <c r="C272" s="98"/>
      <c r="D272" s="98"/>
      <c r="E272" s="98"/>
      <c r="F272" s="98"/>
      <c r="G272" s="201"/>
      <c r="H272" s="201"/>
      <c r="I272" s="200">
        <f t="shared" si="8"/>
        <v>0</v>
      </c>
      <c r="J272" s="98"/>
      <c r="K272" s="98"/>
      <c r="L272" s="98"/>
      <c r="M272" s="98"/>
      <c r="N272" s="199" t="e" cm="1">
        <f t="array" ref="N272">_xlfn.IFS(K272=12,228,K272=11,209,K272=10,196,K272=9,182)</f>
        <v>#N/A</v>
      </c>
      <c r="O272" s="200">
        <f t="shared" si="9"/>
        <v>0</v>
      </c>
    </row>
    <row r="273" spans="2:15" x14ac:dyDescent="0.25">
      <c r="B273" s="98"/>
      <c r="C273" s="98"/>
      <c r="D273" s="98"/>
      <c r="E273" s="98"/>
      <c r="F273" s="98"/>
      <c r="G273" s="201"/>
      <c r="H273" s="201"/>
      <c r="I273" s="200">
        <f t="shared" si="8"/>
        <v>0</v>
      </c>
      <c r="J273" s="98"/>
      <c r="K273" s="98"/>
      <c r="L273" s="98"/>
      <c r="M273" s="98"/>
      <c r="N273" s="199" t="e" cm="1">
        <f t="array" ref="N273">_xlfn.IFS(K273=12,228,K273=11,209,K273=10,196,K273=9,182)</f>
        <v>#N/A</v>
      </c>
      <c r="O273" s="200">
        <f t="shared" si="9"/>
        <v>0</v>
      </c>
    </row>
    <row r="274" spans="2:15" x14ac:dyDescent="0.25">
      <c r="B274" s="98"/>
      <c r="C274" s="98"/>
      <c r="D274" s="98"/>
      <c r="E274" s="98"/>
      <c r="F274" s="98"/>
      <c r="G274" s="201"/>
      <c r="H274" s="201"/>
      <c r="I274" s="200">
        <f t="shared" si="8"/>
        <v>0</v>
      </c>
      <c r="J274" s="98"/>
      <c r="K274" s="98"/>
      <c r="L274" s="98"/>
      <c r="M274" s="98"/>
      <c r="N274" s="199" t="e" cm="1">
        <f t="array" ref="N274">_xlfn.IFS(K274=12,228,K274=11,209,K274=10,196,K274=9,182)</f>
        <v>#N/A</v>
      </c>
      <c r="O274" s="200">
        <f t="shared" si="9"/>
        <v>0</v>
      </c>
    </row>
    <row r="275" spans="2:15" x14ac:dyDescent="0.25">
      <c r="B275" s="98"/>
      <c r="C275" s="98"/>
      <c r="D275" s="98"/>
      <c r="E275" s="98"/>
      <c r="F275" s="98"/>
      <c r="G275" s="201"/>
      <c r="H275" s="201"/>
      <c r="I275" s="200">
        <f t="shared" si="8"/>
        <v>0</v>
      </c>
      <c r="J275" s="98"/>
      <c r="K275" s="98"/>
      <c r="L275" s="98"/>
      <c r="M275" s="98"/>
      <c r="N275" s="199" t="e" cm="1">
        <f t="array" ref="N275">_xlfn.IFS(K275=12,228,K275=11,209,K275=10,196,K275=9,182)</f>
        <v>#N/A</v>
      </c>
      <c r="O275" s="200">
        <f t="shared" si="9"/>
        <v>0</v>
      </c>
    </row>
    <row r="276" spans="2:15" x14ac:dyDescent="0.25">
      <c r="B276" s="98"/>
      <c r="C276" s="98"/>
      <c r="D276" s="98"/>
      <c r="E276" s="98"/>
      <c r="F276" s="98"/>
      <c r="G276" s="201"/>
      <c r="H276" s="201"/>
      <c r="I276" s="200">
        <f t="shared" si="8"/>
        <v>0</v>
      </c>
      <c r="J276" s="98"/>
      <c r="K276" s="98"/>
      <c r="L276" s="98"/>
      <c r="M276" s="98"/>
      <c r="N276" s="199" t="e" cm="1">
        <f t="array" ref="N276">_xlfn.IFS(K276=12,228,K276=11,209,K276=10,196,K276=9,182)</f>
        <v>#N/A</v>
      </c>
      <c r="O276" s="200">
        <f t="shared" si="9"/>
        <v>0</v>
      </c>
    </row>
    <row r="277" spans="2:15" x14ac:dyDescent="0.25">
      <c r="B277" s="98"/>
      <c r="C277" s="98"/>
      <c r="D277" s="98"/>
      <c r="E277" s="98"/>
      <c r="F277" s="98"/>
      <c r="G277" s="201"/>
      <c r="H277" s="201"/>
      <c r="I277" s="200">
        <f t="shared" si="8"/>
        <v>0</v>
      </c>
      <c r="J277" s="98"/>
      <c r="K277" s="98"/>
      <c r="L277" s="98"/>
      <c r="M277" s="98"/>
      <c r="N277" s="199" t="e" cm="1">
        <f t="array" ref="N277">_xlfn.IFS(K277=12,228,K277=11,209,K277=10,196,K277=9,182)</f>
        <v>#N/A</v>
      </c>
      <c r="O277" s="200">
        <f t="shared" si="9"/>
        <v>0</v>
      </c>
    </row>
    <row r="278" spans="2:15" x14ac:dyDescent="0.25">
      <c r="B278" s="98"/>
      <c r="C278" s="98"/>
      <c r="D278" s="98"/>
      <c r="E278" s="98"/>
      <c r="F278" s="98"/>
      <c r="G278" s="201"/>
      <c r="H278" s="201"/>
      <c r="I278" s="200">
        <f t="shared" si="8"/>
        <v>0</v>
      </c>
      <c r="J278" s="98"/>
      <c r="K278" s="98"/>
      <c r="L278" s="98"/>
      <c r="M278" s="98"/>
      <c r="N278" s="199" t="e" cm="1">
        <f t="array" ref="N278">_xlfn.IFS(K278=12,228,K278=11,209,K278=10,196,K278=9,182)</f>
        <v>#N/A</v>
      </c>
      <c r="O278" s="200">
        <f t="shared" si="9"/>
        <v>0</v>
      </c>
    </row>
    <row r="279" spans="2:15" x14ac:dyDescent="0.25">
      <c r="B279" s="98"/>
      <c r="C279" s="98"/>
      <c r="D279" s="98"/>
      <c r="E279" s="98"/>
      <c r="F279" s="98"/>
      <c r="G279" s="201"/>
      <c r="H279" s="201"/>
      <c r="I279" s="200">
        <f t="shared" si="8"/>
        <v>0</v>
      </c>
      <c r="J279" s="98"/>
      <c r="K279" s="98"/>
      <c r="L279" s="98"/>
      <c r="M279" s="98"/>
      <c r="N279" s="199" t="e" cm="1">
        <f t="array" ref="N279">_xlfn.IFS(K279=12,228,K279=11,209,K279=10,196,K279=9,182)</f>
        <v>#N/A</v>
      </c>
      <c r="O279" s="200">
        <f t="shared" si="9"/>
        <v>0</v>
      </c>
    </row>
    <row r="280" spans="2:15" x14ac:dyDescent="0.25">
      <c r="B280" s="98"/>
      <c r="C280" s="98"/>
      <c r="D280" s="98"/>
      <c r="E280" s="98"/>
      <c r="F280" s="98"/>
      <c r="G280" s="201"/>
      <c r="H280" s="201"/>
      <c r="I280" s="200">
        <f t="shared" si="8"/>
        <v>0</v>
      </c>
      <c r="J280" s="98"/>
      <c r="K280" s="98"/>
      <c r="L280" s="98"/>
      <c r="M280" s="98"/>
      <c r="N280" s="199" t="e" cm="1">
        <f t="array" ref="N280">_xlfn.IFS(K280=12,228,K280=11,209,K280=10,196,K280=9,182)</f>
        <v>#N/A</v>
      </c>
      <c r="O280" s="200">
        <f t="shared" si="9"/>
        <v>0</v>
      </c>
    </row>
    <row r="281" spans="2:15" x14ac:dyDescent="0.25">
      <c r="B281" s="98"/>
      <c r="C281" s="98"/>
      <c r="D281" s="98"/>
      <c r="E281" s="98"/>
      <c r="F281" s="98"/>
      <c r="G281" s="201"/>
      <c r="H281" s="201"/>
      <c r="I281" s="200">
        <f t="shared" si="8"/>
        <v>0</v>
      </c>
      <c r="J281" s="98"/>
      <c r="K281" s="98"/>
      <c r="L281" s="98"/>
      <c r="M281" s="98"/>
      <c r="N281" s="199" t="e" cm="1">
        <f t="array" ref="N281">_xlfn.IFS(K281=12,228,K281=11,209,K281=10,196,K281=9,182)</f>
        <v>#N/A</v>
      </c>
      <c r="O281" s="200">
        <f t="shared" si="9"/>
        <v>0</v>
      </c>
    </row>
    <row r="282" spans="2:15" x14ac:dyDescent="0.25">
      <c r="B282" s="98"/>
      <c r="C282" s="98"/>
      <c r="D282" s="98"/>
      <c r="E282" s="98"/>
      <c r="F282" s="98"/>
      <c r="G282" s="201"/>
      <c r="H282" s="201"/>
      <c r="I282" s="200">
        <f t="shared" si="8"/>
        <v>0</v>
      </c>
      <c r="J282" s="98"/>
      <c r="K282" s="98"/>
      <c r="L282" s="98"/>
      <c r="M282" s="98"/>
      <c r="N282" s="199" t="e" cm="1">
        <f t="array" ref="N282">_xlfn.IFS(K282=12,228,K282=11,209,K282=10,196,K282=9,182)</f>
        <v>#N/A</v>
      </c>
      <c r="O282" s="200">
        <f t="shared" si="9"/>
        <v>0</v>
      </c>
    </row>
    <row r="283" spans="2:15" x14ac:dyDescent="0.25">
      <c r="B283" s="98"/>
      <c r="C283" s="98"/>
      <c r="D283" s="98"/>
      <c r="E283" s="98"/>
      <c r="F283" s="98"/>
      <c r="G283" s="201"/>
      <c r="H283" s="201"/>
      <c r="I283" s="200">
        <f t="shared" si="8"/>
        <v>0</v>
      </c>
      <c r="J283" s="98"/>
      <c r="K283" s="98"/>
      <c r="L283" s="98"/>
      <c r="M283" s="98"/>
      <c r="N283" s="199" t="e" cm="1">
        <f t="array" ref="N283">_xlfn.IFS(K283=12,228,K283=11,209,K283=10,196,K283=9,182)</f>
        <v>#N/A</v>
      </c>
      <c r="O283" s="200">
        <f t="shared" si="9"/>
        <v>0</v>
      </c>
    </row>
    <row r="284" spans="2:15" x14ac:dyDescent="0.25">
      <c r="B284" s="98"/>
      <c r="C284" s="98"/>
      <c r="D284" s="98"/>
      <c r="E284" s="98"/>
      <c r="F284" s="98"/>
      <c r="G284" s="201"/>
      <c r="H284" s="201"/>
      <c r="I284" s="200">
        <f t="shared" si="8"/>
        <v>0</v>
      </c>
      <c r="J284" s="98"/>
      <c r="K284" s="98"/>
      <c r="L284" s="98"/>
      <c r="M284" s="98"/>
      <c r="N284" s="199" t="e" cm="1">
        <f t="array" ref="N284">_xlfn.IFS(K284=12,228,K284=11,209,K284=10,196,K284=9,182)</f>
        <v>#N/A</v>
      </c>
      <c r="O284" s="200">
        <f t="shared" si="9"/>
        <v>0</v>
      </c>
    </row>
    <row r="285" spans="2:15" x14ac:dyDescent="0.25">
      <c r="B285" s="98"/>
      <c r="C285" s="98"/>
      <c r="D285" s="98"/>
      <c r="E285" s="98"/>
      <c r="F285" s="98"/>
      <c r="G285" s="201"/>
      <c r="H285" s="201"/>
      <c r="I285" s="200">
        <f t="shared" si="8"/>
        <v>0</v>
      </c>
      <c r="J285" s="98"/>
      <c r="K285" s="98"/>
      <c r="L285" s="98"/>
      <c r="M285" s="98"/>
      <c r="N285" s="199" t="e" cm="1">
        <f t="array" ref="N285">_xlfn.IFS(K285=12,228,K285=11,209,K285=10,196,K285=9,182)</f>
        <v>#N/A</v>
      </c>
      <c r="O285" s="200">
        <f t="shared" si="9"/>
        <v>0</v>
      </c>
    </row>
    <row r="286" spans="2:15" x14ac:dyDescent="0.25">
      <c r="B286" s="98"/>
      <c r="C286" s="98"/>
      <c r="D286" s="98"/>
      <c r="E286" s="98"/>
      <c r="F286" s="98"/>
      <c r="G286" s="201"/>
      <c r="H286" s="201"/>
      <c r="I286" s="200">
        <f t="shared" si="8"/>
        <v>0</v>
      </c>
      <c r="J286" s="98"/>
      <c r="K286" s="98"/>
      <c r="L286" s="98"/>
      <c r="M286" s="98"/>
      <c r="N286" s="199" t="e" cm="1">
        <f t="array" ref="N286">_xlfn.IFS(K286=12,228,K286=11,209,K286=10,196,K286=9,182)</f>
        <v>#N/A</v>
      </c>
      <c r="O286" s="200">
        <f t="shared" si="9"/>
        <v>0</v>
      </c>
    </row>
    <row r="287" spans="2:15" x14ac:dyDescent="0.25">
      <c r="B287" s="98"/>
      <c r="C287" s="98"/>
      <c r="D287" s="98"/>
      <c r="E287" s="98"/>
      <c r="F287" s="98"/>
      <c r="G287" s="201"/>
      <c r="H287" s="201"/>
      <c r="I287" s="200">
        <f t="shared" si="8"/>
        <v>0</v>
      </c>
      <c r="J287" s="98"/>
      <c r="K287" s="98"/>
      <c r="L287" s="98"/>
      <c r="M287" s="98"/>
      <c r="N287" s="199" t="e" cm="1">
        <f t="array" ref="N287">_xlfn.IFS(K287=12,228,K287=11,209,K287=10,196,K287=9,182)</f>
        <v>#N/A</v>
      </c>
      <c r="O287" s="200">
        <f t="shared" si="9"/>
        <v>0</v>
      </c>
    </row>
    <row r="288" spans="2:15" x14ac:dyDescent="0.25">
      <c r="B288" s="98"/>
      <c r="C288" s="98"/>
      <c r="D288" s="98"/>
      <c r="E288" s="98"/>
      <c r="F288" s="98"/>
      <c r="G288" s="201"/>
      <c r="H288" s="201"/>
      <c r="I288" s="200">
        <f t="shared" si="8"/>
        <v>0</v>
      </c>
      <c r="J288" s="98"/>
      <c r="K288" s="98"/>
      <c r="L288" s="98"/>
      <c r="M288" s="98"/>
      <c r="N288" s="199" t="e" cm="1">
        <f t="array" ref="N288">_xlfn.IFS(K288=12,228,K288=11,209,K288=10,196,K288=9,182)</f>
        <v>#N/A</v>
      </c>
      <c r="O288" s="200">
        <f t="shared" si="9"/>
        <v>0</v>
      </c>
    </row>
    <row r="289" spans="2:15" x14ac:dyDescent="0.25">
      <c r="B289" s="98"/>
      <c r="C289" s="98"/>
      <c r="D289" s="98"/>
      <c r="E289" s="98"/>
      <c r="F289" s="98"/>
      <c r="G289" s="201"/>
      <c r="H289" s="201"/>
      <c r="I289" s="200">
        <f t="shared" si="8"/>
        <v>0</v>
      </c>
      <c r="J289" s="98"/>
      <c r="K289" s="98"/>
      <c r="L289" s="98"/>
      <c r="M289" s="98"/>
      <c r="N289" s="199" t="e" cm="1">
        <f t="array" ref="N289">_xlfn.IFS(K289=12,228,K289=11,209,K289=10,196,K289=9,182)</f>
        <v>#N/A</v>
      </c>
      <c r="O289" s="200">
        <f t="shared" si="9"/>
        <v>0</v>
      </c>
    </row>
    <row r="290" spans="2:15" x14ac:dyDescent="0.25">
      <c r="B290" s="98"/>
      <c r="C290" s="98"/>
      <c r="D290" s="98"/>
      <c r="E290" s="98"/>
      <c r="F290" s="98"/>
      <c r="G290" s="201"/>
      <c r="H290" s="201"/>
      <c r="I290" s="200">
        <f t="shared" si="8"/>
        <v>0</v>
      </c>
      <c r="J290" s="98"/>
      <c r="K290" s="98"/>
      <c r="L290" s="98"/>
      <c r="M290" s="98"/>
      <c r="N290" s="199" t="e" cm="1">
        <f t="array" ref="N290">_xlfn.IFS(K290=12,228,K290=11,209,K290=10,196,K290=9,182)</f>
        <v>#N/A</v>
      </c>
      <c r="O290" s="200">
        <f t="shared" si="9"/>
        <v>0</v>
      </c>
    </row>
    <row r="291" spans="2:15" x14ac:dyDescent="0.25">
      <c r="B291" s="98"/>
      <c r="C291" s="98"/>
      <c r="D291" s="98"/>
      <c r="E291" s="98"/>
      <c r="F291" s="98"/>
      <c r="G291" s="201"/>
      <c r="H291" s="201"/>
      <c r="I291" s="200">
        <f t="shared" si="8"/>
        <v>0</v>
      </c>
      <c r="J291" s="98"/>
      <c r="K291" s="98"/>
      <c r="L291" s="98"/>
      <c r="M291" s="98"/>
      <c r="N291" s="199" t="e" cm="1">
        <f t="array" ref="N291">_xlfn.IFS(K291=12,228,K291=11,209,K291=10,196,K291=9,182)</f>
        <v>#N/A</v>
      </c>
      <c r="O291" s="200">
        <f t="shared" si="9"/>
        <v>0</v>
      </c>
    </row>
    <row r="292" spans="2:15" x14ac:dyDescent="0.25">
      <c r="B292" s="98"/>
      <c r="C292" s="98"/>
      <c r="D292" s="98"/>
      <c r="E292" s="98"/>
      <c r="F292" s="98"/>
      <c r="G292" s="201"/>
      <c r="H292" s="201"/>
      <c r="I292" s="200">
        <f t="shared" si="8"/>
        <v>0</v>
      </c>
      <c r="J292" s="98"/>
      <c r="K292" s="98"/>
      <c r="L292" s="98"/>
      <c r="M292" s="98"/>
      <c r="N292" s="199" t="e" cm="1">
        <f t="array" ref="N292">_xlfn.IFS(K292=12,228,K292=11,209,K292=10,196,K292=9,182)</f>
        <v>#N/A</v>
      </c>
      <c r="O292" s="200">
        <f t="shared" si="9"/>
        <v>0</v>
      </c>
    </row>
    <row r="293" spans="2:15" x14ac:dyDescent="0.25">
      <c r="B293" s="98"/>
      <c r="C293" s="98"/>
      <c r="D293" s="98"/>
      <c r="E293" s="98"/>
      <c r="F293" s="98"/>
      <c r="G293" s="201"/>
      <c r="H293" s="201"/>
      <c r="I293" s="200">
        <f t="shared" si="8"/>
        <v>0</v>
      </c>
      <c r="J293" s="98"/>
      <c r="K293" s="98"/>
      <c r="L293" s="98"/>
      <c r="M293" s="98"/>
      <c r="N293" s="199" t="e" cm="1">
        <f t="array" ref="N293">_xlfn.IFS(K293=12,228,K293=11,209,K293=10,196,K293=9,182)</f>
        <v>#N/A</v>
      </c>
      <c r="O293" s="200">
        <f t="shared" si="9"/>
        <v>0</v>
      </c>
    </row>
    <row r="294" spans="2:15" x14ac:dyDescent="0.25">
      <c r="B294" s="98"/>
      <c r="C294" s="98"/>
      <c r="D294" s="98"/>
      <c r="E294" s="98"/>
      <c r="F294" s="98"/>
      <c r="G294" s="201"/>
      <c r="H294" s="201"/>
      <c r="I294" s="200">
        <f t="shared" si="8"/>
        <v>0</v>
      </c>
      <c r="J294" s="98"/>
      <c r="K294" s="98"/>
      <c r="L294" s="98"/>
      <c r="M294" s="98"/>
      <c r="N294" s="199" t="e" cm="1">
        <f t="array" ref="N294">_xlfn.IFS(K294=12,228,K294=11,209,K294=10,196,K294=9,182)</f>
        <v>#N/A</v>
      </c>
      <c r="O294" s="200">
        <f t="shared" si="9"/>
        <v>0</v>
      </c>
    </row>
    <row r="295" spans="2:15" x14ac:dyDescent="0.25">
      <c r="B295" s="98"/>
      <c r="C295" s="98"/>
      <c r="D295" s="98"/>
      <c r="E295" s="98"/>
      <c r="F295" s="98"/>
      <c r="G295" s="201"/>
      <c r="H295" s="201"/>
      <c r="I295" s="200">
        <f t="shared" si="8"/>
        <v>0</v>
      </c>
      <c r="J295" s="98"/>
      <c r="K295" s="98"/>
      <c r="L295" s="98"/>
      <c r="M295" s="98"/>
      <c r="N295" s="199" t="e" cm="1">
        <f t="array" ref="N295">_xlfn.IFS(K295=12,228,K295=11,209,K295=10,196,K295=9,182)</f>
        <v>#N/A</v>
      </c>
      <c r="O295" s="200">
        <f t="shared" si="9"/>
        <v>0</v>
      </c>
    </row>
    <row r="296" spans="2:15" x14ac:dyDescent="0.25">
      <c r="B296" s="98"/>
      <c r="C296" s="98"/>
      <c r="D296" s="98"/>
      <c r="E296" s="98"/>
      <c r="F296" s="98"/>
      <c r="G296" s="201"/>
      <c r="H296" s="201"/>
      <c r="I296" s="200">
        <f t="shared" si="8"/>
        <v>0</v>
      </c>
      <c r="J296" s="98"/>
      <c r="K296" s="98"/>
      <c r="L296" s="98"/>
      <c r="M296" s="98"/>
      <c r="N296" s="199" t="e" cm="1">
        <f t="array" ref="N296">_xlfn.IFS(K296=12,228,K296=11,209,K296=10,196,K296=9,182)</f>
        <v>#N/A</v>
      </c>
      <c r="O296" s="200">
        <f t="shared" si="9"/>
        <v>0</v>
      </c>
    </row>
    <row r="297" spans="2:15" x14ac:dyDescent="0.25">
      <c r="B297" s="98"/>
      <c r="C297" s="98"/>
      <c r="D297" s="98"/>
      <c r="E297" s="98"/>
      <c r="F297" s="98"/>
      <c r="G297" s="201"/>
      <c r="H297" s="201"/>
      <c r="I297" s="200">
        <f t="shared" si="8"/>
        <v>0</v>
      </c>
      <c r="J297" s="98"/>
      <c r="K297" s="98"/>
      <c r="L297" s="98"/>
      <c r="M297" s="98"/>
      <c r="N297" s="199" t="e" cm="1">
        <f t="array" ref="N297">_xlfn.IFS(K297=12,228,K297=11,209,K297=10,196,K297=9,182)</f>
        <v>#N/A</v>
      </c>
      <c r="O297" s="200">
        <f t="shared" si="9"/>
        <v>0</v>
      </c>
    </row>
    <row r="298" spans="2:15" x14ac:dyDescent="0.25">
      <c r="B298" s="98"/>
      <c r="C298" s="98"/>
      <c r="D298" s="98"/>
      <c r="E298" s="98"/>
      <c r="F298" s="98"/>
      <c r="G298" s="201"/>
      <c r="H298" s="201"/>
      <c r="I298" s="200">
        <f t="shared" si="8"/>
        <v>0</v>
      </c>
      <c r="J298" s="98"/>
      <c r="K298" s="98"/>
      <c r="L298" s="98"/>
      <c r="M298" s="98"/>
      <c r="N298" s="199" t="e" cm="1">
        <f t="array" ref="N298">_xlfn.IFS(K298=12,228,K298=11,209,K298=10,196,K298=9,182)</f>
        <v>#N/A</v>
      </c>
      <c r="O298" s="200">
        <f t="shared" si="9"/>
        <v>0</v>
      </c>
    </row>
    <row r="299" spans="2:15" x14ac:dyDescent="0.25">
      <c r="B299" s="98"/>
      <c r="C299" s="98"/>
      <c r="D299" s="98"/>
      <c r="E299" s="98"/>
      <c r="F299" s="98"/>
      <c r="G299" s="201"/>
      <c r="H299" s="201"/>
      <c r="I299" s="200">
        <f t="shared" si="8"/>
        <v>0</v>
      </c>
      <c r="J299" s="98"/>
      <c r="K299" s="98"/>
      <c r="L299" s="98"/>
      <c r="M299" s="98"/>
      <c r="N299" s="199" t="e" cm="1">
        <f t="array" ref="N299">_xlfn.IFS(K299=12,228,K299=11,209,K299=10,196,K299=9,182)</f>
        <v>#N/A</v>
      </c>
      <c r="O299" s="200">
        <f t="shared" si="9"/>
        <v>0</v>
      </c>
    </row>
    <row r="300" spans="2:15" ht="15.75" thickBot="1" x14ac:dyDescent="0.3">
      <c r="B300" s="98"/>
      <c r="C300" s="98"/>
      <c r="D300" s="98"/>
      <c r="E300" s="98"/>
      <c r="F300" s="98"/>
      <c r="G300" s="201"/>
      <c r="H300" s="201"/>
      <c r="I300" s="200">
        <f t="shared" si="8"/>
        <v>0</v>
      </c>
      <c r="J300" s="98"/>
      <c r="K300" s="98"/>
      <c r="L300" s="98"/>
      <c r="M300" s="98"/>
      <c r="N300" s="199" t="e" cm="1">
        <f t="array" ref="N300">_xlfn.IFS(K300=12,228,K300=11,209,K300=10,196,K300=9,182)</f>
        <v>#N/A</v>
      </c>
      <c r="O300" s="198">
        <f t="shared" si="9"/>
        <v>0</v>
      </c>
    </row>
    <row r="301" spans="2:15" ht="15.75" thickBot="1" x14ac:dyDescent="0.3">
      <c r="O301" s="197">
        <f>SUM(O6:O300)</f>
        <v>4776123</v>
      </c>
    </row>
  </sheetData>
  <conditionalFormatting sqref="B6:O300">
    <cfRule type="expression" dxfId="0" priority="1">
      <formula>MOD(ROW(),2)=0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1641-E326-4A92-95E3-F1CB9C4B2C21}">
  <dimension ref="A1:W97"/>
  <sheetViews>
    <sheetView zoomScale="75" zoomScaleNormal="75" workbookViewId="0">
      <selection activeCell="F25" sqref="F25"/>
    </sheetView>
  </sheetViews>
  <sheetFormatPr defaultRowHeight="15" x14ac:dyDescent="0.25"/>
  <cols>
    <col min="4" max="4" width="9.42578125" bestFit="1" customWidth="1"/>
    <col min="5" max="5" width="12.85546875" bestFit="1" customWidth="1"/>
    <col min="20" max="20" width="11.7109375" bestFit="1" customWidth="1"/>
    <col min="21" max="21" width="14.7109375" bestFit="1" customWidth="1"/>
    <col min="22" max="23" width="12.28515625" bestFit="1" customWidth="1"/>
  </cols>
  <sheetData>
    <row r="1" spans="1:21" x14ac:dyDescent="0.25">
      <c r="A1" s="142" t="s">
        <v>531</v>
      </c>
      <c r="B1" s="142" t="s">
        <v>532</v>
      </c>
      <c r="C1" s="142" t="s">
        <v>533</v>
      </c>
      <c r="D1" s="142" t="s">
        <v>534</v>
      </c>
      <c r="E1" s="142" t="s">
        <v>535</v>
      </c>
      <c r="F1" s="142" t="s">
        <v>536</v>
      </c>
      <c r="G1" s="142" t="s">
        <v>537</v>
      </c>
      <c r="H1" s="142" t="s">
        <v>538</v>
      </c>
      <c r="I1" s="142" t="s">
        <v>539</v>
      </c>
      <c r="J1" s="142" t="s">
        <v>540</v>
      </c>
      <c r="K1" s="142" t="s">
        <v>541</v>
      </c>
      <c r="L1" s="142" t="s">
        <v>542</v>
      </c>
      <c r="M1" s="142" t="s">
        <v>543</v>
      </c>
      <c r="N1" s="142" t="s">
        <v>544</v>
      </c>
      <c r="O1" s="142" t="s">
        <v>545</v>
      </c>
      <c r="P1" s="142" t="s">
        <v>546</v>
      </c>
      <c r="Q1" s="142" t="s">
        <v>547</v>
      </c>
    </row>
    <row r="2" spans="1:21" x14ac:dyDescent="0.25">
      <c r="A2" s="143" t="s">
        <v>548</v>
      </c>
      <c r="B2" s="143" t="s">
        <v>549</v>
      </c>
      <c r="C2" s="143" t="s">
        <v>550</v>
      </c>
      <c r="D2" s="144">
        <v>1220.6400000000001</v>
      </c>
      <c r="E2" s="144">
        <v>78.239999999999995</v>
      </c>
      <c r="F2" s="143" t="s">
        <v>551</v>
      </c>
      <c r="G2" s="143" t="s">
        <v>552</v>
      </c>
      <c r="H2" s="143" t="s">
        <v>553</v>
      </c>
      <c r="I2" s="143" t="s">
        <v>554</v>
      </c>
      <c r="J2" s="143" t="s">
        <v>555</v>
      </c>
      <c r="K2" s="143" t="s">
        <v>556</v>
      </c>
      <c r="L2" s="143" t="s">
        <v>557</v>
      </c>
      <c r="M2" s="143" t="s">
        <v>557</v>
      </c>
      <c r="N2" s="143" t="s">
        <v>558</v>
      </c>
      <c r="O2" s="143" t="s">
        <v>559</v>
      </c>
      <c r="P2" s="143" t="s">
        <v>560</v>
      </c>
      <c r="Q2" s="145" t="s">
        <v>561</v>
      </c>
    </row>
    <row r="3" spans="1:21" x14ac:dyDescent="0.25">
      <c r="A3" s="143" t="s">
        <v>562</v>
      </c>
      <c r="B3" s="143" t="s">
        <v>549</v>
      </c>
      <c r="C3" s="143" t="s">
        <v>550</v>
      </c>
      <c r="D3" s="144">
        <v>609.12</v>
      </c>
      <c r="E3" s="144">
        <v>124.92</v>
      </c>
      <c r="F3" s="143" t="s">
        <v>551</v>
      </c>
      <c r="G3" s="143" t="s">
        <v>552</v>
      </c>
      <c r="H3" s="143" t="s">
        <v>553</v>
      </c>
      <c r="I3" s="143" t="s">
        <v>563</v>
      </c>
      <c r="J3" s="143" t="s">
        <v>564</v>
      </c>
      <c r="K3" s="143" t="s">
        <v>565</v>
      </c>
      <c r="L3" s="143" t="s">
        <v>557</v>
      </c>
      <c r="M3" s="143" t="s">
        <v>557</v>
      </c>
      <c r="N3" s="143" t="s">
        <v>558</v>
      </c>
      <c r="O3" s="143" t="s">
        <v>559</v>
      </c>
      <c r="P3" s="143" t="s">
        <v>566</v>
      </c>
      <c r="Q3" s="145" t="s">
        <v>561</v>
      </c>
      <c r="T3" s="143" t="s">
        <v>549</v>
      </c>
      <c r="U3">
        <f>SUMIF($B$2:$B$95,T3,$E$2:$E$95)</f>
        <v>3211.08</v>
      </c>
    </row>
    <row r="4" spans="1:21" x14ac:dyDescent="0.25">
      <c r="A4" s="143" t="s">
        <v>548</v>
      </c>
      <c r="B4" s="143" t="s">
        <v>549</v>
      </c>
      <c r="C4" s="143" t="s">
        <v>550</v>
      </c>
      <c r="D4" s="144">
        <v>1220.6400000000001</v>
      </c>
      <c r="E4" s="144">
        <v>78.239999999999995</v>
      </c>
      <c r="F4" s="143" t="s">
        <v>551</v>
      </c>
      <c r="G4" s="143" t="s">
        <v>552</v>
      </c>
      <c r="H4" s="143" t="s">
        <v>553</v>
      </c>
      <c r="I4" s="143" t="s">
        <v>567</v>
      </c>
      <c r="J4" s="143" t="s">
        <v>568</v>
      </c>
      <c r="K4" s="143" t="s">
        <v>569</v>
      </c>
      <c r="L4" s="143" t="s">
        <v>557</v>
      </c>
      <c r="M4" s="143" t="s">
        <v>557</v>
      </c>
      <c r="N4" s="143" t="s">
        <v>558</v>
      </c>
      <c r="O4" s="143" t="s">
        <v>559</v>
      </c>
      <c r="P4" s="143" t="s">
        <v>570</v>
      </c>
      <c r="Q4" s="145" t="s">
        <v>561</v>
      </c>
      <c r="T4" s="143" t="s">
        <v>571</v>
      </c>
      <c r="U4">
        <f>SUMIF($B$2:$B$95,T4,$E$2:$E$95)</f>
        <v>988.68000000000006</v>
      </c>
    </row>
    <row r="5" spans="1:21" x14ac:dyDescent="0.25">
      <c r="A5" s="143" t="s">
        <v>548</v>
      </c>
      <c r="B5" s="143" t="s">
        <v>549</v>
      </c>
      <c r="C5" s="143" t="s">
        <v>550</v>
      </c>
      <c r="D5" s="144">
        <v>1220.6400000000001</v>
      </c>
      <c r="E5" s="144">
        <v>78.239999999999995</v>
      </c>
      <c r="F5" s="143" t="s">
        <v>551</v>
      </c>
      <c r="G5" s="143" t="s">
        <v>552</v>
      </c>
      <c r="H5" s="143" t="s">
        <v>553</v>
      </c>
      <c r="I5" s="143" t="s">
        <v>572</v>
      </c>
      <c r="J5" s="143" t="s">
        <v>573</v>
      </c>
      <c r="K5" s="143" t="s">
        <v>574</v>
      </c>
      <c r="L5" s="143" t="s">
        <v>557</v>
      </c>
      <c r="M5" s="143" t="s">
        <v>557</v>
      </c>
      <c r="N5" s="143" t="s">
        <v>558</v>
      </c>
      <c r="O5" s="143" t="s">
        <v>559</v>
      </c>
      <c r="P5" s="143" t="s">
        <v>570</v>
      </c>
      <c r="Q5" s="145" t="s">
        <v>561</v>
      </c>
    </row>
    <row r="6" spans="1:21" x14ac:dyDescent="0.25">
      <c r="A6" s="143" t="s">
        <v>548</v>
      </c>
      <c r="B6" s="143" t="s">
        <v>549</v>
      </c>
      <c r="C6" s="143" t="s">
        <v>550</v>
      </c>
      <c r="D6" s="144">
        <v>1220.6400000000001</v>
      </c>
      <c r="E6" s="144">
        <v>78.239999999999995</v>
      </c>
      <c r="F6" s="143" t="s">
        <v>551</v>
      </c>
      <c r="G6" s="143" t="s">
        <v>552</v>
      </c>
      <c r="H6" s="143" t="s">
        <v>553</v>
      </c>
      <c r="I6" s="143" t="s">
        <v>575</v>
      </c>
      <c r="J6" s="143" t="s">
        <v>576</v>
      </c>
      <c r="K6" s="143" t="s">
        <v>577</v>
      </c>
      <c r="L6" s="143" t="s">
        <v>557</v>
      </c>
      <c r="M6" s="143" t="s">
        <v>557</v>
      </c>
      <c r="N6" s="143" t="s">
        <v>558</v>
      </c>
      <c r="O6" s="143" t="s">
        <v>559</v>
      </c>
      <c r="P6" s="143" t="s">
        <v>560</v>
      </c>
      <c r="Q6" s="145" t="s">
        <v>561</v>
      </c>
      <c r="T6" s="143" t="s">
        <v>578</v>
      </c>
      <c r="U6">
        <f>SUMIF($B$2:$B$95,T6,$E$2:$E$95)</f>
        <v>111147.84</v>
      </c>
    </row>
    <row r="7" spans="1:21" x14ac:dyDescent="0.25">
      <c r="A7" s="143" t="s">
        <v>579</v>
      </c>
      <c r="B7" s="143" t="s">
        <v>549</v>
      </c>
      <c r="C7" s="143" t="s">
        <v>550</v>
      </c>
      <c r="D7" s="144">
        <v>201.6</v>
      </c>
      <c r="E7" s="144">
        <v>165.48</v>
      </c>
      <c r="F7" s="143" t="s">
        <v>551</v>
      </c>
      <c r="G7" s="143" t="s">
        <v>552</v>
      </c>
      <c r="H7" s="143" t="s">
        <v>553</v>
      </c>
      <c r="I7" s="143" t="s">
        <v>580</v>
      </c>
      <c r="J7" s="143" t="s">
        <v>581</v>
      </c>
      <c r="K7" s="143" t="s">
        <v>582</v>
      </c>
      <c r="L7" s="143" t="s">
        <v>557</v>
      </c>
      <c r="M7" s="143" t="s">
        <v>557</v>
      </c>
      <c r="N7" s="143" t="s">
        <v>558</v>
      </c>
      <c r="O7" s="143" t="s">
        <v>559</v>
      </c>
      <c r="P7" s="143" t="s">
        <v>566</v>
      </c>
      <c r="Q7" s="145" t="s">
        <v>561</v>
      </c>
      <c r="T7" s="143" t="s">
        <v>583</v>
      </c>
      <c r="U7">
        <f t="shared" ref="U7:U13" si="0">SUMIF($B$2:$B$95,T7,$E$2:$E$95)</f>
        <v>33298.32</v>
      </c>
    </row>
    <row r="8" spans="1:21" x14ac:dyDescent="0.25">
      <c r="A8" s="143" t="s">
        <v>579</v>
      </c>
      <c r="B8" s="143" t="s">
        <v>549</v>
      </c>
      <c r="C8" s="143" t="s">
        <v>550</v>
      </c>
      <c r="D8" s="144">
        <v>201.6</v>
      </c>
      <c r="E8" s="144">
        <v>165.48</v>
      </c>
      <c r="F8" s="143" t="s">
        <v>551</v>
      </c>
      <c r="G8" s="143" t="s">
        <v>552</v>
      </c>
      <c r="H8" s="143" t="s">
        <v>553</v>
      </c>
      <c r="I8" s="143" t="s">
        <v>584</v>
      </c>
      <c r="J8" s="143" t="s">
        <v>585</v>
      </c>
      <c r="K8" s="143" t="s">
        <v>586</v>
      </c>
      <c r="L8" s="143" t="s">
        <v>557</v>
      </c>
      <c r="M8" s="143" t="s">
        <v>557</v>
      </c>
      <c r="N8" s="143" t="s">
        <v>558</v>
      </c>
      <c r="O8" s="143" t="s">
        <v>559</v>
      </c>
      <c r="P8" s="143" t="s">
        <v>560</v>
      </c>
      <c r="Q8" s="145" t="s">
        <v>561</v>
      </c>
      <c r="T8" s="143" t="s">
        <v>587</v>
      </c>
      <c r="U8">
        <f t="shared" si="0"/>
        <v>27306.48</v>
      </c>
    </row>
    <row r="9" spans="1:21" x14ac:dyDescent="0.25">
      <c r="A9" s="143" t="s">
        <v>579</v>
      </c>
      <c r="B9" s="143" t="s">
        <v>549</v>
      </c>
      <c r="C9" s="143" t="s">
        <v>550</v>
      </c>
      <c r="D9" s="144">
        <v>201.6</v>
      </c>
      <c r="E9" s="144">
        <v>165.48</v>
      </c>
      <c r="F9" s="143" t="s">
        <v>551</v>
      </c>
      <c r="G9" s="143" t="s">
        <v>552</v>
      </c>
      <c r="H9" s="143" t="s">
        <v>553</v>
      </c>
      <c r="I9" s="143" t="s">
        <v>588</v>
      </c>
      <c r="J9" s="143" t="s">
        <v>589</v>
      </c>
      <c r="K9" s="143" t="s">
        <v>590</v>
      </c>
      <c r="L9" s="143" t="s">
        <v>557</v>
      </c>
      <c r="M9" s="143" t="s">
        <v>557</v>
      </c>
      <c r="N9" s="143" t="s">
        <v>558</v>
      </c>
      <c r="O9" s="143" t="s">
        <v>559</v>
      </c>
      <c r="P9" s="143" t="s">
        <v>570</v>
      </c>
      <c r="Q9" s="145" t="s">
        <v>561</v>
      </c>
      <c r="T9" s="143" t="s">
        <v>591</v>
      </c>
      <c r="U9">
        <f t="shared" si="0"/>
        <v>3032.04</v>
      </c>
    </row>
    <row r="10" spans="1:21" x14ac:dyDescent="0.25">
      <c r="A10" s="143" t="s">
        <v>579</v>
      </c>
      <c r="B10" s="143" t="s">
        <v>549</v>
      </c>
      <c r="C10" s="143" t="s">
        <v>550</v>
      </c>
      <c r="D10" s="144">
        <v>201.6</v>
      </c>
      <c r="E10" s="144">
        <v>165.48</v>
      </c>
      <c r="F10" s="143" t="s">
        <v>551</v>
      </c>
      <c r="G10" s="143" t="s">
        <v>552</v>
      </c>
      <c r="H10" s="143" t="s">
        <v>553</v>
      </c>
      <c r="I10" s="143" t="s">
        <v>592</v>
      </c>
      <c r="J10" s="143" t="s">
        <v>593</v>
      </c>
      <c r="K10" s="143" t="s">
        <v>594</v>
      </c>
      <c r="L10" s="143" t="s">
        <v>557</v>
      </c>
      <c r="M10" s="143" t="s">
        <v>557</v>
      </c>
      <c r="N10" s="143" t="s">
        <v>558</v>
      </c>
      <c r="O10" s="143" t="s">
        <v>559</v>
      </c>
      <c r="P10" s="143" t="s">
        <v>566</v>
      </c>
      <c r="Q10" s="145" t="s">
        <v>561</v>
      </c>
      <c r="T10" s="143" t="s">
        <v>595</v>
      </c>
      <c r="U10">
        <f t="shared" si="0"/>
        <v>3010.17</v>
      </c>
    </row>
    <row r="11" spans="1:21" x14ac:dyDescent="0.25">
      <c r="A11" s="143" t="s">
        <v>579</v>
      </c>
      <c r="B11" s="143" t="s">
        <v>549</v>
      </c>
      <c r="C11" s="143" t="s">
        <v>550</v>
      </c>
      <c r="D11" s="144">
        <v>201.6</v>
      </c>
      <c r="E11" s="144">
        <v>165.48</v>
      </c>
      <c r="F11" s="143" t="s">
        <v>551</v>
      </c>
      <c r="G11" s="143" t="s">
        <v>552</v>
      </c>
      <c r="H11" s="143" t="s">
        <v>553</v>
      </c>
      <c r="I11" s="143" t="s">
        <v>596</v>
      </c>
      <c r="J11" s="143" t="s">
        <v>597</v>
      </c>
      <c r="K11" s="143" t="s">
        <v>598</v>
      </c>
      <c r="L11" s="143" t="s">
        <v>557</v>
      </c>
      <c r="M11" s="143" t="s">
        <v>557</v>
      </c>
      <c r="N11" s="143" t="s">
        <v>558</v>
      </c>
      <c r="O11" s="143" t="s">
        <v>559</v>
      </c>
      <c r="P11" s="143" t="s">
        <v>560</v>
      </c>
      <c r="Q11" s="145" t="s">
        <v>561</v>
      </c>
    </row>
    <row r="12" spans="1:21" x14ac:dyDescent="0.25">
      <c r="A12" s="143" t="s">
        <v>599</v>
      </c>
      <c r="B12" s="143" t="s">
        <v>549</v>
      </c>
      <c r="C12" s="143" t="s">
        <v>550</v>
      </c>
      <c r="D12" s="144">
        <v>749.64</v>
      </c>
      <c r="E12" s="144">
        <v>115.56</v>
      </c>
      <c r="F12" s="143" t="s">
        <v>551</v>
      </c>
      <c r="G12" s="143" t="s">
        <v>552</v>
      </c>
      <c r="H12" s="143" t="s">
        <v>553</v>
      </c>
      <c r="I12" s="143" t="s">
        <v>600</v>
      </c>
      <c r="J12" s="143" t="s">
        <v>601</v>
      </c>
      <c r="K12" s="143" t="s">
        <v>602</v>
      </c>
      <c r="L12" s="143" t="s">
        <v>557</v>
      </c>
      <c r="M12" s="143" t="s">
        <v>557</v>
      </c>
      <c r="N12" s="143" t="s">
        <v>558</v>
      </c>
      <c r="O12" s="143" t="s">
        <v>559</v>
      </c>
      <c r="P12" s="143" t="s">
        <v>566</v>
      </c>
      <c r="Q12" s="145" t="s">
        <v>561</v>
      </c>
      <c r="T12" s="143" t="s">
        <v>603</v>
      </c>
      <c r="U12">
        <f t="shared" si="0"/>
        <v>1541.2799999999995</v>
      </c>
    </row>
    <row r="13" spans="1:21" x14ac:dyDescent="0.25">
      <c r="A13" s="143" t="s">
        <v>562</v>
      </c>
      <c r="B13" s="143" t="s">
        <v>549</v>
      </c>
      <c r="C13" s="143" t="s">
        <v>550</v>
      </c>
      <c r="D13" s="144">
        <v>609.12</v>
      </c>
      <c r="E13" s="144">
        <v>124.92</v>
      </c>
      <c r="F13" s="143" t="s">
        <v>551</v>
      </c>
      <c r="G13" s="143" t="s">
        <v>552</v>
      </c>
      <c r="H13" s="143" t="s">
        <v>553</v>
      </c>
      <c r="I13" s="143" t="s">
        <v>604</v>
      </c>
      <c r="J13" s="143" t="s">
        <v>605</v>
      </c>
      <c r="K13" s="143" t="s">
        <v>606</v>
      </c>
      <c r="L13" s="143" t="s">
        <v>557</v>
      </c>
      <c r="M13" s="143" t="s">
        <v>557</v>
      </c>
      <c r="N13" s="143" t="s">
        <v>558</v>
      </c>
      <c r="O13" s="143" t="s">
        <v>559</v>
      </c>
      <c r="P13" s="143" t="s">
        <v>607</v>
      </c>
      <c r="Q13" s="145" t="s">
        <v>561</v>
      </c>
      <c r="T13" s="143" t="s">
        <v>608</v>
      </c>
      <c r="U13">
        <f t="shared" si="0"/>
        <v>0</v>
      </c>
    </row>
    <row r="14" spans="1:21" x14ac:dyDescent="0.25">
      <c r="A14" s="143" t="s">
        <v>548</v>
      </c>
      <c r="B14" s="143" t="s">
        <v>549</v>
      </c>
      <c r="C14" s="143" t="s">
        <v>550</v>
      </c>
      <c r="D14" s="144">
        <v>1220.6400000000001</v>
      </c>
      <c r="E14" s="144">
        <v>78.239999999999995</v>
      </c>
      <c r="F14" s="143" t="s">
        <v>551</v>
      </c>
      <c r="G14" s="143" t="s">
        <v>552</v>
      </c>
      <c r="H14" s="143" t="s">
        <v>553</v>
      </c>
      <c r="I14" s="143" t="s">
        <v>609</v>
      </c>
      <c r="J14" s="143" t="s">
        <v>610</v>
      </c>
      <c r="K14" s="143" t="s">
        <v>611</v>
      </c>
      <c r="L14" s="143" t="s">
        <v>557</v>
      </c>
      <c r="M14" s="143" t="s">
        <v>557</v>
      </c>
      <c r="N14" s="143" t="s">
        <v>558</v>
      </c>
      <c r="O14" s="143" t="s">
        <v>559</v>
      </c>
      <c r="P14" s="143" t="s">
        <v>2</v>
      </c>
      <c r="Q14" s="145" t="s">
        <v>561</v>
      </c>
    </row>
    <row r="15" spans="1:21" x14ac:dyDescent="0.25">
      <c r="A15" s="143" t="s">
        <v>562</v>
      </c>
      <c r="B15" s="143" t="s">
        <v>549</v>
      </c>
      <c r="C15" s="143" t="s">
        <v>550</v>
      </c>
      <c r="D15" s="144">
        <v>609.12</v>
      </c>
      <c r="E15" s="144">
        <v>124.92</v>
      </c>
      <c r="F15" s="143" t="s">
        <v>551</v>
      </c>
      <c r="G15" s="143" t="s">
        <v>552</v>
      </c>
      <c r="H15" s="143" t="s">
        <v>553</v>
      </c>
      <c r="I15" s="143" t="s">
        <v>612</v>
      </c>
      <c r="J15" s="143" t="s">
        <v>613</v>
      </c>
      <c r="K15" s="143" t="s">
        <v>614</v>
      </c>
      <c r="L15" s="143" t="s">
        <v>557</v>
      </c>
      <c r="M15" s="143" t="s">
        <v>557</v>
      </c>
      <c r="N15" s="143" t="s">
        <v>558</v>
      </c>
      <c r="O15" s="143" t="s">
        <v>559</v>
      </c>
      <c r="P15" s="143" t="s">
        <v>566</v>
      </c>
      <c r="Q15" s="145" t="s">
        <v>561</v>
      </c>
    </row>
    <row r="16" spans="1:21" x14ac:dyDescent="0.25">
      <c r="A16" s="143" t="s">
        <v>548</v>
      </c>
      <c r="B16" s="143" t="s">
        <v>549</v>
      </c>
      <c r="C16" s="143" t="s">
        <v>550</v>
      </c>
      <c r="D16" s="144">
        <v>1220.6400000000001</v>
      </c>
      <c r="E16" s="144">
        <v>78.239999999999995</v>
      </c>
      <c r="F16" s="143" t="s">
        <v>551</v>
      </c>
      <c r="G16" s="143" t="s">
        <v>552</v>
      </c>
      <c r="H16" s="143" t="s">
        <v>553</v>
      </c>
      <c r="I16" s="143" t="s">
        <v>615</v>
      </c>
      <c r="J16" s="143" t="s">
        <v>616</v>
      </c>
      <c r="K16" s="143" t="s">
        <v>617</v>
      </c>
      <c r="L16" s="143" t="s">
        <v>557</v>
      </c>
      <c r="M16" s="143" t="s">
        <v>557</v>
      </c>
      <c r="N16" s="143" t="s">
        <v>558</v>
      </c>
      <c r="O16" s="143" t="s">
        <v>559</v>
      </c>
      <c r="P16" s="143" t="s">
        <v>560</v>
      </c>
      <c r="Q16" s="145" t="s">
        <v>561</v>
      </c>
      <c r="T16" s="143" t="s">
        <v>549</v>
      </c>
      <c r="U16">
        <f>COUNTIF($B$2:$B$95,T16)</f>
        <v>25</v>
      </c>
    </row>
    <row r="17" spans="1:23" x14ac:dyDescent="0.25">
      <c r="A17" s="143" t="s">
        <v>579</v>
      </c>
      <c r="B17" s="143" t="s">
        <v>549</v>
      </c>
      <c r="C17" s="143" t="s">
        <v>550</v>
      </c>
      <c r="D17" s="144">
        <v>201.6</v>
      </c>
      <c r="E17" s="144">
        <v>165.48</v>
      </c>
      <c r="F17" s="143" t="s">
        <v>551</v>
      </c>
      <c r="G17" s="143" t="s">
        <v>552</v>
      </c>
      <c r="H17" s="143" t="s">
        <v>553</v>
      </c>
      <c r="I17" s="143" t="s">
        <v>618</v>
      </c>
      <c r="J17" s="143" t="s">
        <v>619</v>
      </c>
      <c r="K17" s="143" t="s">
        <v>620</v>
      </c>
      <c r="L17" s="143" t="s">
        <v>557</v>
      </c>
      <c r="M17" s="143" t="s">
        <v>557</v>
      </c>
      <c r="N17" s="143" t="s">
        <v>558</v>
      </c>
      <c r="O17" s="143" t="s">
        <v>559</v>
      </c>
      <c r="P17" s="143" t="s">
        <v>566</v>
      </c>
      <c r="Q17" s="145" t="s">
        <v>561</v>
      </c>
      <c r="T17" s="143" t="s">
        <v>571</v>
      </c>
      <c r="U17">
        <f>COUNTIF($B$2:$B$95,T17)</f>
        <v>7</v>
      </c>
    </row>
    <row r="18" spans="1:23" x14ac:dyDescent="0.25">
      <c r="A18" s="143" t="s">
        <v>579</v>
      </c>
      <c r="B18" s="143" t="s">
        <v>549</v>
      </c>
      <c r="C18" s="143" t="s">
        <v>550</v>
      </c>
      <c r="D18" s="144">
        <v>201.6</v>
      </c>
      <c r="E18" s="144">
        <v>165.48</v>
      </c>
      <c r="F18" s="143" t="s">
        <v>551</v>
      </c>
      <c r="G18" s="143" t="s">
        <v>552</v>
      </c>
      <c r="H18" s="143" t="s">
        <v>553</v>
      </c>
      <c r="I18" s="143" t="s">
        <v>621</v>
      </c>
      <c r="J18" s="143" t="s">
        <v>622</v>
      </c>
      <c r="K18" s="143" t="s">
        <v>623</v>
      </c>
      <c r="L18" s="143" t="s">
        <v>557</v>
      </c>
      <c r="M18" s="143" t="s">
        <v>557</v>
      </c>
      <c r="N18" s="143" t="s">
        <v>558</v>
      </c>
      <c r="O18" s="143" t="s">
        <v>559</v>
      </c>
      <c r="P18" s="143" t="s">
        <v>566</v>
      </c>
      <c r="Q18" s="145" t="s">
        <v>561</v>
      </c>
    </row>
    <row r="19" spans="1:23" x14ac:dyDescent="0.25">
      <c r="A19" s="143" t="s">
        <v>562</v>
      </c>
      <c r="B19" s="143" t="s">
        <v>549</v>
      </c>
      <c r="C19" s="143" t="s">
        <v>550</v>
      </c>
      <c r="D19" s="144">
        <v>609.12</v>
      </c>
      <c r="E19" s="144">
        <v>124.92</v>
      </c>
      <c r="F19" s="143" t="s">
        <v>551</v>
      </c>
      <c r="G19" s="143" t="s">
        <v>552</v>
      </c>
      <c r="H19" s="143" t="s">
        <v>553</v>
      </c>
      <c r="I19" s="143" t="s">
        <v>624</v>
      </c>
      <c r="J19" s="143" t="s">
        <v>622</v>
      </c>
      <c r="K19" s="143" t="s">
        <v>625</v>
      </c>
      <c r="L19" s="143" t="s">
        <v>557</v>
      </c>
      <c r="M19" s="143" t="s">
        <v>557</v>
      </c>
      <c r="N19" s="143" t="s">
        <v>558</v>
      </c>
      <c r="O19" s="143" t="s">
        <v>559</v>
      </c>
      <c r="P19" s="143" t="s">
        <v>566</v>
      </c>
      <c r="Q19" s="145" t="s">
        <v>561</v>
      </c>
      <c r="T19" s="143" t="s">
        <v>578</v>
      </c>
      <c r="U19">
        <f>COUNTIF($B$2:$B$95,T19)</f>
        <v>17</v>
      </c>
    </row>
    <row r="20" spans="1:23" x14ac:dyDescent="0.25">
      <c r="A20" s="143" t="s">
        <v>599</v>
      </c>
      <c r="B20" s="143" t="s">
        <v>549</v>
      </c>
      <c r="C20" s="143" t="s">
        <v>550</v>
      </c>
      <c r="D20" s="144">
        <v>749.64</v>
      </c>
      <c r="E20" s="144">
        <v>115.56</v>
      </c>
      <c r="F20" s="143" t="s">
        <v>551</v>
      </c>
      <c r="G20" s="143" t="s">
        <v>552</v>
      </c>
      <c r="H20" s="143" t="s">
        <v>553</v>
      </c>
      <c r="I20" s="143" t="s">
        <v>626</v>
      </c>
      <c r="J20" s="143" t="s">
        <v>627</v>
      </c>
      <c r="K20" s="143" t="s">
        <v>628</v>
      </c>
      <c r="L20" s="143" t="s">
        <v>557</v>
      </c>
      <c r="M20" s="143" t="s">
        <v>557</v>
      </c>
      <c r="N20" s="143" t="s">
        <v>558</v>
      </c>
      <c r="O20" s="143" t="s">
        <v>559</v>
      </c>
      <c r="P20" s="143" t="s">
        <v>566</v>
      </c>
      <c r="Q20" s="145" t="s">
        <v>561</v>
      </c>
      <c r="T20" s="143" t="s">
        <v>583</v>
      </c>
      <c r="U20">
        <f t="shared" ref="U20:U23" si="1">COUNTIF($B$2:$B$95,T20)</f>
        <v>5</v>
      </c>
    </row>
    <row r="21" spans="1:23" x14ac:dyDescent="0.25">
      <c r="A21" s="143" t="s">
        <v>599</v>
      </c>
      <c r="B21" s="143" t="s">
        <v>549</v>
      </c>
      <c r="C21" s="143" t="s">
        <v>550</v>
      </c>
      <c r="D21" s="144">
        <v>749.64</v>
      </c>
      <c r="E21" s="144">
        <v>115.56</v>
      </c>
      <c r="F21" s="143" t="s">
        <v>551</v>
      </c>
      <c r="G21" s="143" t="s">
        <v>552</v>
      </c>
      <c r="H21" s="143" t="s">
        <v>553</v>
      </c>
      <c r="I21" s="143" t="s">
        <v>629</v>
      </c>
      <c r="J21" s="143" t="s">
        <v>630</v>
      </c>
      <c r="K21" s="143" t="s">
        <v>631</v>
      </c>
      <c r="L21" s="143" t="s">
        <v>557</v>
      </c>
      <c r="M21" s="143" t="s">
        <v>557</v>
      </c>
      <c r="N21" s="143" t="s">
        <v>558</v>
      </c>
      <c r="O21" s="143" t="s">
        <v>559</v>
      </c>
      <c r="P21" s="143" t="s">
        <v>560</v>
      </c>
      <c r="Q21" s="145" t="s">
        <v>561</v>
      </c>
      <c r="T21" s="143" t="s">
        <v>587</v>
      </c>
      <c r="U21">
        <f t="shared" si="1"/>
        <v>5</v>
      </c>
    </row>
    <row r="22" spans="1:23" x14ac:dyDescent="0.25">
      <c r="A22" s="143" t="s">
        <v>579</v>
      </c>
      <c r="B22" s="143" t="s">
        <v>549</v>
      </c>
      <c r="C22" s="143" t="s">
        <v>550</v>
      </c>
      <c r="D22" s="144">
        <v>201.6</v>
      </c>
      <c r="E22" s="144">
        <v>165.48</v>
      </c>
      <c r="F22" s="143" t="s">
        <v>551</v>
      </c>
      <c r="G22" s="143" t="s">
        <v>552</v>
      </c>
      <c r="H22" s="143" t="s">
        <v>553</v>
      </c>
      <c r="I22" s="143" t="s">
        <v>632</v>
      </c>
      <c r="J22" s="143" t="s">
        <v>633</v>
      </c>
      <c r="K22" s="143" t="s">
        <v>634</v>
      </c>
      <c r="L22" s="143" t="s">
        <v>557</v>
      </c>
      <c r="M22" s="143" t="s">
        <v>557</v>
      </c>
      <c r="N22" s="143" t="s">
        <v>558</v>
      </c>
      <c r="O22" s="143" t="s">
        <v>559</v>
      </c>
      <c r="P22" s="143" t="s">
        <v>560</v>
      </c>
      <c r="Q22" s="145" t="s">
        <v>561</v>
      </c>
      <c r="T22" s="143" t="s">
        <v>591</v>
      </c>
      <c r="U22">
        <f t="shared" si="1"/>
        <v>1</v>
      </c>
    </row>
    <row r="23" spans="1:23" x14ac:dyDescent="0.25">
      <c r="A23" s="143" t="s">
        <v>579</v>
      </c>
      <c r="B23" s="143" t="s">
        <v>549</v>
      </c>
      <c r="C23" s="143" t="s">
        <v>550</v>
      </c>
      <c r="D23" s="144">
        <v>201.6</v>
      </c>
      <c r="E23" s="144">
        <v>165.48</v>
      </c>
      <c r="F23" s="143" t="s">
        <v>551</v>
      </c>
      <c r="G23" s="143" t="s">
        <v>552</v>
      </c>
      <c r="H23" s="143" t="s">
        <v>553</v>
      </c>
      <c r="I23" s="143" t="s">
        <v>635</v>
      </c>
      <c r="J23" s="143" t="s">
        <v>636</v>
      </c>
      <c r="K23" s="143" t="s">
        <v>637</v>
      </c>
      <c r="L23" s="143" t="s">
        <v>557</v>
      </c>
      <c r="M23" s="143" t="s">
        <v>557</v>
      </c>
      <c r="N23" s="143" t="s">
        <v>558</v>
      </c>
      <c r="O23" s="143" t="s">
        <v>559</v>
      </c>
      <c r="P23" s="143" t="s">
        <v>566</v>
      </c>
      <c r="Q23" s="145" t="s">
        <v>561</v>
      </c>
      <c r="T23" s="143" t="s">
        <v>595</v>
      </c>
      <c r="U23">
        <f t="shared" si="1"/>
        <v>1</v>
      </c>
    </row>
    <row r="24" spans="1:23" x14ac:dyDescent="0.25">
      <c r="A24" s="143" t="s">
        <v>579</v>
      </c>
      <c r="B24" s="143" t="s">
        <v>549</v>
      </c>
      <c r="C24" s="143" t="s">
        <v>550</v>
      </c>
      <c r="D24" s="144">
        <v>201.6</v>
      </c>
      <c r="E24" s="144">
        <v>165.48</v>
      </c>
      <c r="F24" s="143" t="s">
        <v>551</v>
      </c>
      <c r="G24" s="143" t="s">
        <v>552</v>
      </c>
      <c r="H24" s="143" t="s">
        <v>553</v>
      </c>
      <c r="I24" s="143" t="s">
        <v>638</v>
      </c>
      <c r="J24" s="143" t="s">
        <v>639</v>
      </c>
      <c r="K24" s="143" t="s">
        <v>640</v>
      </c>
      <c r="L24" s="143" t="s">
        <v>557</v>
      </c>
      <c r="M24" s="143" t="s">
        <v>557</v>
      </c>
      <c r="N24" s="143" t="s">
        <v>558</v>
      </c>
      <c r="O24" s="143" t="s">
        <v>559</v>
      </c>
      <c r="P24" s="143" t="s">
        <v>560</v>
      </c>
      <c r="Q24" s="145" t="s">
        <v>561</v>
      </c>
    </row>
    <row r="25" spans="1:23" x14ac:dyDescent="0.25">
      <c r="A25" s="143" t="s">
        <v>599</v>
      </c>
      <c r="B25" s="143" t="s">
        <v>549</v>
      </c>
      <c r="C25" s="143" t="s">
        <v>550</v>
      </c>
      <c r="D25" s="144">
        <v>749.64</v>
      </c>
      <c r="E25" s="144">
        <v>115.56</v>
      </c>
      <c r="F25" s="143" t="s">
        <v>551</v>
      </c>
      <c r="G25" s="143" t="s">
        <v>552</v>
      </c>
      <c r="H25" s="143" t="s">
        <v>553</v>
      </c>
      <c r="I25" s="143" t="s">
        <v>641</v>
      </c>
      <c r="J25" s="143" t="s">
        <v>642</v>
      </c>
      <c r="K25" s="143" t="s">
        <v>643</v>
      </c>
      <c r="L25" s="143" t="s">
        <v>557</v>
      </c>
      <c r="M25" s="143" t="s">
        <v>557</v>
      </c>
      <c r="N25" s="143" t="s">
        <v>558</v>
      </c>
      <c r="O25" s="143" t="s">
        <v>559</v>
      </c>
      <c r="P25" s="143" t="s">
        <v>560</v>
      </c>
      <c r="Q25" s="145" t="s">
        <v>561</v>
      </c>
      <c r="T25" s="143" t="s">
        <v>603</v>
      </c>
      <c r="U25">
        <f>COUNTIF($B$2:$B$95,T25)</f>
        <v>26</v>
      </c>
    </row>
    <row r="26" spans="1:23" x14ac:dyDescent="0.25">
      <c r="A26" s="143" t="s">
        <v>562</v>
      </c>
      <c r="B26" s="143" t="s">
        <v>549</v>
      </c>
      <c r="C26" s="143" t="s">
        <v>550</v>
      </c>
      <c r="D26" s="144">
        <v>609.12</v>
      </c>
      <c r="E26" s="144">
        <v>124.92</v>
      </c>
      <c r="F26" s="143" t="s">
        <v>551</v>
      </c>
      <c r="G26" s="143" t="s">
        <v>552</v>
      </c>
      <c r="H26" s="143" t="s">
        <v>553</v>
      </c>
      <c r="I26" s="143" t="s">
        <v>644</v>
      </c>
      <c r="J26" s="143" t="s">
        <v>645</v>
      </c>
      <c r="K26" s="143" t="s">
        <v>646</v>
      </c>
      <c r="L26" s="143" t="s">
        <v>557</v>
      </c>
      <c r="M26" s="143" t="s">
        <v>557</v>
      </c>
      <c r="N26" s="143" t="s">
        <v>558</v>
      </c>
      <c r="O26" s="143" t="s">
        <v>559</v>
      </c>
      <c r="P26" s="143" t="s">
        <v>566</v>
      </c>
      <c r="Q26" s="145" t="s">
        <v>561</v>
      </c>
      <c r="T26" s="143" t="s">
        <v>608</v>
      </c>
      <c r="U26">
        <f>COUNTIF($B$2:$B$95,T26)</f>
        <v>7</v>
      </c>
    </row>
    <row r="27" spans="1:23" x14ac:dyDescent="0.25">
      <c r="A27" s="143" t="s">
        <v>579</v>
      </c>
      <c r="B27" s="143" t="s">
        <v>571</v>
      </c>
      <c r="C27" s="143" t="s">
        <v>647</v>
      </c>
      <c r="D27" s="144">
        <v>201.51</v>
      </c>
      <c r="E27" s="144">
        <v>165.45</v>
      </c>
      <c r="F27" s="143" t="s">
        <v>551</v>
      </c>
      <c r="G27" s="143" t="s">
        <v>552</v>
      </c>
      <c r="H27" s="143" t="s">
        <v>553</v>
      </c>
      <c r="I27" s="143" t="s">
        <v>648</v>
      </c>
      <c r="J27" s="143" t="s">
        <v>649</v>
      </c>
      <c r="K27" s="143" t="s">
        <v>650</v>
      </c>
      <c r="L27" s="143" t="s">
        <v>557</v>
      </c>
      <c r="M27" s="143" t="s">
        <v>557</v>
      </c>
      <c r="N27" s="143" t="s">
        <v>651</v>
      </c>
      <c r="O27" s="143" t="s">
        <v>559</v>
      </c>
      <c r="P27" s="143" t="s">
        <v>652</v>
      </c>
      <c r="Q27" s="145" t="s">
        <v>561</v>
      </c>
    </row>
    <row r="28" spans="1:23" x14ac:dyDescent="0.25">
      <c r="A28" s="143" t="s">
        <v>579</v>
      </c>
      <c r="B28" s="143" t="s">
        <v>571</v>
      </c>
      <c r="C28" s="143" t="s">
        <v>647</v>
      </c>
      <c r="D28" s="144">
        <v>201.51</v>
      </c>
      <c r="E28" s="144">
        <v>165.45</v>
      </c>
      <c r="F28" s="143" t="s">
        <v>551</v>
      </c>
      <c r="G28" s="143" t="s">
        <v>552</v>
      </c>
      <c r="H28" s="143" t="s">
        <v>553</v>
      </c>
      <c r="I28" s="143" t="s">
        <v>653</v>
      </c>
      <c r="J28" s="143" t="s">
        <v>654</v>
      </c>
      <c r="K28" s="143" t="s">
        <v>655</v>
      </c>
      <c r="L28" s="143" t="s">
        <v>557</v>
      </c>
      <c r="M28" s="143" t="s">
        <v>557</v>
      </c>
      <c r="N28" s="143" t="s">
        <v>651</v>
      </c>
      <c r="O28" s="143" t="s">
        <v>559</v>
      </c>
      <c r="P28" s="143" t="s">
        <v>652</v>
      </c>
      <c r="Q28" s="145" t="s">
        <v>561</v>
      </c>
      <c r="S28" t="s">
        <v>656</v>
      </c>
      <c r="T28" s="143" t="s">
        <v>657</v>
      </c>
      <c r="U28">
        <f>SUM(U16:U17)</f>
        <v>32</v>
      </c>
    </row>
    <row r="29" spans="1:23" x14ac:dyDescent="0.25">
      <c r="A29" s="143" t="s">
        <v>548</v>
      </c>
      <c r="B29" s="143" t="s">
        <v>571</v>
      </c>
      <c r="C29" s="143" t="s">
        <v>647</v>
      </c>
      <c r="D29" s="144">
        <v>1254.5999999999999</v>
      </c>
      <c r="E29" s="144">
        <v>44.16</v>
      </c>
      <c r="F29" s="143" t="s">
        <v>551</v>
      </c>
      <c r="G29" s="143" t="s">
        <v>552</v>
      </c>
      <c r="H29" s="143" t="s">
        <v>553</v>
      </c>
      <c r="I29" s="143" t="s">
        <v>658</v>
      </c>
      <c r="J29" s="143" t="s">
        <v>659</v>
      </c>
      <c r="K29" s="143" t="s">
        <v>660</v>
      </c>
      <c r="L29" s="143" t="s">
        <v>557</v>
      </c>
      <c r="M29" s="143" t="s">
        <v>557</v>
      </c>
      <c r="N29" s="143" t="s">
        <v>651</v>
      </c>
      <c r="O29" s="143" t="s">
        <v>559</v>
      </c>
      <c r="P29" s="143" t="s">
        <v>652</v>
      </c>
      <c r="Q29" s="145" t="s">
        <v>561</v>
      </c>
      <c r="T29" s="143" t="s">
        <v>661</v>
      </c>
      <c r="U29">
        <f>SUM(U19:U23)</f>
        <v>29</v>
      </c>
    </row>
    <row r="30" spans="1:23" x14ac:dyDescent="0.25">
      <c r="A30" s="143" t="s">
        <v>579</v>
      </c>
      <c r="B30" s="143" t="s">
        <v>571</v>
      </c>
      <c r="C30" s="143" t="s">
        <v>647</v>
      </c>
      <c r="D30" s="144">
        <v>201.51</v>
      </c>
      <c r="E30" s="144">
        <v>165.45</v>
      </c>
      <c r="F30" s="143" t="s">
        <v>551</v>
      </c>
      <c r="G30" s="143" t="s">
        <v>552</v>
      </c>
      <c r="H30" s="143" t="s">
        <v>553</v>
      </c>
      <c r="I30" s="143" t="s">
        <v>662</v>
      </c>
      <c r="J30" s="143" t="s">
        <v>663</v>
      </c>
      <c r="K30" s="143" t="s">
        <v>664</v>
      </c>
      <c r="L30" s="143" t="s">
        <v>557</v>
      </c>
      <c r="M30" s="143" t="s">
        <v>557</v>
      </c>
      <c r="N30" s="143" t="s">
        <v>651</v>
      </c>
      <c r="O30" s="143" t="s">
        <v>559</v>
      </c>
      <c r="P30" s="143" t="s">
        <v>652</v>
      </c>
      <c r="Q30" s="145" t="s">
        <v>561</v>
      </c>
      <c r="T30" s="143" t="s">
        <v>665</v>
      </c>
      <c r="U30">
        <f>SUM(U25:U26)</f>
        <v>33</v>
      </c>
    </row>
    <row r="31" spans="1:23" x14ac:dyDescent="0.25">
      <c r="A31" s="143" t="s">
        <v>579</v>
      </c>
      <c r="B31" s="143" t="s">
        <v>571</v>
      </c>
      <c r="C31" s="143" t="s">
        <v>647</v>
      </c>
      <c r="D31" s="144">
        <v>201.51</v>
      </c>
      <c r="E31" s="144">
        <v>165.45</v>
      </c>
      <c r="F31" s="143" t="s">
        <v>551</v>
      </c>
      <c r="G31" s="143" t="s">
        <v>552</v>
      </c>
      <c r="H31" s="143" t="s">
        <v>553</v>
      </c>
      <c r="I31" s="143" t="s">
        <v>666</v>
      </c>
      <c r="J31" s="143" t="s">
        <v>667</v>
      </c>
      <c r="K31" s="143" t="s">
        <v>668</v>
      </c>
      <c r="L31" s="143" t="s">
        <v>557</v>
      </c>
      <c r="M31" s="143" t="s">
        <v>557</v>
      </c>
      <c r="N31" s="143" t="s">
        <v>651</v>
      </c>
      <c r="O31" s="143" t="s">
        <v>559</v>
      </c>
      <c r="P31" s="143" t="s">
        <v>669</v>
      </c>
      <c r="Q31" s="145" t="s">
        <v>561</v>
      </c>
    </row>
    <row r="32" spans="1:23" x14ac:dyDescent="0.25">
      <c r="A32" s="143" t="s">
        <v>579</v>
      </c>
      <c r="B32" s="143" t="s">
        <v>571</v>
      </c>
      <c r="C32" s="143" t="s">
        <v>647</v>
      </c>
      <c r="D32" s="144">
        <v>201.51</v>
      </c>
      <c r="E32" s="144">
        <v>165.45</v>
      </c>
      <c r="F32" s="143" t="s">
        <v>551</v>
      </c>
      <c r="G32" s="143" t="s">
        <v>552</v>
      </c>
      <c r="H32" s="143" t="s">
        <v>553</v>
      </c>
      <c r="I32" s="143" t="s">
        <v>670</v>
      </c>
      <c r="J32" s="143" t="s">
        <v>671</v>
      </c>
      <c r="K32" s="143" t="s">
        <v>672</v>
      </c>
      <c r="L32" s="143" t="s">
        <v>557</v>
      </c>
      <c r="M32" s="143" t="s">
        <v>557</v>
      </c>
      <c r="N32" s="143" t="s">
        <v>651</v>
      </c>
      <c r="O32" s="143" t="s">
        <v>559</v>
      </c>
      <c r="P32" s="143" t="s">
        <v>652</v>
      </c>
      <c r="Q32" s="145" t="s">
        <v>561</v>
      </c>
      <c r="T32" s="146" t="s">
        <v>657</v>
      </c>
      <c r="U32" s="147">
        <f>SUM(U3:U4)/U28</f>
        <v>131.24250000000001</v>
      </c>
      <c r="V32" s="102">
        <f>U32*1.1</f>
        <v>144.36675000000002</v>
      </c>
      <c r="W32" s="102">
        <v>155</v>
      </c>
    </row>
    <row r="33" spans="1:23" x14ac:dyDescent="0.25">
      <c r="A33" s="143" t="s">
        <v>562</v>
      </c>
      <c r="B33" s="143" t="s">
        <v>571</v>
      </c>
      <c r="C33" s="143" t="s">
        <v>647</v>
      </c>
      <c r="D33" s="144">
        <v>616.79999999999995</v>
      </c>
      <c r="E33" s="144">
        <v>117.27</v>
      </c>
      <c r="F33" s="143" t="s">
        <v>551</v>
      </c>
      <c r="G33" s="143" t="s">
        <v>552</v>
      </c>
      <c r="H33" s="143" t="s">
        <v>553</v>
      </c>
      <c r="I33" s="143" t="s">
        <v>673</v>
      </c>
      <c r="J33" s="143" t="s">
        <v>674</v>
      </c>
      <c r="K33" s="143" t="s">
        <v>675</v>
      </c>
      <c r="L33" s="143" t="s">
        <v>557</v>
      </c>
      <c r="M33" s="143" t="s">
        <v>557</v>
      </c>
      <c r="N33" s="143" t="s">
        <v>651</v>
      </c>
      <c r="O33" s="143" t="s">
        <v>559</v>
      </c>
      <c r="P33" s="143" t="s">
        <v>652</v>
      </c>
      <c r="Q33" s="145" t="s">
        <v>561</v>
      </c>
      <c r="T33" s="146" t="s">
        <v>661</v>
      </c>
      <c r="U33" s="147">
        <f>SUM(U6:U10)/U29</f>
        <v>6130.8568965517252</v>
      </c>
      <c r="V33" s="102">
        <f>U33*1.08</f>
        <v>6621.3254482758639</v>
      </c>
      <c r="W33" s="102">
        <f t="shared" ref="W33:W34" si="2">V33*1.08</f>
        <v>7151.0314841379331</v>
      </c>
    </row>
    <row r="34" spans="1:23" x14ac:dyDescent="0.25">
      <c r="A34" s="143" t="s">
        <v>548</v>
      </c>
      <c r="B34" s="143" t="s">
        <v>578</v>
      </c>
      <c r="C34" s="143" t="s">
        <v>676</v>
      </c>
      <c r="D34" s="144">
        <v>5165.28</v>
      </c>
      <c r="E34" s="144">
        <v>10328.52</v>
      </c>
      <c r="F34" s="143" t="s">
        <v>551</v>
      </c>
      <c r="G34" s="143" t="s">
        <v>552</v>
      </c>
      <c r="H34" s="143" t="s">
        <v>553</v>
      </c>
      <c r="I34" s="143" t="s">
        <v>554</v>
      </c>
      <c r="J34" s="143" t="s">
        <v>555</v>
      </c>
      <c r="K34" s="143" t="s">
        <v>556</v>
      </c>
      <c r="L34" s="143" t="s">
        <v>557</v>
      </c>
      <c r="M34" s="143" t="s">
        <v>557</v>
      </c>
      <c r="N34" s="143" t="s">
        <v>558</v>
      </c>
      <c r="O34" s="143" t="s">
        <v>559</v>
      </c>
      <c r="P34" s="143" t="s">
        <v>560</v>
      </c>
      <c r="Q34" s="145" t="s">
        <v>561</v>
      </c>
      <c r="T34" s="146" t="s">
        <v>665</v>
      </c>
      <c r="U34" s="147">
        <f>SUM(U12:U13)/U30</f>
        <v>46.705454545454529</v>
      </c>
      <c r="V34" s="102">
        <f>U34*1.08</f>
        <v>50.441890909090894</v>
      </c>
      <c r="W34" s="102">
        <f t="shared" si="2"/>
        <v>54.47724218181817</v>
      </c>
    </row>
    <row r="35" spans="1:23" x14ac:dyDescent="0.25">
      <c r="A35" s="143" t="s">
        <v>599</v>
      </c>
      <c r="B35" s="143" t="s">
        <v>578</v>
      </c>
      <c r="C35" s="143" t="s">
        <v>676</v>
      </c>
      <c r="D35" s="144">
        <v>1858.8</v>
      </c>
      <c r="E35" s="144">
        <v>7340.88</v>
      </c>
      <c r="F35" s="143" t="s">
        <v>551</v>
      </c>
      <c r="G35" s="143" t="s">
        <v>552</v>
      </c>
      <c r="H35" s="143" t="s">
        <v>553</v>
      </c>
      <c r="I35" s="143" t="s">
        <v>563</v>
      </c>
      <c r="J35" s="143" t="s">
        <v>564</v>
      </c>
      <c r="K35" s="143" t="s">
        <v>565</v>
      </c>
      <c r="L35" s="143" t="s">
        <v>557</v>
      </c>
      <c r="M35" s="143" t="s">
        <v>557</v>
      </c>
      <c r="N35" s="143" t="s">
        <v>558</v>
      </c>
      <c r="O35" s="143" t="s">
        <v>559</v>
      </c>
      <c r="P35" s="143" t="s">
        <v>566</v>
      </c>
      <c r="Q35" s="145" t="s">
        <v>561</v>
      </c>
    </row>
    <row r="36" spans="1:23" x14ac:dyDescent="0.25">
      <c r="A36" s="143" t="s">
        <v>599</v>
      </c>
      <c r="B36" s="143" t="s">
        <v>578</v>
      </c>
      <c r="C36" s="143" t="s">
        <v>676</v>
      </c>
      <c r="D36" s="144">
        <v>1858.8</v>
      </c>
      <c r="E36" s="144">
        <v>7340.88</v>
      </c>
      <c r="F36" s="143" t="s">
        <v>551</v>
      </c>
      <c r="G36" s="143" t="s">
        <v>552</v>
      </c>
      <c r="H36" s="143" t="s">
        <v>553</v>
      </c>
      <c r="I36" s="143" t="s">
        <v>567</v>
      </c>
      <c r="J36" s="143" t="s">
        <v>568</v>
      </c>
      <c r="K36" s="143" t="s">
        <v>569</v>
      </c>
      <c r="L36" s="143" t="s">
        <v>557</v>
      </c>
      <c r="M36" s="143" t="s">
        <v>557</v>
      </c>
      <c r="N36" s="143" t="s">
        <v>558</v>
      </c>
      <c r="O36" s="143" t="s">
        <v>559</v>
      </c>
      <c r="P36" s="143" t="s">
        <v>570</v>
      </c>
      <c r="Q36" s="145" t="s">
        <v>561</v>
      </c>
      <c r="W36" t="s">
        <v>677</v>
      </c>
    </row>
    <row r="37" spans="1:23" x14ac:dyDescent="0.25">
      <c r="A37" s="143" t="s">
        <v>548</v>
      </c>
      <c r="B37" s="143" t="s">
        <v>578</v>
      </c>
      <c r="C37" s="143" t="s">
        <v>676</v>
      </c>
      <c r="D37" s="144">
        <v>5165.28</v>
      </c>
      <c r="E37" s="144">
        <v>10328.52</v>
      </c>
      <c r="F37" s="143" t="s">
        <v>551</v>
      </c>
      <c r="G37" s="143" t="s">
        <v>552</v>
      </c>
      <c r="H37" s="143" t="s">
        <v>553</v>
      </c>
      <c r="I37" s="143" t="s">
        <v>572</v>
      </c>
      <c r="J37" s="143" t="s">
        <v>573</v>
      </c>
      <c r="K37" s="143" t="s">
        <v>574</v>
      </c>
      <c r="L37" s="143" t="s">
        <v>557</v>
      </c>
      <c r="M37" s="143" t="s">
        <v>557</v>
      </c>
      <c r="N37" s="143" t="s">
        <v>558</v>
      </c>
      <c r="O37" s="143" t="s">
        <v>559</v>
      </c>
      <c r="P37" s="143" t="s">
        <v>570</v>
      </c>
      <c r="Q37" s="145" t="s">
        <v>561</v>
      </c>
    </row>
    <row r="38" spans="1:23" x14ac:dyDescent="0.25">
      <c r="A38" s="143" t="s">
        <v>562</v>
      </c>
      <c r="B38" s="143" t="s">
        <v>578</v>
      </c>
      <c r="C38" s="143" t="s">
        <v>676</v>
      </c>
      <c r="D38" s="144">
        <v>2250</v>
      </c>
      <c r="E38" s="144">
        <v>7433.52</v>
      </c>
      <c r="F38" s="143" t="s">
        <v>551</v>
      </c>
      <c r="G38" s="143" t="s">
        <v>552</v>
      </c>
      <c r="H38" s="143" t="s">
        <v>553</v>
      </c>
      <c r="I38" s="143" t="s">
        <v>575</v>
      </c>
      <c r="J38" s="143" t="s">
        <v>576</v>
      </c>
      <c r="K38" s="143" t="s">
        <v>577</v>
      </c>
      <c r="L38" s="143" t="s">
        <v>557</v>
      </c>
      <c r="M38" s="143" t="s">
        <v>557</v>
      </c>
      <c r="N38" s="143" t="s">
        <v>558</v>
      </c>
      <c r="O38" s="143" t="s">
        <v>559</v>
      </c>
      <c r="P38" s="143" t="s">
        <v>560</v>
      </c>
      <c r="Q38" s="145" t="s">
        <v>561</v>
      </c>
    </row>
    <row r="39" spans="1:23" x14ac:dyDescent="0.25">
      <c r="A39" s="143" t="s">
        <v>579</v>
      </c>
      <c r="B39" s="143" t="s">
        <v>578</v>
      </c>
      <c r="C39" s="143" t="s">
        <v>676</v>
      </c>
      <c r="D39" s="144">
        <v>0</v>
      </c>
      <c r="E39" s="144">
        <v>4841.76</v>
      </c>
      <c r="F39" s="143" t="s">
        <v>551</v>
      </c>
      <c r="G39" s="143" t="s">
        <v>552</v>
      </c>
      <c r="H39" s="143" t="s">
        <v>553</v>
      </c>
      <c r="I39" s="143" t="s">
        <v>580</v>
      </c>
      <c r="J39" s="143" t="s">
        <v>581</v>
      </c>
      <c r="K39" s="143" t="s">
        <v>582</v>
      </c>
      <c r="L39" s="143" t="s">
        <v>557</v>
      </c>
      <c r="M39" s="143" t="s">
        <v>557</v>
      </c>
      <c r="N39" s="143" t="s">
        <v>558</v>
      </c>
      <c r="O39" s="143" t="s">
        <v>559</v>
      </c>
      <c r="P39" s="143" t="s">
        <v>566</v>
      </c>
      <c r="Q39" s="145" t="s">
        <v>561</v>
      </c>
    </row>
    <row r="40" spans="1:23" x14ac:dyDescent="0.25">
      <c r="A40" s="143" t="s">
        <v>579</v>
      </c>
      <c r="B40" s="143" t="s">
        <v>578</v>
      </c>
      <c r="C40" s="143" t="s">
        <v>676</v>
      </c>
      <c r="D40" s="144">
        <v>0</v>
      </c>
      <c r="E40" s="144">
        <v>4841.76</v>
      </c>
      <c r="F40" s="143" t="s">
        <v>551</v>
      </c>
      <c r="G40" s="143" t="s">
        <v>552</v>
      </c>
      <c r="H40" s="143" t="s">
        <v>553</v>
      </c>
      <c r="I40" s="143" t="s">
        <v>584</v>
      </c>
      <c r="J40" s="143" t="s">
        <v>585</v>
      </c>
      <c r="K40" s="143" t="s">
        <v>586</v>
      </c>
      <c r="L40" s="143" t="s">
        <v>557</v>
      </c>
      <c r="M40" s="143" t="s">
        <v>557</v>
      </c>
      <c r="N40" s="143" t="s">
        <v>558</v>
      </c>
      <c r="O40" s="143" t="s">
        <v>559</v>
      </c>
      <c r="P40" s="143" t="s">
        <v>560</v>
      </c>
      <c r="Q40" s="145" t="s">
        <v>561</v>
      </c>
    </row>
    <row r="41" spans="1:23" x14ac:dyDescent="0.25">
      <c r="A41" s="143" t="s">
        <v>562</v>
      </c>
      <c r="B41" s="143" t="s">
        <v>578</v>
      </c>
      <c r="C41" s="143" t="s">
        <v>676</v>
      </c>
      <c r="D41" s="144">
        <v>2250</v>
      </c>
      <c r="E41" s="144">
        <v>7433.52</v>
      </c>
      <c r="F41" s="143" t="s">
        <v>551</v>
      </c>
      <c r="G41" s="143" t="s">
        <v>552</v>
      </c>
      <c r="H41" s="143" t="s">
        <v>553</v>
      </c>
      <c r="I41" s="143" t="s">
        <v>604</v>
      </c>
      <c r="J41" s="143" t="s">
        <v>605</v>
      </c>
      <c r="K41" s="143" t="s">
        <v>606</v>
      </c>
      <c r="L41" s="143" t="s">
        <v>557</v>
      </c>
      <c r="M41" s="143" t="s">
        <v>557</v>
      </c>
      <c r="N41" s="143" t="s">
        <v>558</v>
      </c>
      <c r="O41" s="143" t="s">
        <v>559</v>
      </c>
      <c r="P41" s="143" t="s">
        <v>607</v>
      </c>
      <c r="Q41" s="145" t="s">
        <v>561</v>
      </c>
    </row>
    <row r="42" spans="1:23" x14ac:dyDescent="0.25">
      <c r="A42" s="143" t="s">
        <v>562</v>
      </c>
      <c r="B42" s="143" t="s">
        <v>578</v>
      </c>
      <c r="C42" s="143" t="s">
        <v>676</v>
      </c>
      <c r="D42" s="144">
        <v>2250</v>
      </c>
      <c r="E42" s="144">
        <v>7433.52</v>
      </c>
      <c r="F42" s="143" t="s">
        <v>551</v>
      </c>
      <c r="G42" s="143" t="s">
        <v>552</v>
      </c>
      <c r="H42" s="143" t="s">
        <v>553</v>
      </c>
      <c r="I42" s="143" t="s">
        <v>678</v>
      </c>
      <c r="J42" s="143" t="s">
        <v>679</v>
      </c>
      <c r="K42" s="143" t="s">
        <v>680</v>
      </c>
      <c r="L42" s="143" t="s">
        <v>557</v>
      </c>
      <c r="M42" s="143" t="s">
        <v>557</v>
      </c>
      <c r="N42" s="143" t="s">
        <v>558</v>
      </c>
      <c r="O42" s="143" t="s">
        <v>559</v>
      </c>
      <c r="P42" s="143" t="s">
        <v>566</v>
      </c>
      <c r="Q42" s="145" t="s">
        <v>561</v>
      </c>
    </row>
    <row r="43" spans="1:23" x14ac:dyDescent="0.25">
      <c r="A43" s="143" t="s">
        <v>599</v>
      </c>
      <c r="B43" s="143" t="s">
        <v>578</v>
      </c>
      <c r="C43" s="143" t="s">
        <v>676</v>
      </c>
      <c r="D43" s="144">
        <v>1858.8</v>
      </c>
      <c r="E43" s="144">
        <v>7340.88</v>
      </c>
      <c r="F43" s="143" t="s">
        <v>551</v>
      </c>
      <c r="G43" s="143" t="s">
        <v>552</v>
      </c>
      <c r="H43" s="143" t="s">
        <v>553</v>
      </c>
      <c r="I43" s="143" t="s">
        <v>615</v>
      </c>
      <c r="J43" s="143" t="s">
        <v>616</v>
      </c>
      <c r="K43" s="143" t="s">
        <v>617</v>
      </c>
      <c r="L43" s="143" t="s">
        <v>557</v>
      </c>
      <c r="M43" s="143" t="s">
        <v>557</v>
      </c>
      <c r="N43" s="143" t="s">
        <v>558</v>
      </c>
      <c r="O43" s="143" t="s">
        <v>559</v>
      </c>
      <c r="P43" s="143" t="s">
        <v>560</v>
      </c>
      <c r="Q43" s="145" t="s">
        <v>561</v>
      </c>
    </row>
    <row r="44" spans="1:23" x14ac:dyDescent="0.25">
      <c r="A44" s="143" t="s">
        <v>579</v>
      </c>
      <c r="B44" s="143" t="s">
        <v>578</v>
      </c>
      <c r="C44" s="143" t="s">
        <v>676</v>
      </c>
      <c r="D44" s="144">
        <v>0</v>
      </c>
      <c r="E44" s="144">
        <v>4841.76</v>
      </c>
      <c r="F44" s="143" t="s">
        <v>551</v>
      </c>
      <c r="G44" s="143" t="s">
        <v>552</v>
      </c>
      <c r="H44" s="143" t="s">
        <v>553</v>
      </c>
      <c r="I44" s="143" t="s">
        <v>618</v>
      </c>
      <c r="J44" s="143" t="s">
        <v>619</v>
      </c>
      <c r="K44" s="143" t="s">
        <v>620</v>
      </c>
      <c r="L44" s="143" t="s">
        <v>557</v>
      </c>
      <c r="M44" s="143" t="s">
        <v>557</v>
      </c>
      <c r="N44" s="143" t="s">
        <v>558</v>
      </c>
      <c r="O44" s="143" t="s">
        <v>559</v>
      </c>
      <c r="P44" s="143" t="s">
        <v>566</v>
      </c>
      <c r="Q44" s="145" t="s">
        <v>561</v>
      </c>
    </row>
    <row r="45" spans="1:23" x14ac:dyDescent="0.25">
      <c r="A45" s="143" t="s">
        <v>579</v>
      </c>
      <c r="B45" s="143" t="s">
        <v>578</v>
      </c>
      <c r="C45" s="143" t="s">
        <v>676</v>
      </c>
      <c r="D45" s="144">
        <v>0</v>
      </c>
      <c r="E45" s="144">
        <v>4841.76</v>
      </c>
      <c r="F45" s="143" t="s">
        <v>551</v>
      </c>
      <c r="G45" s="143" t="s">
        <v>552</v>
      </c>
      <c r="H45" s="143" t="s">
        <v>553</v>
      </c>
      <c r="I45" s="143" t="s">
        <v>681</v>
      </c>
      <c r="J45" s="143" t="s">
        <v>682</v>
      </c>
      <c r="K45" s="143" t="s">
        <v>683</v>
      </c>
      <c r="L45" s="143" t="s">
        <v>557</v>
      </c>
      <c r="M45" s="143" t="s">
        <v>557</v>
      </c>
      <c r="N45" s="143" t="s">
        <v>558</v>
      </c>
      <c r="O45" s="143" t="s">
        <v>559</v>
      </c>
      <c r="P45" s="143" t="s">
        <v>566</v>
      </c>
      <c r="Q45" s="145" t="s">
        <v>561</v>
      </c>
    </row>
    <row r="46" spans="1:23" x14ac:dyDescent="0.25">
      <c r="A46" s="143" t="s">
        <v>579</v>
      </c>
      <c r="B46" s="143" t="s">
        <v>578</v>
      </c>
      <c r="C46" s="143" t="s">
        <v>676</v>
      </c>
      <c r="D46" s="144">
        <v>0</v>
      </c>
      <c r="E46" s="144">
        <v>4841.76</v>
      </c>
      <c r="F46" s="143" t="s">
        <v>551</v>
      </c>
      <c r="G46" s="143" t="s">
        <v>552</v>
      </c>
      <c r="H46" s="143" t="s">
        <v>553</v>
      </c>
      <c r="I46" s="143" t="s">
        <v>621</v>
      </c>
      <c r="J46" s="143" t="s">
        <v>622</v>
      </c>
      <c r="K46" s="143" t="s">
        <v>623</v>
      </c>
      <c r="L46" s="143" t="s">
        <v>557</v>
      </c>
      <c r="M46" s="143" t="s">
        <v>557</v>
      </c>
      <c r="N46" s="143" t="s">
        <v>558</v>
      </c>
      <c r="O46" s="143" t="s">
        <v>559</v>
      </c>
      <c r="P46" s="143" t="s">
        <v>566</v>
      </c>
      <c r="Q46" s="145" t="s">
        <v>561</v>
      </c>
    </row>
    <row r="47" spans="1:23" x14ac:dyDescent="0.25">
      <c r="A47" s="143" t="s">
        <v>562</v>
      </c>
      <c r="B47" s="143" t="s">
        <v>578</v>
      </c>
      <c r="C47" s="143" t="s">
        <v>676</v>
      </c>
      <c r="D47" s="144">
        <v>2250</v>
      </c>
      <c r="E47" s="144">
        <v>7433.52</v>
      </c>
      <c r="F47" s="143" t="s">
        <v>551</v>
      </c>
      <c r="G47" s="143" t="s">
        <v>552</v>
      </c>
      <c r="H47" s="143" t="s">
        <v>553</v>
      </c>
      <c r="I47" s="143" t="s">
        <v>624</v>
      </c>
      <c r="J47" s="143" t="s">
        <v>622</v>
      </c>
      <c r="K47" s="143" t="s">
        <v>625</v>
      </c>
      <c r="L47" s="143" t="s">
        <v>557</v>
      </c>
      <c r="M47" s="143" t="s">
        <v>557</v>
      </c>
      <c r="N47" s="143" t="s">
        <v>558</v>
      </c>
      <c r="O47" s="143" t="s">
        <v>559</v>
      </c>
      <c r="P47" s="143" t="s">
        <v>566</v>
      </c>
      <c r="Q47" s="145" t="s">
        <v>561</v>
      </c>
    </row>
    <row r="48" spans="1:23" x14ac:dyDescent="0.25">
      <c r="A48" s="143" t="s">
        <v>579</v>
      </c>
      <c r="B48" s="143" t="s">
        <v>578</v>
      </c>
      <c r="C48" s="143" t="s">
        <v>676</v>
      </c>
      <c r="D48" s="144">
        <v>0</v>
      </c>
      <c r="E48" s="144">
        <v>4841.76</v>
      </c>
      <c r="F48" s="143" t="s">
        <v>551</v>
      </c>
      <c r="G48" s="143" t="s">
        <v>552</v>
      </c>
      <c r="H48" s="143" t="s">
        <v>553</v>
      </c>
      <c r="I48" s="143" t="s">
        <v>626</v>
      </c>
      <c r="J48" s="143" t="s">
        <v>627</v>
      </c>
      <c r="K48" s="143" t="s">
        <v>628</v>
      </c>
      <c r="L48" s="143" t="s">
        <v>557</v>
      </c>
      <c r="M48" s="143" t="s">
        <v>557</v>
      </c>
      <c r="N48" s="143" t="s">
        <v>558</v>
      </c>
      <c r="O48" s="143" t="s">
        <v>559</v>
      </c>
      <c r="P48" s="143" t="s">
        <v>566</v>
      </c>
      <c r="Q48" s="145" t="s">
        <v>561</v>
      </c>
    </row>
    <row r="49" spans="1:17" x14ac:dyDescent="0.25">
      <c r="A49" s="143" t="s">
        <v>579</v>
      </c>
      <c r="B49" s="143" t="s">
        <v>578</v>
      </c>
      <c r="C49" s="143" t="s">
        <v>676</v>
      </c>
      <c r="D49" s="144">
        <v>0</v>
      </c>
      <c r="E49" s="144">
        <v>4841.76</v>
      </c>
      <c r="F49" s="143" t="s">
        <v>551</v>
      </c>
      <c r="G49" s="143" t="s">
        <v>552</v>
      </c>
      <c r="H49" s="143" t="s">
        <v>553</v>
      </c>
      <c r="I49" s="143" t="s">
        <v>632</v>
      </c>
      <c r="J49" s="143" t="s">
        <v>633</v>
      </c>
      <c r="K49" s="143" t="s">
        <v>634</v>
      </c>
      <c r="L49" s="143" t="s">
        <v>557</v>
      </c>
      <c r="M49" s="143" t="s">
        <v>557</v>
      </c>
      <c r="N49" s="143" t="s">
        <v>558</v>
      </c>
      <c r="O49" s="143" t="s">
        <v>559</v>
      </c>
      <c r="P49" s="143" t="s">
        <v>560</v>
      </c>
      <c r="Q49" s="145" t="s">
        <v>561</v>
      </c>
    </row>
    <row r="50" spans="1:17" x14ac:dyDescent="0.25">
      <c r="A50" s="143" t="s">
        <v>579</v>
      </c>
      <c r="B50" s="143" t="s">
        <v>578</v>
      </c>
      <c r="C50" s="143" t="s">
        <v>676</v>
      </c>
      <c r="D50" s="144">
        <v>0</v>
      </c>
      <c r="E50" s="144">
        <v>4841.76</v>
      </c>
      <c r="F50" s="143" t="s">
        <v>551</v>
      </c>
      <c r="G50" s="143" t="s">
        <v>552</v>
      </c>
      <c r="H50" s="143" t="s">
        <v>553</v>
      </c>
      <c r="I50" s="143" t="s">
        <v>635</v>
      </c>
      <c r="J50" s="143" t="s">
        <v>636</v>
      </c>
      <c r="K50" s="143" t="s">
        <v>637</v>
      </c>
      <c r="L50" s="143" t="s">
        <v>557</v>
      </c>
      <c r="M50" s="143" t="s">
        <v>557</v>
      </c>
      <c r="N50" s="143" t="s">
        <v>558</v>
      </c>
      <c r="O50" s="143" t="s">
        <v>559</v>
      </c>
      <c r="P50" s="143" t="s">
        <v>566</v>
      </c>
      <c r="Q50" s="145" t="s">
        <v>561</v>
      </c>
    </row>
    <row r="51" spans="1:17" x14ac:dyDescent="0.25">
      <c r="A51" s="143" t="s">
        <v>579</v>
      </c>
      <c r="B51" s="143" t="s">
        <v>587</v>
      </c>
      <c r="C51" s="143" t="s">
        <v>684</v>
      </c>
      <c r="D51" s="144">
        <v>1180.2</v>
      </c>
      <c r="E51" s="144">
        <v>4968.24</v>
      </c>
      <c r="F51" s="143" t="s">
        <v>551</v>
      </c>
      <c r="G51" s="143" t="s">
        <v>552</v>
      </c>
      <c r="H51" s="143" t="s">
        <v>553</v>
      </c>
      <c r="I51" s="143" t="s">
        <v>685</v>
      </c>
      <c r="J51" s="143" t="s">
        <v>686</v>
      </c>
      <c r="K51" s="143" t="s">
        <v>687</v>
      </c>
      <c r="L51" s="143" t="s">
        <v>557</v>
      </c>
      <c r="M51" s="143" t="s">
        <v>557</v>
      </c>
      <c r="N51" s="143" t="s">
        <v>558</v>
      </c>
      <c r="O51" s="143" t="s">
        <v>559</v>
      </c>
      <c r="P51" s="143" t="s">
        <v>560</v>
      </c>
      <c r="Q51" s="145" t="s">
        <v>561</v>
      </c>
    </row>
    <row r="52" spans="1:17" x14ac:dyDescent="0.25">
      <c r="A52" s="143" t="s">
        <v>579</v>
      </c>
      <c r="B52" s="143" t="s">
        <v>587</v>
      </c>
      <c r="C52" s="143" t="s">
        <v>684</v>
      </c>
      <c r="D52" s="144">
        <v>1180.2</v>
      </c>
      <c r="E52" s="144">
        <v>4968.24</v>
      </c>
      <c r="F52" s="143" t="s">
        <v>551</v>
      </c>
      <c r="G52" s="143" t="s">
        <v>552</v>
      </c>
      <c r="H52" s="143" t="s">
        <v>553</v>
      </c>
      <c r="I52" s="143" t="s">
        <v>588</v>
      </c>
      <c r="J52" s="143" t="s">
        <v>589</v>
      </c>
      <c r="K52" s="143" t="s">
        <v>590</v>
      </c>
      <c r="L52" s="143" t="s">
        <v>557</v>
      </c>
      <c r="M52" s="143" t="s">
        <v>557</v>
      </c>
      <c r="N52" s="143" t="s">
        <v>558</v>
      </c>
      <c r="O52" s="143" t="s">
        <v>559</v>
      </c>
      <c r="P52" s="143" t="s">
        <v>570</v>
      </c>
      <c r="Q52" s="145" t="s">
        <v>561</v>
      </c>
    </row>
    <row r="53" spans="1:17" x14ac:dyDescent="0.25">
      <c r="A53" s="143" t="s">
        <v>579</v>
      </c>
      <c r="B53" s="143" t="s">
        <v>587</v>
      </c>
      <c r="C53" s="143" t="s">
        <v>684</v>
      </c>
      <c r="D53" s="144">
        <v>1180.2</v>
      </c>
      <c r="E53" s="144">
        <v>4968.24</v>
      </c>
      <c r="F53" s="143" t="s">
        <v>551</v>
      </c>
      <c r="G53" s="143" t="s">
        <v>552</v>
      </c>
      <c r="H53" s="143" t="s">
        <v>553</v>
      </c>
      <c r="I53" s="143" t="s">
        <v>596</v>
      </c>
      <c r="J53" s="143" t="s">
        <v>597</v>
      </c>
      <c r="K53" s="143" t="s">
        <v>598</v>
      </c>
      <c r="L53" s="143" t="s">
        <v>557</v>
      </c>
      <c r="M53" s="143" t="s">
        <v>557</v>
      </c>
      <c r="N53" s="143" t="s">
        <v>558</v>
      </c>
      <c r="O53" s="143" t="s">
        <v>559</v>
      </c>
      <c r="P53" s="143" t="s">
        <v>560</v>
      </c>
      <c r="Q53" s="145" t="s">
        <v>561</v>
      </c>
    </row>
    <row r="54" spans="1:17" x14ac:dyDescent="0.25">
      <c r="A54" s="143" t="s">
        <v>579</v>
      </c>
      <c r="B54" s="143" t="s">
        <v>587</v>
      </c>
      <c r="C54" s="143" t="s">
        <v>684</v>
      </c>
      <c r="D54" s="144">
        <v>1180.2</v>
      </c>
      <c r="E54" s="144">
        <v>4968.24</v>
      </c>
      <c r="F54" s="143" t="s">
        <v>551</v>
      </c>
      <c r="G54" s="143" t="s">
        <v>552</v>
      </c>
      <c r="H54" s="143" t="s">
        <v>553</v>
      </c>
      <c r="I54" s="143" t="s">
        <v>638</v>
      </c>
      <c r="J54" s="143" t="s">
        <v>639</v>
      </c>
      <c r="K54" s="143" t="s">
        <v>640</v>
      </c>
      <c r="L54" s="143" t="s">
        <v>557</v>
      </c>
      <c r="M54" s="143" t="s">
        <v>557</v>
      </c>
      <c r="N54" s="143" t="s">
        <v>558</v>
      </c>
      <c r="O54" s="143" t="s">
        <v>559</v>
      </c>
      <c r="P54" s="143" t="s">
        <v>560</v>
      </c>
      <c r="Q54" s="145" t="s">
        <v>561</v>
      </c>
    </row>
    <row r="55" spans="1:17" x14ac:dyDescent="0.25">
      <c r="A55" s="143" t="s">
        <v>599</v>
      </c>
      <c r="B55" s="143" t="s">
        <v>587</v>
      </c>
      <c r="C55" s="143" t="s">
        <v>684</v>
      </c>
      <c r="D55" s="144">
        <v>4248.72</v>
      </c>
      <c r="E55" s="144">
        <v>7433.52</v>
      </c>
      <c r="F55" s="143" t="s">
        <v>551</v>
      </c>
      <c r="G55" s="143" t="s">
        <v>552</v>
      </c>
      <c r="H55" s="143" t="s">
        <v>553</v>
      </c>
      <c r="I55" s="143" t="s">
        <v>641</v>
      </c>
      <c r="J55" s="143" t="s">
        <v>642</v>
      </c>
      <c r="K55" s="143" t="s">
        <v>643</v>
      </c>
      <c r="L55" s="143" t="s">
        <v>557</v>
      </c>
      <c r="M55" s="143" t="s">
        <v>557</v>
      </c>
      <c r="N55" s="143" t="s">
        <v>558</v>
      </c>
      <c r="O55" s="143" t="s">
        <v>559</v>
      </c>
      <c r="P55" s="143" t="s">
        <v>560</v>
      </c>
      <c r="Q55" s="145" t="s">
        <v>561</v>
      </c>
    </row>
    <row r="56" spans="1:17" x14ac:dyDescent="0.25">
      <c r="A56" s="143" t="s">
        <v>579</v>
      </c>
      <c r="B56" s="143" t="s">
        <v>591</v>
      </c>
      <c r="C56" s="143" t="s">
        <v>688</v>
      </c>
      <c r="D56" s="144">
        <v>1809.72</v>
      </c>
      <c r="E56" s="144">
        <v>3032.04</v>
      </c>
      <c r="F56" s="143" t="s">
        <v>551</v>
      </c>
      <c r="G56" s="143" t="s">
        <v>552</v>
      </c>
      <c r="H56" s="143" t="s">
        <v>553</v>
      </c>
      <c r="I56" s="143" t="s">
        <v>662</v>
      </c>
      <c r="J56" s="143" t="s">
        <v>663</v>
      </c>
      <c r="K56" s="143" t="s">
        <v>664</v>
      </c>
      <c r="L56" s="143" t="s">
        <v>557</v>
      </c>
      <c r="M56" s="143" t="s">
        <v>557</v>
      </c>
      <c r="N56" s="143" t="s">
        <v>651</v>
      </c>
      <c r="O56" s="143" t="s">
        <v>559</v>
      </c>
      <c r="P56" s="143" t="s">
        <v>652</v>
      </c>
      <c r="Q56" s="145" t="s">
        <v>561</v>
      </c>
    </row>
    <row r="57" spans="1:17" x14ac:dyDescent="0.25">
      <c r="A57" s="143" t="s">
        <v>579</v>
      </c>
      <c r="B57" s="143" t="s">
        <v>583</v>
      </c>
      <c r="C57" s="143" t="s">
        <v>689</v>
      </c>
      <c r="D57" s="144">
        <v>1832.28</v>
      </c>
      <c r="E57" s="144">
        <v>5143.5600000000004</v>
      </c>
      <c r="F57" s="143" t="s">
        <v>551</v>
      </c>
      <c r="G57" s="143" t="s">
        <v>552</v>
      </c>
      <c r="H57" s="143" t="s">
        <v>553</v>
      </c>
      <c r="I57" s="143" t="s">
        <v>592</v>
      </c>
      <c r="J57" s="143" t="s">
        <v>593</v>
      </c>
      <c r="K57" s="143" t="s">
        <v>594</v>
      </c>
      <c r="L57" s="143" t="s">
        <v>557</v>
      </c>
      <c r="M57" s="143" t="s">
        <v>557</v>
      </c>
      <c r="N57" s="143" t="s">
        <v>558</v>
      </c>
      <c r="O57" s="143" t="s">
        <v>559</v>
      </c>
      <c r="P57" s="143" t="s">
        <v>566</v>
      </c>
      <c r="Q57" s="145" t="s">
        <v>561</v>
      </c>
    </row>
    <row r="58" spans="1:17" x14ac:dyDescent="0.25">
      <c r="A58" s="143" t="s">
        <v>599</v>
      </c>
      <c r="B58" s="143" t="s">
        <v>583</v>
      </c>
      <c r="C58" s="143" t="s">
        <v>689</v>
      </c>
      <c r="D58" s="144">
        <v>5623.68</v>
      </c>
      <c r="E58" s="144">
        <v>7630.56</v>
      </c>
      <c r="F58" s="143" t="s">
        <v>551</v>
      </c>
      <c r="G58" s="143" t="s">
        <v>552</v>
      </c>
      <c r="H58" s="143" t="s">
        <v>553</v>
      </c>
      <c r="I58" s="143" t="s">
        <v>600</v>
      </c>
      <c r="J58" s="143" t="s">
        <v>601</v>
      </c>
      <c r="K58" s="143" t="s">
        <v>602</v>
      </c>
      <c r="L58" s="143" t="s">
        <v>557</v>
      </c>
      <c r="M58" s="143" t="s">
        <v>557</v>
      </c>
      <c r="N58" s="143" t="s">
        <v>558</v>
      </c>
      <c r="O58" s="143" t="s">
        <v>559</v>
      </c>
      <c r="P58" s="143" t="s">
        <v>566</v>
      </c>
      <c r="Q58" s="145" t="s">
        <v>561</v>
      </c>
    </row>
    <row r="59" spans="1:17" x14ac:dyDescent="0.25">
      <c r="A59" s="143" t="s">
        <v>579</v>
      </c>
      <c r="B59" s="143" t="s">
        <v>583</v>
      </c>
      <c r="C59" s="143" t="s">
        <v>689</v>
      </c>
      <c r="D59" s="144">
        <v>1832.28</v>
      </c>
      <c r="E59" s="144">
        <v>5143.5600000000004</v>
      </c>
      <c r="F59" s="143" t="s">
        <v>551</v>
      </c>
      <c r="G59" s="143" t="s">
        <v>552</v>
      </c>
      <c r="H59" s="143" t="s">
        <v>553</v>
      </c>
      <c r="I59" s="143" t="s">
        <v>612</v>
      </c>
      <c r="J59" s="143" t="s">
        <v>613</v>
      </c>
      <c r="K59" s="143" t="s">
        <v>614</v>
      </c>
      <c r="L59" s="143" t="s">
        <v>557</v>
      </c>
      <c r="M59" s="143" t="s">
        <v>557</v>
      </c>
      <c r="N59" s="143" t="s">
        <v>558</v>
      </c>
      <c r="O59" s="143" t="s">
        <v>559</v>
      </c>
      <c r="P59" s="143" t="s">
        <v>566</v>
      </c>
      <c r="Q59" s="145" t="s">
        <v>561</v>
      </c>
    </row>
    <row r="60" spans="1:17" x14ac:dyDescent="0.25">
      <c r="A60" s="143" t="s">
        <v>599</v>
      </c>
      <c r="B60" s="143" t="s">
        <v>583</v>
      </c>
      <c r="C60" s="143" t="s">
        <v>689</v>
      </c>
      <c r="D60" s="144">
        <v>5623.68</v>
      </c>
      <c r="E60" s="144">
        <v>7630.56</v>
      </c>
      <c r="F60" s="143" t="s">
        <v>551</v>
      </c>
      <c r="G60" s="143" t="s">
        <v>552</v>
      </c>
      <c r="H60" s="143" t="s">
        <v>553</v>
      </c>
      <c r="I60" s="143" t="s">
        <v>629</v>
      </c>
      <c r="J60" s="143" t="s">
        <v>630</v>
      </c>
      <c r="K60" s="143" t="s">
        <v>631</v>
      </c>
      <c r="L60" s="143" t="s">
        <v>557</v>
      </c>
      <c r="M60" s="143" t="s">
        <v>557</v>
      </c>
      <c r="N60" s="143" t="s">
        <v>558</v>
      </c>
      <c r="O60" s="143" t="s">
        <v>559</v>
      </c>
      <c r="P60" s="143" t="s">
        <v>560</v>
      </c>
      <c r="Q60" s="145" t="s">
        <v>561</v>
      </c>
    </row>
    <row r="61" spans="1:17" x14ac:dyDescent="0.25">
      <c r="A61" s="143" t="s">
        <v>562</v>
      </c>
      <c r="B61" s="143" t="s">
        <v>583</v>
      </c>
      <c r="C61" s="143" t="s">
        <v>689</v>
      </c>
      <c r="D61" s="144">
        <v>6201.6</v>
      </c>
      <c r="E61" s="144">
        <v>7750.08</v>
      </c>
      <c r="F61" s="143" t="s">
        <v>551</v>
      </c>
      <c r="G61" s="143" t="s">
        <v>552</v>
      </c>
      <c r="H61" s="143" t="s">
        <v>553</v>
      </c>
      <c r="I61" s="143" t="s">
        <v>644</v>
      </c>
      <c r="J61" s="143" t="s">
        <v>645</v>
      </c>
      <c r="K61" s="143" t="s">
        <v>646</v>
      </c>
      <c r="L61" s="143" t="s">
        <v>557</v>
      </c>
      <c r="M61" s="143" t="s">
        <v>557</v>
      </c>
      <c r="N61" s="143" t="s">
        <v>558</v>
      </c>
      <c r="O61" s="143" t="s">
        <v>559</v>
      </c>
      <c r="P61" s="143" t="s">
        <v>566</v>
      </c>
      <c r="Q61" s="145" t="s">
        <v>561</v>
      </c>
    </row>
    <row r="62" spans="1:17" x14ac:dyDescent="0.25">
      <c r="A62" s="143" t="s">
        <v>579</v>
      </c>
      <c r="B62" s="143" t="s">
        <v>595</v>
      </c>
      <c r="C62" s="143" t="s">
        <v>690</v>
      </c>
      <c r="D62" s="144">
        <v>3965.76</v>
      </c>
      <c r="E62" s="144">
        <v>3010.17</v>
      </c>
      <c r="F62" s="143" t="s">
        <v>551</v>
      </c>
      <c r="G62" s="143" t="s">
        <v>552</v>
      </c>
      <c r="H62" s="143" t="s">
        <v>553</v>
      </c>
      <c r="I62" s="143" t="s">
        <v>670</v>
      </c>
      <c r="J62" s="143" t="s">
        <v>671</v>
      </c>
      <c r="K62" s="143" t="s">
        <v>672</v>
      </c>
      <c r="L62" s="143" t="s">
        <v>557</v>
      </c>
      <c r="M62" s="143" t="s">
        <v>557</v>
      </c>
      <c r="N62" s="143" t="s">
        <v>651</v>
      </c>
      <c r="O62" s="143" t="s">
        <v>559</v>
      </c>
      <c r="P62" s="143" t="s">
        <v>652</v>
      </c>
      <c r="Q62" s="145" t="s">
        <v>561</v>
      </c>
    </row>
    <row r="63" spans="1:17" x14ac:dyDescent="0.25">
      <c r="A63" s="143" t="s">
        <v>579</v>
      </c>
      <c r="B63" s="143" t="s">
        <v>608</v>
      </c>
      <c r="C63" s="143" t="s">
        <v>691</v>
      </c>
      <c r="D63" s="144">
        <v>59.28</v>
      </c>
      <c r="E63" s="144">
        <v>0</v>
      </c>
      <c r="F63" s="143" t="s">
        <v>551</v>
      </c>
      <c r="G63" s="143" t="s">
        <v>552</v>
      </c>
      <c r="H63" s="143" t="s">
        <v>553</v>
      </c>
      <c r="I63" s="143" t="s">
        <v>692</v>
      </c>
      <c r="J63" s="143" t="s">
        <v>568</v>
      </c>
      <c r="K63" s="143" t="s">
        <v>693</v>
      </c>
      <c r="L63" s="143" t="s">
        <v>557</v>
      </c>
      <c r="M63" s="143" t="s">
        <v>557</v>
      </c>
      <c r="N63" s="143" t="s">
        <v>651</v>
      </c>
      <c r="O63" s="143" t="s">
        <v>559</v>
      </c>
      <c r="P63" s="143" t="s">
        <v>652</v>
      </c>
      <c r="Q63" s="145" t="s">
        <v>561</v>
      </c>
    </row>
    <row r="64" spans="1:17" x14ac:dyDescent="0.25">
      <c r="A64" s="143" t="s">
        <v>579</v>
      </c>
      <c r="B64" s="143" t="s">
        <v>608</v>
      </c>
      <c r="C64" s="143" t="s">
        <v>691</v>
      </c>
      <c r="D64" s="144">
        <v>59.28</v>
      </c>
      <c r="E64" s="144">
        <v>0</v>
      </c>
      <c r="F64" s="143" t="s">
        <v>551</v>
      </c>
      <c r="G64" s="143" t="s">
        <v>552</v>
      </c>
      <c r="H64" s="143" t="s">
        <v>553</v>
      </c>
      <c r="I64" s="143" t="s">
        <v>648</v>
      </c>
      <c r="J64" s="143" t="s">
        <v>649</v>
      </c>
      <c r="K64" s="143" t="s">
        <v>650</v>
      </c>
      <c r="L64" s="143" t="s">
        <v>557</v>
      </c>
      <c r="M64" s="143" t="s">
        <v>557</v>
      </c>
      <c r="N64" s="143" t="s">
        <v>651</v>
      </c>
      <c r="O64" s="143" t="s">
        <v>559</v>
      </c>
      <c r="P64" s="143" t="s">
        <v>652</v>
      </c>
      <c r="Q64" s="145" t="s">
        <v>561</v>
      </c>
    </row>
    <row r="65" spans="1:17" x14ac:dyDescent="0.25">
      <c r="A65" s="143" t="s">
        <v>579</v>
      </c>
      <c r="B65" s="143" t="s">
        <v>608</v>
      </c>
      <c r="C65" s="143" t="s">
        <v>691</v>
      </c>
      <c r="D65" s="144">
        <v>59.28</v>
      </c>
      <c r="E65" s="144">
        <v>0</v>
      </c>
      <c r="F65" s="143" t="s">
        <v>551</v>
      </c>
      <c r="G65" s="143" t="s">
        <v>552</v>
      </c>
      <c r="H65" s="143" t="s">
        <v>553</v>
      </c>
      <c r="I65" s="143" t="s">
        <v>653</v>
      </c>
      <c r="J65" s="143" t="s">
        <v>654</v>
      </c>
      <c r="K65" s="143" t="s">
        <v>655</v>
      </c>
      <c r="L65" s="143" t="s">
        <v>557</v>
      </c>
      <c r="M65" s="143" t="s">
        <v>557</v>
      </c>
      <c r="N65" s="143" t="s">
        <v>651</v>
      </c>
      <c r="O65" s="143" t="s">
        <v>559</v>
      </c>
      <c r="P65" s="143" t="s">
        <v>652</v>
      </c>
      <c r="Q65" s="145" t="s">
        <v>561</v>
      </c>
    </row>
    <row r="66" spans="1:17" x14ac:dyDescent="0.25">
      <c r="A66" s="143" t="s">
        <v>548</v>
      </c>
      <c r="B66" s="143" t="s">
        <v>608</v>
      </c>
      <c r="C66" s="143" t="s">
        <v>691</v>
      </c>
      <c r="D66" s="144">
        <v>185.28</v>
      </c>
      <c r="E66" s="144">
        <v>0</v>
      </c>
      <c r="F66" s="143" t="s">
        <v>551</v>
      </c>
      <c r="G66" s="143" t="s">
        <v>552</v>
      </c>
      <c r="H66" s="143" t="s">
        <v>553</v>
      </c>
      <c r="I66" s="143" t="s">
        <v>658</v>
      </c>
      <c r="J66" s="143" t="s">
        <v>659</v>
      </c>
      <c r="K66" s="143" t="s">
        <v>660</v>
      </c>
      <c r="L66" s="143" t="s">
        <v>557</v>
      </c>
      <c r="M66" s="143" t="s">
        <v>557</v>
      </c>
      <c r="N66" s="143" t="s">
        <v>651</v>
      </c>
      <c r="O66" s="143" t="s">
        <v>559</v>
      </c>
      <c r="P66" s="143" t="s">
        <v>652</v>
      </c>
      <c r="Q66" s="145" t="s">
        <v>561</v>
      </c>
    </row>
    <row r="67" spans="1:17" x14ac:dyDescent="0.25">
      <c r="A67" s="143" t="s">
        <v>579</v>
      </c>
      <c r="B67" s="143" t="s">
        <v>608</v>
      </c>
      <c r="C67" s="143" t="s">
        <v>691</v>
      </c>
      <c r="D67" s="144">
        <v>59.28</v>
      </c>
      <c r="E67" s="144">
        <v>0</v>
      </c>
      <c r="F67" s="143" t="s">
        <v>551</v>
      </c>
      <c r="G67" s="143" t="s">
        <v>552</v>
      </c>
      <c r="H67" s="143" t="s">
        <v>553</v>
      </c>
      <c r="I67" s="143" t="s">
        <v>666</v>
      </c>
      <c r="J67" s="143" t="s">
        <v>667</v>
      </c>
      <c r="K67" s="143" t="s">
        <v>668</v>
      </c>
      <c r="L67" s="143" t="s">
        <v>557</v>
      </c>
      <c r="M67" s="143" t="s">
        <v>557</v>
      </c>
      <c r="N67" s="143" t="s">
        <v>651</v>
      </c>
      <c r="O67" s="143" t="s">
        <v>559</v>
      </c>
      <c r="P67" s="143" t="s">
        <v>669</v>
      </c>
      <c r="Q67" s="145" t="s">
        <v>561</v>
      </c>
    </row>
    <row r="68" spans="1:17" x14ac:dyDescent="0.25">
      <c r="A68" s="143" t="s">
        <v>579</v>
      </c>
      <c r="B68" s="143" t="s">
        <v>608</v>
      </c>
      <c r="C68" s="143" t="s">
        <v>691</v>
      </c>
      <c r="D68" s="144">
        <v>59.28</v>
      </c>
      <c r="E68" s="144">
        <v>0</v>
      </c>
      <c r="F68" s="143" t="s">
        <v>551</v>
      </c>
      <c r="G68" s="143" t="s">
        <v>552</v>
      </c>
      <c r="H68" s="143" t="s">
        <v>553</v>
      </c>
      <c r="I68" s="143" t="s">
        <v>670</v>
      </c>
      <c r="J68" s="143" t="s">
        <v>671</v>
      </c>
      <c r="K68" s="143" t="s">
        <v>672</v>
      </c>
      <c r="L68" s="143" t="s">
        <v>557</v>
      </c>
      <c r="M68" s="143" t="s">
        <v>557</v>
      </c>
      <c r="N68" s="143" t="s">
        <v>651</v>
      </c>
      <c r="O68" s="143" t="s">
        <v>559</v>
      </c>
      <c r="P68" s="143" t="s">
        <v>652</v>
      </c>
      <c r="Q68" s="145" t="s">
        <v>561</v>
      </c>
    </row>
    <row r="69" spans="1:17" x14ac:dyDescent="0.25">
      <c r="A69" s="143" t="s">
        <v>562</v>
      </c>
      <c r="B69" s="143" t="s">
        <v>608</v>
      </c>
      <c r="C69" s="143" t="s">
        <v>691</v>
      </c>
      <c r="D69" s="144">
        <v>112.32</v>
      </c>
      <c r="E69" s="144">
        <v>0</v>
      </c>
      <c r="F69" s="143" t="s">
        <v>551</v>
      </c>
      <c r="G69" s="143" t="s">
        <v>552</v>
      </c>
      <c r="H69" s="143" t="s">
        <v>553</v>
      </c>
      <c r="I69" s="143" t="s">
        <v>673</v>
      </c>
      <c r="J69" s="143" t="s">
        <v>674</v>
      </c>
      <c r="K69" s="143" t="s">
        <v>675</v>
      </c>
      <c r="L69" s="143" t="s">
        <v>557</v>
      </c>
      <c r="M69" s="143" t="s">
        <v>557</v>
      </c>
      <c r="N69" s="143" t="s">
        <v>651</v>
      </c>
      <c r="O69" s="143" t="s">
        <v>559</v>
      </c>
      <c r="P69" s="143" t="s">
        <v>652</v>
      </c>
      <c r="Q69" s="145" t="s">
        <v>561</v>
      </c>
    </row>
    <row r="70" spans="1:17" x14ac:dyDescent="0.25">
      <c r="A70" s="143" t="s">
        <v>548</v>
      </c>
      <c r="B70" s="143" t="s">
        <v>603</v>
      </c>
      <c r="C70" s="143" t="s">
        <v>694</v>
      </c>
      <c r="D70" s="144">
        <v>126</v>
      </c>
      <c r="E70" s="144">
        <v>59.28</v>
      </c>
      <c r="F70" s="143" t="s">
        <v>551</v>
      </c>
      <c r="G70" s="143" t="s">
        <v>552</v>
      </c>
      <c r="H70" s="143" t="s">
        <v>553</v>
      </c>
      <c r="I70" s="143" t="s">
        <v>554</v>
      </c>
      <c r="J70" s="143" t="s">
        <v>555</v>
      </c>
      <c r="K70" s="143" t="s">
        <v>556</v>
      </c>
      <c r="L70" s="143" t="s">
        <v>557</v>
      </c>
      <c r="M70" s="143" t="s">
        <v>557</v>
      </c>
      <c r="N70" s="143" t="s">
        <v>558</v>
      </c>
      <c r="O70" s="143" t="s">
        <v>559</v>
      </c>
      <c r="P70" s="143" t="s">
        <v>560</v>
      </c>
      <c r="Q70" s="145" t="s">
        <v>561</v>
      </c>
    </row>
    <row r="71" spans="1:17" x14ac:dyDescent="0.25">
      <c r="A71" s="143" t="s">
        <v>548</v>
      </c>
      <c r="B71" s="143" t="s">
        <v>603</v>
      </c>
      <c r="C71" s="143" t="s">
        <v>694</v>
      </c>
      <c r="D71" s="144">
        <v>126</v>
      </c>
      <c r="E71" s="144">
        <v>59.28</v>
      </c>
      <c r="F71" s="143" t="s">
        <v>551</v>
      </c>
      <c r="G71" s="143" t="s">
        <v>552</v>
      </c>
      <c r="H71" s="143" t="s">
        <v>553</v>
      </c>
      <c r="I71" s="143" t="s">
        <v>563</v>
      </c>
      <c r="J71" s="143" t="s">
        <v>564</v>
      </c>
      <c r="K71" s="143" t="s">
        <v>565</v>
      </c>
      <c r="L71" s="143" t="s">
        <v>557</v>
      </c>
      <c r="M71" s="143" t="s">
        <v>557</v>
      </c>
      <c r="N71" s="143" t="s">
        <v>558</v>
      </c>
      <c r="O71" s="143" t="s">
        <v>559</v>
      </c>
      <c r="P71" s="143" t="s">
        <v>566</v>
      </c>
      <c r="Q71" s="145" t="s">
        <v>561</v>
      </c>
    </row>
    <row r="72" spans="1:17" x14ac:dyDescent="0.25">
      <c r="A72" s="143" t="s">
        <v>548</v>
      </c>
      <c r="B72" s="143" t="s">
        <v>603</v>
      </c>
      <c r="C72" s="143" t="s">
        <v>694</v>
      </c>
      <c r="D72" s="144">
        <v>126</v>
      </c>
      <c r="E72" s="144">
        <v>59.28</v>
      </c>
      <c r="F72" s="143" t="s">
        <v>551</v>
      </c>
      <c r="G72" s="143" t="s">
        <v>552</v>
      </c>
      <c r="H72" s="143" t="s">
        <v>553</v>
      </c>
      <c r="I72" s="143" t="s">
        <v>567</v>
      </c>
      <c r="J72" s="143" t="s">
        <v>568</v>
      </c>
      <c r="K72" s="143" t="s">
        <v>569</v>
      </c>
      <c r="L72" s="143" t="s">
        <v>557</v>
      </c>
      <c r="M72" s="143" t="s">
        <v>557</v>
      </c>
      <c r="N72" s="143" t="s">
        <v>558</v>
      </c>
      <c r="O72" s="143" t="s">
        <v>559</v>
      </c>
      <c r="P72" s="143" t="s">
        <v>570</v>
      </c>
      <c r="Q72" s="145" t="s">
        <v>561</v>
      </c>
    </row>
    <row r="73" spans="1:17" x14ac:dyDescent="0.25">
      <c r="A73" s="143" t="s">
        <v>548</v>
      </c>
      <c r="B73" s="143" t="s">
        <v>603</v>
      </c>
      <c r="C73" s="143" t="s">
        <v>694</v>
      </c>
      <c r="D73" s="144">
        <v>126</v>
      </c>
      <c r="E73" s="144">
        <v>59.28</v>
      </c>
      <c r="F73" s="143" t="s">
        <v>551</v>
      </c>
      <c r="G73" s="143" t="s">
        <v>552</v>
      </c>
      <c r="H73" s="143" t="s">
        <v>553</v>
      </c>
      <c r="I73" s="143" t="s">
        <v>572</v>
      </c>
      <c r="J73" s="143" t="s">
        <v>573</v>
      </c>
      <c r="K73" s="143" t="s">
        <v>574</v>
      </c>
      <c r="L73" s="143" t="s">
        <v>557</v>
      </c>
      <c r="M73" s="143" t="s">
        <v>557</v>
      </c>
      <c r="N73" s="143" t="s">
        <v>558</v>
      </c>
      <c r="O73" s="143" t="s">
        <v>559</v>
      </c>
      <c r="P73" s="143" t="s">
        <v>570</v>
      </c>
      <c r="Q73" s="145" t="s">
        <v>561</v>
      </c>
    </row>
    <row r="74" spans="1:17" x14ac:dyDescent="0.25">
      <c r="A74" s="143" t="s">
        <v>548</v>
      </c>
      <c r="B74" s="143" t="s">
        <v>603</v>
      </c>
      <c r="C74" s="143" t="s">
        <v>694</v>
      </c>
      <c r="D74" s="144">
        <v>126</v>
      </c>
      <c r="E74" s="144">
        <v>59.28</v>
      </c>
      <c r="F74" s="143" t="s">
        <v>551</v>
      </c>
      <c r="G74" s="143" t="s">
        <v>552</v>
      </c>
      <c r="H74" s="143" t="s">
        <v>553</v>
      </c>
      <c r="I74" s="143" t="s">
        <v>575</v>
      </c>
      <c r="J74" s="143" t="s">
        <v>576</v>
      </c>
      <c r="K74" s="143" t="s">
        <v>577</v>
      </c>
      <c r="L74" s="143" t="s">
        <v>557</v>
      </c>
      <c r="M74" s="143" t="s">
        <v>557</v>
      </c>
      <c r="N74" s="143" t="s">
        <v>558</v>
      </c>
      <c r="O74" s="143" t="s">
        <v>559</v>
      </c>
      <c r="P74" s="143" t="s">
        <v>560</v>
      </c>
      <c r="Q74" s="145" t="s">
        <v>561</v>
      </c>
    </row>
    <row r="75" spans="1:17" x14ac:dyDescent="0.25">
      <c r="A75" s="143" t="s">
        <v>579</v>
      </c>
      <c r="B75" s="143" t="s">
        <v>603</v>
      </c>
      <c r="C75" s="143" t="s">
        <v>694</v>
      </c>
      <c r="D75" s="144">
        <v>0</v>
      </c>
      <c r="E75" s="144">
        <v>59.28</v>
      </c>
      <c r="F75" s="143" t="s">
        <v>551</v>
      </c>
      <c r="G75" s="143" t="s">
        <v>552</v>
      </c>
      <c r="H75" s="143" t="s">
        <v>553</v>
      </c>
      <c r="I75" s="143" t="s">
        <v>584</v>
      </c>
      <c r="J75" s="143" t="s">
        <v>585</v>
      </c>
      <c r="K75" s="143" t="s">
        <v>586</v>
      </c>
      <c r="L75" s="143" t="s">
        <v>557</v>
      </c>
      <c r="M75" s="143" t="s">
        <v>557</v>
      </c>
      <c r="N75" s="143" t="s">
        <v>558</v>
      </c>
      <c r="O75" s="143" t="s">
        <v>559</v>
      </c>
      <c r="P75" s="143" t="s">
        <v>560</v>
      </c>
      <c r="Q75" s="145" t="s">
        <v>561</v>
      </c>
    </row>
    <row r="76" spans="1:17" x14ac:dyDescent="0.25">
      <c r="A76" s="143" t="s">
        <v>579</v>
      </c>
      <c r="B76" s="143" t="s">
        <v>603</v>
      </c>
      <c r="C76" s="143" t="s">
        <v>694</v>
      </c>
      <c r="D76" s="144">
        <v>0</v>
      </c>
      <c r="E76" s="144">
        <v>59.28</v>
      </c>
      <c r="F76" s="143" t="s">
        <v>551</v>
      </c>
      <c r="G76" s="143" t="s">
        <v>552</v>
      </c>
      <c r="H76" s="143" t="s">
        <v>553</v>
      </c>
      <c r="I76" s="143" t="s">
        <v>685</v>
      </c>
      <c r="J76" s="143" t="s">
        <v>686</v>
      </c>
      <c r="K76" s="143" t="s">
        <v>687</v>
      </c>
      <c r="L76" s="143" t="s">
        <v>557</v>
      </c>
      <c r="M76" s="143" t="s">
        <v>557</v>
      </c>
      <c r="N76" s="143" t="s">
        <v>558</v>
      </c>
      <c r="O76" s="143" t="s">
        <v>559</v>
      </c>
      <c r="P76" s="143" t="s">
        <v>560</v>
      </c>
      <c r="Q76" s="145" t="s">
        <v>561</v>
      </c>
    </row>
    <row r="77" spans="1:17" x14ac:dyDescent="0.25">
      <c r="A77" s="143" t="s">
        <v>579</v>
      </c>
      <c r="B77" s="143" t="s">
        <v>603</v>
      </c>
      <c r="C77" s="143" t="s">
        <v>694</v>
      </c>
      <c r="D77" s="144">
        <v>0</v>
      </c>
      <c r="E77" s="144">
        <v>59.28</v>
      </c>
      <c r="F77" s="143" t="s">
        <v>551</v>
      </c>
      <c r="G77" s="143" t="s">
        <v>552</v>
      </c>
      <c r="H77" s="143" t="s">
        <v>553</v>
      </c>
      <c r="I77" s="143" t="s">
        <v>588</v>
      </c>
      <c r="J77" s="143" t="s">
        <v>589</v>
      </c>
      <c r="K77" s="143" t="s">
        <v>590</v>
      </c>
      <c r="L77" s="143" t="s">
        <v>557</v>
      </c>
      <c r="M77" s="143" t="s">
        <v>557</v>
      </c>
      <c r="N77" s="143" t="s">
        <v>558</v>
      </c>
      <c r="O77" s="143" t="s">
        <v>559</v>
      </c>
      <c r="P77" s="143" t="s">
        <v>570</v>
      </c>
      <c r="Q77" s="145" t="s">
        <v>561</v>
      </c>
    </row>
    <row r="78" spans="1:17" x14ac:dyDescent="0.25">
      <c r="A78" s="143" t="s">
        <v>579</v>
      </c>
      <c r="B78" s="143" t="s">
        <v>603</v>
      </c>
      <c r="C78" s="143" t="s">
        <v>694</v>
      </c>
      <c r="D78" s="144">
        <v>0</v>
      </c>
      <c r="E78" s="144">
        <v>59.28</v>
      </c>
      <c r="F78" s="143" t="s">
        <v>551</v>
      </c>
      <c r="G78" s="143" t="s">
        <v>552</v>
      </c>
      <c r="H78" s="143" t="s">
        <v>553</v>
      </c>
      <c r="I78" s="143" t="s">
        <v>596</v>
      </c>
      <c r="J78" s="143" t="s">
        <v>597</v>
      </c>
      <c r="K78" s="143" t="s">
        <v>598</v>
      </c>
      <c r="L78" s="143" t="s">
        <v>557</v>
      </c>
      <c r="M78" s="143" t="s">
        <v>557</v>
      </c>
      <c r="N78" s="143" t="s">
        <v>558</v>
      </c>
      <c r="O78" s="143" t="s">
        <v>559</v>
      </c>
      <c r="P78" s="143" t="s">
        <v>560</v>
      </c>
      <c r="Q78" s="145" t="s">
        <v>561</v>
      </c>
    </row>
    <row r="79" spans="1:17" x14ac:dyDescent="0.25">
      <c r="A79" s="143" t="s">
        <v>562</v>
      </c>
      <c r="B79" s="143" t="s">
        <v>603</v>
      </c>
      <c r="C79" s="143" t="s">
        <v>694</v>
      </c>
      <c r="D79" s="144">
        <v>53.04</v>
      </c>
      <c r="E79" s="144">
        <v>59.28</v>
      </c>
      <c r="F79" s="143" t="s">
        <v>551</v>
      </c>
      <c r="G79" s="143" t="s">
        <v>552</v>
      </c>
      <c r="H79" s="143" t="s">
        <v>553</v>
      </c>
      <c r="I79" s="143" t="s">
        <v>604</v>
      </c>
      <c r="J79" s="143" t="s">
        <v>605</v>
      </c>
      <c r="K79" s="143" t="s">
        <v>606</v>
      </c>
      <c r="L79" s="143" t="s">
        <v>557</v>
      </c>
      <c r="M79" s="143" t="s">
        <v>557</v>
      </c>
      <c r="N79" s="143" t="s">
        <v>558</v>
      </c>
      <c r="O79" s="143" t="s">
        <v>559</v>
      </c>
      <c r="P79" s="143" t="s">
        <v>607</v>
      </c>
      <c r="Q79" s="145" t="s">
        <v>561</v>
      </c>
    </row>
    <row r="80" spans="1:17" x14ac:dyDescent="0.25">
      <c r="A80" s="143" t="s">
        <v>548</v>
      </c>
      <c r="B80" s="143" t="s">
        <v>603</v>
      </c>
      <c r="C80" s="143" t="s">
        <v>694</v>
      </c>
      <c r="D80" s="144">
        <v>126</v>
      </c>
      <c r="E80" s="144">
        <v>59.28</v>
      </c>
      <c r="F80" s="143" t="s">
        <v>551</v>
      </c>
      <c r="G80" s="143" t="s">
        <v>552</v>
      </c>
      <c r="H80" s="143" t="s">
        <v>553</v>
      </c>
      <c r="I80" s="143" t="s">
        <v>609</v>
      </c>
      <c r="J80" s="143" t="s">
        <v>610</v>
      </c>
      <c r="K80" s="143" t="s">
        <v>611</v>
      </c>
      <c r="L80" s="143" t="s">
        <v>557</v>
      </c>
      <c r="M80" s="143" t="s">
        <v>557</v>
      </c>
      <c r="N80" s="143" t="s">
        <v>558</v>
      </c>
      <c r="O80" s="143" t="s">
        <v>559</v>
      </c>
      <c r="P80" s="143" t="s">
        <v>2</v>
      </c>
      <c r="Q80" s="145" t="s">
        <v>561</v>
      </c>
    </row>
    <row r="81" spans="1:17" x14ac:dyDescent="0.25">
      <c r="A81" s="143" t="s">
        <v>562</v>
      </c>
      <c r="B81" s="143" t="s">
        <v>603</v>
      </c>
      <c r="C81" s="143" t="s">
        <v>694</v>
      </c>
      <c r="D81" s="144">
        <v>53.04</v>
      </c>
      <c r="E81" s="144">
        <v>59.28</v>
      </c>
      <c r="F81" s="143" t="s">
        <v>551</v>
      </c>
      <c r="G81" s="143" t="s">
        <v>552</v>
      </c>
      <c r="H81" s="143" t="s">
        <v>553</v>
      </c>
      <c r="I81" s="143" t="s">
        <v>612</v>
      </c>
      <c r="J81" s="143" t="s">
        <v>613</v>
      </c>
      <c r="K81" s="143" t="s">
        <v>614</v>
      </c>
      <c r="L81" s="143" t="s">
        <v>557</v>
      </c>
      <c r="M81" s="143" t="s">
        <v>557</v>
      </c>
      <c r="N81" s="143" t="s">
        <v>558</v>
      </c>
      <c r="O81" s="143" t="s">
        <v>559</v>
      </c>
      <c r="P81" s="143" t="s">
        <v>566</v>
      </c>
      <c r="Q81" s="145" t="s">
        <v>561</v>
      </c>
    </row>
    <row r="82" spans="1:17" x14ac:dyDescent="0.25">
      <c r="A82" s="143" t="s">
        <v>562</v>
      </c>
      <c r="B82" s="143" t="s">
        <v>603</v>
      </c>
      <c r="C82" s="143" t="s">
        <v>694</v>
      </c>
      <c r="D82" s="144">
        <v>53.04</v>
      </c>
      <c r="E82" s="144">
        <v>59.28</v>
      </c>
      <c r="F82" s="143" t="s">
        <v>551</v>
      </c>
      <c r="G82" s="143" t="s">
        <v>552</v>
      </c>
      <c r="H82" s="143" t="s">
        <v>553</v>
      </c>
      <c r="I82" s="143" t="s">
        <v>678</v>
      </c>
      <c r="J82" s="143" t="s">
        <v>679</v>
      </c>
      <c r="K82" s="143" t="s">
        <v>680</v>
      </c>
      <c r="L82" s="143" t="s">
        <v>557</v>
      </c>
      <c r="M82" s="143" t="s">
        <v>557</v>
      </c>
      <c r="N82" s="143" t="s">
        <v>558</v>
      </c>
      <c r="O82" s="143" t="s">
        <v>559</v>
      </c>
      <c r="P82" s="143" t="s">
        <v>566</v>
      </c>
      <c r="Q82" s="145" t="s">
        <v>561</v>
      </c>
    </row>
    <row r="83" spans="1:17" x14ac:dyDescent="0.25">
      <c r="A83" s="143" t="s">
        <v>562</v>
      </c>
      <c r="B83" s="143" t="s">
        <v>603</v>
      </c>
      <c r="C83" s="143" t="s">
        <v>694</v>
      </c>
      <c r="D83" s="144">
        <v>53.04</v>
      </c>
      <c r="E83" s="144">
        <v>59.28</v>
      </c>
      <c r="F83" s="143" t="s">
        <v>551</v>
      </c>
      <c r="G83" s="143" t="s">
        <v>552</v>
      </c>
      <c r="H83" s="143" t="s">
        <v>553</v>
      </c>
      <c r="I83" s="143" t="s">
        <v>615</v>
      </c>
      <c r="J83" s="143" t="s">
        <v>616</v>
      </c>
      <c r="K83" s="143" t="s">
        <v>617</v>
      </c>
      <c r="L83" s="143" t="s">
        <v>557</v>
      </c>
      <c r="M83" s="143" t="s">
        <v>557</v>
      </c>
      <c r="N83" s="143" t="s">
        <v>558</v>
      </c>
      <c r="O83" s="143" t="s">
        <v>559</v>
      </c>
      <c r="P83" s="143" t="s">
        <v>560</v>
      </c>
      <c r="Q83" s="145" t="s">
        <v>561</v>
      </c>
    </row>
    <row r="84" spans="1:17" x14ac:dyDescent="0.25">
      <c r="A84" s="143" t="s">
        <v>579</v>
      </c>
      <c r="B84" s="143" t="s">
        <v>603</v>
      </c>
      <c r="C84" s="143" t="s">
        <v>694</v>
      </c>
      <c r="D84" s="144">
        <v>0</v>
      </c>
      <c r="E84" s="144">
        <v>59.28</v>
      </c>
      <c r="F84" s="143" t="s">
        <v>551</v>
      </c>
      <c r="G84" s="143" t="s">
        <v>552</v>
      </c>
      <c r="H84" s="143" t="s">
        <v>553</v>
      </c>
      <c r="I84" s="143" t="s">
        <v>618</v>
      </c>
      <c r="J84" s="143" t="s">
        <v>619</v>
      </c>
      <c r="K84" s="143" t="s">
        <v>620</v>
      </c>
      <c r="L84" s="143" t="s">
        <v>557</v>
      </c>
      <c r="M84" s="143" t="s">
        <v>557</v>
      </c>
      <c r="N84" s="143" t="s">
        <v>558</v>
      </c>
      <c r="O84" s="143" t="s">
        <v>559</v>
      </c>
      <c r="P84" s="143" t="s">
        <v>566</v>
      </c>
      <c r="Q84" s="145" t="s">
        <v>561</v>
      </c>
    </row>
    <row r="85" spans="1:17" x14ac:dyDescent="0.25">
      <c r="A85" s="143" t="s">
        <v>579</v>
      </c>
      <c r="B85" s="143" t="s">
        <v>603</v>
      </c>
      <c r="C85" s="143" t="s">
        <v>694</v>
      </c>
      <c r="D85" s="144">
        <v>0</v>
      </c>
      <c r="E85" s="144">
        <v>59.28</v>
      </c>
      <c r="F85" s="143" t="s">
        <v>551</v>
      </c>
      <c r="G85" s="143" t="s">
        <v>552</v>
      </c>
      <c r="H85" s="143" t="s">
        <v>553</v>
      </c>
      <c r="I85" s="143" t="s">
        <v>681</v>
      </c>
      <c r="J85" s="143" t="s">
        <v>682</v>
      </c>
      <c r="K85" s="143" t="s">
        <v>683</v>
      </c>
      <c r="L85" s="143" t="s">
        <v>557</v>
      </c>
      <c r="M85" s="143" t="s">
        <v>557</v>
      </c>
      <c r="N85" s="143" t="s">
        <v>558</v>
      </c>
      <c r="O85" s="143" t="s">
        <v>559</v>
      </c>
      <c r="P85" s="143" t="s">
        <v>566</v>
      </c>
      <c r="Q85" s="145" t="s">
        <v>561</v>
      </c>
    </row>
    <row r="86" spans="1:17" x14ac:dyDescent="0.25">
      <c r="A86" s="143" t="s">
        <v>579</v>
      </c>
      <c r="B86" s="143" t="s">
        <v>603</v>
      </c>
      <c r="C86" s="143" t="s">
        <v>694</v>
      </c>
      <c r="D86" s="144">
        <v>0</v>
      </c>
      <c r="E86" s="144">
        <v>59.28</v>
      </c>
      <c r="F86" s="143" t="s">
        <v>551</v>
      </c>
      <c r="G86" s="143" t="s">
        <v>552</v>
      </c>
      <c r="H86" s="143" t="s">
        <v>553</v>
      </c>
      <c r="I86" s="143" t="s">
        <v>621</v>
      </c>
      <c r="J86" s="143" t="s">
        <v>622</v>
      </c>
      <c r="K86" s="143" t="s">
        <v>623</v>
      </c>
      <c r="L86" s="143" t="s">
        <v>557</v>
      </c>
      <c r="M86" s="143" t="s">
        <v>557</v>
      </c>
      <c r="N86" s="143" t="s">
        <v>558</v>
      </c>
      <c r="O86" s="143" t="s">
        <v>559</v>
      </c>
      <c r="P86" s="143" t="s">
        <v>566</v>
      </c>
      <c r="Q86" s="145" t="s">
        <v>561</v>
      </c>
    </row>
    <row r="87" spans="1:17" x14ac:dyDescent="0.25">
      <c r="A87" s="143" t="s">
        <v>562</v>
      </c>
      <c r="B87" s="143" t="s">
        <v>603</v>
      </c>
      <c r="C87" s="143" t="s">
        <v>694</v>
      </c>
      <c r="D87" s="144">
        <v>53.04</v>
      </c>
      <c r="E87" s="144">
        <v>59.28</v>
      </c>
      <c r="F87" s="143" t="s">
        <v>551</v>
      </c>
      <c r="G87" s="143" t="s">
        <v>552</v>
      </c>
      <c r="H87" s="143" t="s">
        <v>553</v>
      </c>
      <c r="I87" s="143" t="s">
        <v>624</v>
      </c>
      <c r="J87" s="143" t="s">
        <v>622</v>
      </c>
      <c r="K87" s="143" t="s">
        <v>625</v>
      </c>
      <c r="L87" s="143" t="s">
        <v>557</v>
      </c>
      <c r="M87" s="143" t="s">
        <v>557</v>
      </c>
      <c r="N87" s="143" t="s">
        <v>558</v>
      </c>
      <c r="O87" s="143" t="s">
        <v>559</v>
      </c>
      <c r="P87" s="143" t="s">
        <v>566</v>
      </c>
      <c r="Q87" s="145" t="s">
        <v>561</v>
      </c>
    </row>
    <row r="88" spans="1:17" x14ac:dyDescent="0.25">
      <c r="A88" s="143" t="s">
        <v>599</v>
      </c>
      <c r="B88" s="143" t="s">
        <v>603</v>
      </c>
      <c r="C88" s="143" t="s">
        <v>694</v>
      </c>
      <c r="D88" s="144">
        <v>72.48</v>
      </c>
      <c r="E88" s="144">
        <v>59.28</v>
      </c>
      <c r="F88" s="143" t="s">
        <v>551</v>
      </c>
      <c r="G88" s="143" t="s">
        <v>552</v>
      </c>
      <c r="H88" s="143" t="s">
        <v>553</v>
      </c>
      <c r="I88" s="143" t="s">
        <v>626</v>
      </c>
      <c r="J88" s="143" t="s">
        <v>627</v>
      </c>
      <c r="K88" s="143" t="s">
        <v>628</v>
      </c>
      <c r="L88" s="143" t="s">
        <v>557</v>
      </c>
      <c r="M88" s="143" t="s">
        <v>557</v>
      </c>
      <c r="N88" s="143" t="s">
        <v>558</v>
      </c>
      <c r="O88" s="143" t="s">
        <v>559</v>
      </c>
      <c r="P88" s="143" t="s">
        <v>566</v>
      </c>
      <c r="Q88" s="145" t="s">
        <v>561</v>
      </c>
    </row>
    <row r="89" spans="1:17" x14ac:dyDescent="0.25">
      <c r="A89" s="143" t="s">
        <v>579</v>
      </c>
      <c r="B89" s="143" t="s">
        <v>603</v>
      </c>
      <c r="C89" s="143" t="s">
        <v>694</v>
      </c>
      <c r="D89" s="144">
        <v>0</v>
      </c>
      <c r="E89" s="144">
        <v>59.28</v>
      </c>
      <c r="F89" s="143" t="s">
        <v>551</v>
      </c>
      <c r="G89" s="143" t="s">
        <v>552</v>
      </c>
      <c r="H89" s="143" t="s">
        <v>553</v>
      </c>
      <c r="I89" s="143" t="s">
        <v>629</v>
      </c>
      <c r="J89" s="143" t="s">
        <v>630</v>
      </c>
      <c r="K89" s="143" t="s">
        <v>631</v>
      </c>
      <c r="L89" s="143" t="s">
        <v>557</v>
      </c>
      <c r="M89" s="143" t="s">
        <v>557</v>
      </c>
      <c r="N89" s="143" t="s">
        <v>558</v>
      </c>
      <c r="O89" s="143" t="s">
        <v>559</v>
      </c>
      <c r="P89" s="143" t="s">
        <v>560</v>
      </c>
      <c r="Q89" s="145" t="s">
        <v>561</v>
      </c>
    </row>
    <row r="90" spans="1:17" x14ac:dyDescent="0.25">
      <c r="A90" s="143" t="s">
        <v>579</v>
      </c>
      <c r="B90" s="143" t="s">
        <v>603</v>
      </c>
      <c r="C90" s="143" t="s">
        <v>694</v>
      </c>
      <c r="D90" s="144">
        <v>0</v>
      </c>
      <c r="E90" s="144">
        <v>59.28</v>
      </c>
      <c r="F90" s="143" t="s">
        <v>551</v>
      </c>
      <c r="G90" s="143" t="s">
        <v>552</v>
      </c>
      <c r="H90" s="143" t="s">
        <v>553</v>
      </c>
      <c r="I90" s="143" t="s">
        <v>632</v>
      </c>
      <c r="J90" s="143" t="s">
        <v>633</v>
      </c>
      <c r="K90" s="143" t="s">
        <v>634</v>
      </c>
      <c r="L90" s="143" t="s">
        <v>557</v>
      </c>
      <c r="M90" s="143" t="s">
        <v>557</v>
      </c>
      <c r="N90" s="143" t="s">
        <v>558</v>
      </c>
      <c r="O90" s="143" t="s">
        <v>559</v>
      </c>
      <c r="P90" s="143" t="s">
        <v>560</v>
      </c>
      <c r="Q90" s="145" t="s">
        <v>561</v>
      </c>
    </row>
    <row r="91" spans="1:17" x14ac:dyDescent="0.25">
      <c r="A91" s="143" t="s">
        <v>579</v>
      </c>
      <c r="B91" s="143" t="s">
        <v>603</v>
      </c>
      <c r="C91" s="143" t="s">
        <v>694</v>
      </c>
      <c r="D91" s="144">
        <v>0</v>
      </c>
      <c r="E91" s="144">
        <v>59.28</v>
      </c>
      <c r="F91" s="143" t="s">
        <v>551</v>
      </c>
      <c r="G91" s="143" t="s">
        <v>552</v>
      </c>
      <c r="H91" s="143" t="s">
        <v>553</v>
      </c>
      <c r="I91" s="143" t="s">
        <v>635</v>
      </c>
      <c r="J91" s="143" t="s">
        <v>636</v>
      </c>
      <c r="K91" s="143" t="s">
        <v>637</v>
      </c>
      <c r="L91" s="143" t="s">
        <v>557</v>
      </c>
      <c r="M91" s="143" t="s">
        <v>557</v>
      </c>
      <c r="N91" s="143" t="s">
        <v>558</v>
      </c>
      <c r="O91" s="143" t="s">
        <v>559</v>
      </c>
      <c r="P91" s="143" t="s">
        <v>566</v>
      </c>
      <c r="Q91" s="145" t="s">
        <v>561</v>
      </c>
    </row>
    <row r="92" spans="1:17" x14ac:dyDescent="0.25">
      <c r="A92" s="143" t="s">
        <v>562</v>
      </c>
      <c r="B92" s="143" t="s">
        <v>603</v>
      </c>
      <c r="C92" s="143" t="s">
        <v>694</v>
      </c>
      <c r="D92" s="144">
        <v>53.04</v>
      </c>
      <c r="E92" s="144">
        <v>59.28</v>
      </c>
      <c r="F92" s="143" t="s">
        <v>551</v>
      </c>
      <c r="G92" s="143" t="s">
        <v>552</v>
      </c>
      <c r="H92" s="143" t="s">
        <v>553</v>
      </c>
      <c r="I92" s="143" t="s">
        <v>695</v>
      </c>
      <c r="J92" s="143" t="s">
        <v>696</v>
      </c>
      <c r="K92" s="143" t="s">
        <v>598</v>
      </c>
      <c r="L92" s="143" t="s">
        <v>557</v>
      </c>
      <c r="M92" s="143" t="s">
        <v>557</v>
      </c>
      <c r="N92" s="143" t="s">
        <v>558</v>
      </c>
      <c r="O92" s="143" t="s">
        <v>559</v>
      </c>
      <c r="P92" s="143" t="s">
        <v>566</v>
      </c>
      <c r="Q92" s="145" t="s">
        <v>561</v>
      </c>
    </row>
    <row r="93" spans="1:17" x14ac:dyDescent="0.25">
      <c r="A93" s="143" t="s">
        <v>579</v>
      </c>
      <c r="B93" s="143" t="s">
        <v>603</v>
      </c>
      <c r="C93" s="143" t="s">
        <v>694</v>
      </c>
      <c r="D93" s="144">
        <v>0</v>
      </c>
      <c r="E93" s="144">
        <v>59.28</v>
      </c>
      <c r="F93" s="143" t="s">
        <v>551</v>
      </c>
      <c r="G93" s="143" t="s">
        <v>552</v>
      </c>
      <c r="H93" s="143" t="s">
        <v>553</v>
      </c>
      <c r="I93" s="143" t="s">
        <v>638</v>
      </c>
      <c r="J93" s="143" t="s">
        <v>639</v>
      </c>
      <c r="K93" s="143" t="s">
        <v>640</v>
      </c>
      <c r="L93" s="143" t="s">
        <v>557</v>
      </c>
      <c r="M93" s="143" t="s">
        <v>557</v>
      </c>
      <c r="N93" s="143" t="s">
        <v>558</v>
      </c>
      <c r="O93" s="143" t="s">
        <v>559</v>
      </c>
      <c r="P93" s="143" t="s">
        <v>560</v>
      </c>
      <c r="Q93" s="145" t="s">
        <v>561</v>
      </c>
    </row>
    <row r="94" spans="1:17" x14ac:dyDescent="0.25">
      <c r="A94" s="143" t="s">
        <v>599</v>
      </c>
      <c r="B94" s="143" t="s">
        <v>603</v>
      </c>
      <c r="C94" s="143" t="s">
        <v>694</v>
      </c>
      <c r="D94" s="144">
        <v>72.48</v>
      </c>
      <c r="E94" s="144">
        <v>59.28</v>
      </c>
      <c r="F94" s="143" t="s">
        <v>551</v>
      </c>
      <c r="G94" s="143" t="s">
        <v>552</v>
      </c>
      <c r="H94" s="143" t="s">
        <v>553</v>
      </c>
      <c r="I94" s="143" t="s">
        <v>641</v>
      </c>
      <c r="J94" s="143" t="s">
        <v>642</v>
      </c>
      <c r="K94" s="143" t="s">
        <v>643</v>
      </c>
      <c r="L94" s="143" t="s">
        <v>557</v>
      </c>
      <c r="M94" s="143" t="s">
        <v>557</v>
      </c>
      <c r="N94" s="143" t="s">
        <v>558</v>
      </c>
      <c r="O94" s="143" t="s">
        <v>559</v>
      </c>
      <c r="P94" s="143" t="s">
        <v>560</v>
      </c>
      <c r="Q94" s="145" t="s">
        <v>561</v>
      </c>
    </row>
    <row r="95" spans="1:17" x14ac:dyDescent="0.25">
      <c r="A95" s="143" t="s">
        <v>562</v>
      </c>
      <c r="B95" s="143" t="s">
        <v>603</v>
      </c>
      <c r="C95" s="143" t="s">
        <v>694</v>
      </c>
      <c r="D95" s="144">
        <v>53.04</v>
      </c>
      <c r="E95" s="144">
        <v>59.28</v>
      </c>
      <c r="F95" s="143" t="s">
        <v>551</v>
      </c>
      <c r="G95" s="143" t="s">
        <v>552</v>
      </c>
      <c r="H95" s="143" t="s">
        <v>553</v>
      </c>
      <c r="I95" s="143" t="s">
        <v>644</v>
      </c>
      <c r="J95" s="143" t="s">
        <v>645</v>
      </c>
      <c r="K95" s="143" t="s">
        <v>646</v>
      </c>
      <c r="L95" s="143" t="s">
        <v>557</v>
      </c>
      <c r="M95" s="143" t="s">
        <v>557</v>
      </c>
      <c r="N95" s="143" t="s">
        <v>558</v>
      </c>
      <c r="O95" s="143" t="s">
        <v>559</v>
      </c>
      <c r="P95" s="143" t="s">
        <v>566</v>
      </c>
      <c r="Q95" s="145" t="s">
        <v>561</v>
      </c>
    </row>
    <row r="97" spans="5:5" x14ac:dyDescent="0.25">
      <c r="E97" s="148">
        <f>SUM(E2:E96)</f>
        <v>183535.88999999996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E97F-6280-44EA-BA55-D2633BD667EE}">
  <dimension ref="A1:M62"/>
  <sheetViews>
    <sheetView zoomScale="75" zoomScaleNormal="75" workbookViewId="0">
      <selection activeCell="M43" sqref="M43"/>
    </sheetView>
  </sheetViews>
  <sheetFormatPr defaultColWidth="8.85546875" defaultRowHeight="15" x14ac:dyDescent="0.25"/>
  <cols>
    <col min="1" max="1" width="8.85546875" style="113" customWidth="1"/>
    <col min="2" max="2" width="19.5703125" style="113" bestFit="1" customWidth="1"/>
    <col min="3" max="5" width="18.7109375" style="113" customWidth="1"/>
    <col min="6" max="9" width="8.85546875" style="113"/>
    <col min="10" max="10" width="13.42578125" style="113" bestFit="1" customWidth="1"/>
    <col min="11" max="11" width="8.85546875" style="113"/>
    <col min="12" max="12" width="9.85546875" style="113" customWidth="1"/>
    <col min="13" max="13" width="17" style="113" customWidth="1"/>
    <col min="14" max="16384" width="8.85546875" style="113"/>
  </cols>
  <sheetData>
    <row r="1" spans="1:13" ht="15.75" x14ac:dyDescent="0.25">
      <c r="A1" s="112"/>
      <c r="B1" s="284" t="s">
        <v>553</v>
      </c>
      <c r="C1" s="284"/>
      <c r="D1" s="284"/>
      <c r="E1" s="284"/>
      <c r="F1" s="112"/>
    </row>
    <row r="2" spans="1:13" ht="15.75" x14ac:dyDescent="0.25">
      <c r="A2" s="112"/>
      <c r="B2" s="284" t="s">
        <v>697</v>
      </c>
      <c r="C2" s="284"/>
      <c r="D2" s="284"/>
      <c r="E2" s="284"/>
      <c r="F2" s="112"/>
    </row>
    <row r="4" spans="1:13" x14ac:dyDescent="0.25">
      <c r="B4" s="114"/>
      <c r="C4" s="108"/>
      <c r="D4" s="108"/>
      <c r="E4" s="114"/>
    </row>
    <row r="5" spans="1:13" x14ac:dyDescent="0.25">
      <c r="C5" s="108"/>
      <c r="D5" s="108"/>
      <c r="E5" s="114"/>
    </row>
    <row r="6" spans="1:13" x14ac:dyDescent="0.25">
      <c r="B6" s="115"/>
      <c r="C6" s="116"/>
      <c r="D6" s="116"/>
      <c r="E6" s="116"/>
      <c r="J6" s="194" t="s">
        <v>698</v>
      </c>
      <c r="L6" s="195" t="s">
        <v>699</v>
      </c>
      <c r="M6" s="196" t="s">
        <v>700</v>
      </c>
    </row>
    <row r="7" spans="1:13" x14ac:dyDescent="0.25">
      <c r="B7" s="115"/>
      <c r="C7" s="116"/>
      <c r="D7" s="116"/>
      <c r="E7" s="116"/>
      <c r="J7" s="189">
        <v>100000</v>
      </c>
      <c r="K7" s="113" t="s">
        <v>309</v>
      </c>
      <c r="M7" s="116">
        <f>J7*12</f>
        <v>1200000</v>
      </c>
    </row>
    <row r="8" spans="1:13" x14ac:dyDescent="0.25">
      <c r="B8" s="115"/>
      <c r="C8" s="116"/>
      <c r="D8" s="116"/>
      <c r="E8" s="116"/>
      <c r="J8" s="116">
        <f>103000</f>
        <v>103000</v>
      </c>
      <c r="K8" s="113" t="s">
        <v>310</v>
      </c>
      <c r="L8" s="190">
        <f>(J8-J7)/J7</f>
        <v>0.03</v>
      </c>
      <c r="M8" s="116">
        <f t="shared" ref="M8:M10" si="0">J8*12</f>
        <v>1236000</v>
      </c>
    </row>
    <row r="9" spans="1:13" x14ac:dyDescent="0.25">
      <c r="B9" s="115"/>
      <c r="C9" s="116"/>
      <c r="D9" s="116"/>
      <c r="E9" s="116"/>
      <c r="J9" s="189">
        <f>106090</f>
        <v>106090</v>
      </c>
      <c r="K9" s="113" t="s">
        <v>311</v>
      </c>
      <c r="L9" s="190">
        <f t="shared" ref="L9:L10" si="1">(J9-J8)/J8</f>
        <v>0.03</v>
      </c>
      <c r="M9" s="116">
        <f t="shared" si="0"/>
        <v>1273080</v>
      </c>
    </row>
    <row r="10" spans="1:13" x14ac:dyDescent="0.25">
      <c r="B10" s="115"/>
      <c r="C10" s="116"/>
      <c r="D10" s="116"/>
      <c r="E10" s="116"/>
      <c r="J10" s="191">
        <f>J9*1.03</f>
        <v>109272.7</v>
      </c>
      <c r="K10" s="192" t="s">
        <v>312</v>
      </c>
      <c r="L10" s="193">
        <f t="shared" si="1"/>
        <v>2.9999999999999971E-2</v>
      </c>
      <c r="M10" s="116">
        <f t="shared" si="0"/>
        <v>1311272.3999999999</v>
      </c>
    </row>
    <row r="11" spans="1:13" x14ac:dyDescent="0.25">
      <c r="B11" s="115"/>
      <c r="C11" s="116"/>
      <c r="D11" s="116"/>
      <c r="E11" s="116"/>
    </row>
    <row r="12" spans="1:13" x14ac:dyDescent="0.25">
      <c r="B12" s="115"/>
      <c r="C12" s="116"/>
      <c r="D12" s="116"/>
      <c r="E12" s="116"/>
    </row>
    <row r="13" spans="1:13" x14ac:dyDescent="0.25">
      <c r="B13" s="115"/>
      <c r="C13" s="116"/>
      <c r="D13" s="116"/>
      <c r="E13" s="116"/>
    </row>
    <row r="14" spans="1:13" x14ac:dyDescent="0.25">
      <c r="B14" s="115"/>
      <c r="C14" s="116"/>
      <c r="D14" s="116"/>
      <c r="E14" s="116"/>
    </row>
    <row r="15" spans="1:13" x14ac:dyDescent="0.25">
      <c r="B15" s="115"/>
      <c r="C15" s="116"/>
      <c r="D15" s="116"/>
      <c r="E15" s="116"/>
    </row>
    <row r="16" spans="1:13" x14ac:dyDescent="0.25">
      <c r="B16" s="115"/>
      <c r="C16" s="116"/>
      <c r="D16" s="116"/>
      <c r="E16" s="116"/>
    </row>
    <row r="17" spans="2:5" x14ac:dyDescent="0.25">
      <c r="B17" s="115"/>
      <c r="C17" s="116"/>
      <c r="D17" s="116"/>
      <c r="E17" s="116"/>
    </row>
    <row r="18" spans="2:5" x14ac:dyDescent="0.25">
      <c r="B18" s="115"/>
      <c r="C18" s="116"/>
      <c r="D18" s="116"/>
      <c r="E18" s="116"/>
    </row>
    <row r="19" spans="2:5" x14ac:dyDescent="0.25">
      <c r="B19" s="115"/>
      <c r="C19" s="116"/>
      <c r="D19" s="116"/>
      <c r="E19" s="116"/>
    </row>
    <row r="20" spans="2:5" x14ac:dyDescent="0.25">
      <c r="B20" s="115"/>
      <c r="C20" s="116"/>
      <c r="D20" s="116"/>
      <c r="E20" s="116"/>
    </row>
    <row r="21" spans="2:5" x14ac:dyDescent="0.25">
      <c r="B21" s="115"/>
      <c r="C21" s="116"/>
      <c r="D21" s="116"/>
      <c r="E21" s="116"/>
    </row>
    <row r="22" spans="2:5" x14ac:dyDescent="0.25">
      <c r="B22" s="115"/>
      <c r="C22" s="116"/>
      <c r="D22" s="116"/>
      <c r="E22" s="116"/>
    </row>
    <row r="23" spans="2:5" x14ac:dyDescent="0.25">
      <c r="B23" s="115"/>
      <c r="C23" s="116"/>
      <c r="D23" s="116"/>
      <c r="E23" s="116"/>
    </row>
    <row r="24" spans="2:5" x14ac:dyDescent="0.25">
      <c r="B24" s="115"/>
      <c r="C24" s="116"/>
      <c r="D24" s="116"/>
      <c r="E24" s="116"/>
    </row>
    <row r="25" spans="2:5" x14ac:dyDescent="0.25">
      <c r="B25" s="115"/>
      <c r="C25" s="116"/>
      <c r="D25" s="116"/>
      <c r="E25" s="116"/>
    </row>
    <row r="26" spans="2:5" x14ac:dyDescent="0.25">
      <c r="B26" s="115"/>
      <c r="C26" s="116"/>
      <c r="D26" s="116"/>
      <c r="E26" s="116"/>
    </row>
    <row r="27" spans="2:5" x14ac:dyDescent="0.25">
      <c r="B27" s="115"/>
      <c r="C27" s="116"/>
      <c r="D27" s="116"/>
      <c r="E27" s="116"/>
    </row>
    <row r="28" spans="2:5" x14ac:dyDescent="0.25">
      <c r="B28" s="115"/>
      <c r="C28" s="116"/>
      <c r="D28" s="116"/>
      <c r="E28" s="116"/>
    </row>
    <row r="29" spans="2:5" x14ac:dyDescent="0.25">
      <c r="B29" s="115"/>
      <c r="C29" s="116"/>
      <c r="D29" s="116"/>
      <c r="E29" s="116"/>
    </row>
    <row r="30" spans="2:5" x14ac:dyDescent="0.25">
      <c r="B30" s="115"/>
      <c r="C30" s="116"/>
      <c r="D30" s="116"/>
      <c r="E30" s="116"/>
    </row>
    <row r="31" spans="2:5" x14ac:dyDescent="0.25">
      <c r="B31" s="115"/>
      <c r="C31" s="116"/>
      <c r="D31" s="116"/>
      <c r="E31" s="116"/>
    </row>
    <row r="32" spans="2:5" x14ac:dyDescent="0.25">
      <c r="B32" s="115"/>
      <c r="C32" s="116"/>
      <c r="D32" s="116"/>
      <c r="E32" s="116"/>
    </row>
    <row r="33" spans="2:5" x14ac:dyDescent="0.25">
      <c r="B33" s="115"/>
      <c r="C33" s="116"/>
      <c r="D33" s="116"/>
      <c r="E33" s="116"/>
    </row>
    <row r="34" spans="2:5" x14ac:dyDescent="0.25">
      <c r="B34" s="115"/>
      <c r="C34" s="116"/>
      <c r="D34" s="116"/>
      <c r="E34" s="116"/>
    </row>
    <row r="35" spans="2:5" x14ac:dyDescent="0.25">
      <c r="B35" s="115"/>
      <c r="C35" s="116"/>
      <c r="D35" s="116"/>
      <c r="E35" s="116"/>
    </row>
    <row r="36" spans="2:5" x14ac:dyDescent="0.25">
      <c r="B36" s="115"/>
      <c r="C36" s="116"/>
      <c r="D36" s="116"/>
      <c r="E36" s="116"/>
    </row>
    <row r="37" spans="2:5" x14ac:dyDescent="0.25">
      <c r="B37" s="115"/>
      <c r="C37" s="116"/>
      <c r="D37" s="116"/>
      <c r="E37" s="116"/>
    </row>
    <row r="38" spans="2:5" x14ac:dyDescent="0.25">
      <c r="B38" s="115"/>
      <c r="C38" s="115"/>
      <c r="D38" s="115"/>
      <c r="E38" s="116"/>
    </row>
    <row r="40" spans="2:5" x14ac:dyDescent="0.25">
      <c r="B40" s="115"/>
      <c r="C40" s="115"/>
      <c r="D40" s="115"/>
      <c r="E40" s="116"/>
    </row>
    <row r="41" spans="2:5" x14ac:dyDescent="0.25">
      <c r="B41" s="115"/>
      <c r="C41" s="115"/>
      <c r="D41" s="115"/>
      <c r="E41" s="116"/>
    </row>
    <row r="42" spans="2:5" x14ac:dyDescent="0.25">
      <c r="B42" s="115"/>
      <c r="C42" s="115"/>
      <c r="D42" s="115"/>
      <c r="E42" s="116"/>
    </row>
    <row r="43" spans="2:5" x14ac:dyDescent="0.25">
      <c r="B43" s="115"/>
      <c r="C43" s="115"/>
      <c r="D43" s="115"/>
      <c r="E43" s="116"/>
    </row>
    <row r="44" spans="2:5" x14ac:dyDescent="0.25">
      <c r="B44" s="115"/>
      <c r="C44" s="115"/>
      <c r="D44" s="115"/>
      <c r="E44" s="116"/>
    </row>
    <row r="45" spans="2:5" x14ac:dyDescent="0.25">
      <c r="B45" s="115"/>
      <c r="C45" s="115"/>
      <c r="D45" s="115"/>
      <c r="E45" s="116"/>
    </row>
    <row r="46" spans="2:5" x14ac:dyDescent="0.25">
      <c r="B46" s="115"/>
      <c r="C46" s="115"/>
      <c r="D46" s="115"/>
      <c r="E46" s="116"/>
    </row>
    <row r="47" spans="2:5" x14ac:dyDescent="0.25">
      <c r="B47" s="115"/>
      <c r="C47" s="115"/>
      <c r="D47" s="115"/>
      <c r="E47" s="116"/>
    </row>
    <row r="48" spans="2:5" x14ac:dyDescent="0.25">
      <c r="B48" s="115"/>
      <c r="C48" s="115"/>
      <c r="D48" s="115"/>
      <c r="E48" s="116"/>
    </row>
    <row r="49" spans="1:6" x14ac:dyDescent="0.25">
      <c r="B49" s="115"/>
      <c r="C49" s="115"/>
      <c r="D49" s="115"/>
      <c r="E49" s="116"/>
    </row>
    <row r="50" spans="1:6" x14ac:dyDescent="0.25">
      <c r="B50" s="115"/>
      <c r="C50" s="115"/>
      <c r="D50" s="115"/>
      <c r="E50" s="116"/>
    </row>
    <row r="51" spans="1:6" x14ac:dyDescent="0.25">
      <c r="B51" s="115"/>
      <c r="C51" s="115"/>
      <c r="D51" s="115"/>
      <c r="E51" s="116"/>
    </row>
    <row r="52" spans="1:6" x14ac:dyDescent="0.25">
      <c r="B52" s="115"/>
      <c r="C52" s="115"/>
      <c r="D52" s="115"/>
      <c r="E52" s="116"/>
    </row>
    <row r="53" spans="1:6" x14ac:dyDescent="0.25">
      <c r="B53" s="115"/>
      <c r="C53" s="115"/>
      <c r="D53" s="115"/>
      <c r="E53" s="116"/>
    </row>
    <row r="54" spans="1:6" x14ac:dyDescent="0.25">
      <c r="B54" s="120"/>
      <c r="C54" s="120"/>
      <c r="D54" s="120"/>
      <c r="E54" s="121"/>
      <c r="F54" s="120"/>
    </row>
    <row r="55" spans="1:6" x14ac:dyDescent="0.25">
      <c r="B55" s="120"/>
      <c r="C55" s="120"/>
      <c r="D55" s="120"/>
      <c r="E55" s="121"/>
      <c r="F55" s="120"/>
    </row>
    <row r="57" spans="1:6" x14ac:dyDescent="0.25">
      <c r="A57" s="117"/>
      <c r="E57" s="118"/>
    </row>
    <row r="58" spans="1:6" x14ac:dyDescent="0.25">
      <c r="A58" s="117"/>
      <c r="E58" s="118"/>
    </row>
    <row r="59" spans="1:6" x14ac:dyDescent="0.25">
      <c r="E59" s="119"/>
    </row>
    <row r="61" spans="1:6" x14ac:dyDescent="0.25">
      <c r="B61" s="120"/>
      <c r="C61" s="120"/>
      <c r="D61" s="120"/>
      <c r="E61" s="121"/>
    </row>
    <row r="62" spans="1:6" x14ac:dyDescent="0.25">
      <c r="B62" s="120"/>
      <c r="C62" s="120"/>
      <c r="D62" s="120"/>
      <c r="E62" s="121"/>
    </row>
  </sheetData>
  <mergeCells count="2">
    <mergeCell ref="B1:E1"/>
    <mergeCell ref="B2:E2"/>
  </mergeCells>
  <phoneticPr fontId="15"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74C8-62B5-4260-B351-7066CB228B75}">
  <dimension ref="A1:Y63"/>
  <sheetViews>
    <sheetView topLeftCell="A21" zoomScale="75" zoomScaleNormal="75" zoomScaleSheetLayoutView="55" workbookViewId="0">
      <selection activeCell="N56" sqref="N56:O56"/>
    </sheetView>
  </sheetViews>
  <sheetFormatPr defaultRowHeight="15" x14ac:dyDescent="0.25"/>
  <cols>
    <col min="20" max="20" width="10.7109375" bestFit="1" customWidth="1"/>
  </cols>
  <sheetData>
    <row r="1" spans="1:25" ht="14.65" customHeight="1" x14ac:dyDescent="0.25">
      <c r="A1" s="291" t="s">
        <v>701</v>
      </c>
      <c r="B1" s="288"/>
      <c r="C1" s="288"/>
      <c r="D1" s="288"/>
      <c r="E1" s="288"/>
      <c r="F1" s="288"/>
      <c r="G1" s="288"/>
      <c r="H1" s="288"/>
      <c r="I1" s="288"/>
      <c r="J1" s="288"/>
      <c r="K1" s="288"/>
      <c r="L1" s="288"/>
      <c r="M1" s="288"/>
      <c r="N1" s="288"/>
      <c r="O1" s="288"/>
      <c r="P1" s="288"/>
      <c r="Q1" s="288"/>
      <c r="R1" s="288"/>
      <c r="S1" s="288"/>
      <c r="T1" s="288"/>
      <c r="U1" s="288"/>
      <c r="V1" s="288"/>
      <c r="W1" s="288"/>
      <c r="X1" s="288"/>
      <c r="Y1" s="288"/>
    </row>
    <row r="2" spans="1:25" x14ac:dyDescent="0.25">
      <c r="A2" s="283"/>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5" ht="14.65" customHeight="1" x14ac:dyDescent="0.25">
      <c r="A3" s="290" t="s">
        <v>702</v>
      </c>
      <c r="B3" s="288"/>
      <c r="C3" s="288"/>
      <c r="D3" s="288"/>
      <c r="E3" s="288"/>
      <c r="F3" s="288"/>
      <c r="G3" s="291" t="s">
        <v>698</v>
      </c>
      <c r="H3" s="288"/>
      <c r="I3" s="288"/>
      <c r="J3" s="288"/>
      <c r="K3" s="283"/>
      <c r="L3" s="283"/>
      <c r="M3" s="283"/>
      <c r="N3" s="283"/>
      <c r="O3" s="283"/>
      <c r="P3" s="283"/>
      <c r="Q3" s="283"/>
      <c r="R3" s="283"/>
      <c r="S3" s="283"/>
      <c r="T3" s="283"/>
      <c r="U3" s="283"/>
      <c r="V3" s="283"/>
      <c r="W3" s="283"/>
      <c r="X3" s="283"/>
      <c r="Y3" s="283"/>
    </row>
    <row r="4" spans="1:25" x14ac:dyDescent="0.25">
      <c r="A4" s="290"/>
      <c r="B4" s="288"/>
      <c r="C4" s="288"/>
      <c r="D4" s="288"/>
      <c r="E4" s="288"/>
      <c r="F4" s="288"/>
      <c r="G4" s="291"/>
      <c r="H4" s="288"/>
      <c r="I4" s="288"/>
      <c r="J4" s="288"/>
      <c r="K4" s="283"/>
      <c r="L4" s="283"/>
      <c r="M4" s="283"/>
      <c r="N4" s="283"/>
      <c r="O4" s="283"/>
      <c r="P4" s="283"/>
      <c r="Q4" s="283"/>
      <c r="R4" s="283"/>
      <c r="S4" s="283"/>
      <c r="T4" s="283"/>
      <c r="U4" s="283"/>
      <c r="V4" s="283"/>
      <c r="W4" s="283"/>
      <c r="X4" s="283"/>
      <c r="Y4" s="283"/>
    </row>
    <row r="5" spans="1:25" ht="14.65" customHeight="1" x14ac:dyDescent="0.25">
      <c r="A5" s="290" t="s">
        <v>703</v>
      </c>
      <c r="B5" s="288"/>
      <c r="C5" s="288"/>
      <c r="D5" s="288"/>
      <c r="E5" s="288"/>
      <c r="F5" s="288"/>
      <c r="G5" s="291" t="s">
        <v>704</v>
      </c>
      <c r="H5" s="288"/>
      <c r="I5" s="288"/>
      <c r="J5" s="288"/>
      <c r="K5" s="283"/>
      <c r="L5" s="283"/>
      <c r="M5" s="283"/>
      <c r="N5" s="283"/>
      <c r="O5" s="283"/>
      <c r="P5" s="283"/>
      <c r="Q5" s="283"/>
      <c r="R5" s="283"/>
      <c r="S5" s="283"/>
      <c r="T5" s="283"/>
      <c r="U5" s="283"/>
      <c r="V5" s="283"/>
      <c r="W5" s="283"/>
      <c r="X5" s="283"/>
      <c r="Y5" s="283"/>
    </row>
    <row r="6" spans="1:25" x14ac:dyDescent="0.25">
      <c r="A6" s="290"/>
      <c r="B6" s="288"/>
      <c r="C6" s="288"/>
      <c r="D6" s="288"/>
      <c r="E6" s="288"/>
      <c r="F6" s="288"/>
      <c r="G6" s="291"/>
      <c r="H6" s="288"/>
      <c r="I6" s="288"/>
      <c r="J6" s="288"/>
      <c r="K6" s="283"/>
      <c r="L6" s="283"/>
      <c r="M6" s="283"/>
      <c r="N6" s="283"/>
      <c r="O6" s="283"/>
      <c r="P6" s="283"/>
      <c r="Q6" s="283"/>
      <c r="R6" s="283"/>
      <c r="S6" s="283"/>
      <c r="T6" s="283"/>
      <c r="U6" s="283"/>
      <c r="V6" s="283"/>
      <c r="W6" s="283"/>
      <c r="X6" s="283"/>
      <c r="Y6" s="283"/>
    </row>
    <row r="7" spans="1:25" x14ac:dyDescent="0.25">
      <c r="A7" s="283"/>
      <c r="B7" s="283"/>
      <c r="C7" s="283"/>
      <c r="D7" s="283"/>
      <c r="E7" s="283"/>
      <c r="F7" s="283"/>
      <c r="G7" s="283"/>
      <c r="H7" s="283"/>
      <c r="I7" s="283"/>
      <c r="J7" s="283"/>
      <c r="K7" s="283"/>
      <c r="L7" s="283"/>
      <c r="M7" s="283"/>
      <c r="N7" s="283"/>
      <c r="O7" s="283"/>
      <c r="P7" s="283"/>
      <c r="Q7" s="283"/>
      <c r="R7" s="283"/>
      <c r="S7" s="283"/>
      <c r="T7" s="283"/>
      <c r="U7" s="283"/>
      <c r="V7" s="283"/>
      <c r="W7" s="283"/>
      <c r="X7" s="283"/>
      <c r="Y7" s="283"/>
    </row>
    <row r="8" spans="1:25" ht="14.65" customHeight="1" x14ac:dyDescent="0.25">
      <c r="A8" s="292" t="s">
        <v>705</v>
      </c>
      <c r="B8" s="288"/>
      <c r="C8" s="288"/>
      <c r="D8" s="288"/>
      <c r="E8" s="288"/>
      <c r="F8" s="288"/>
      <c r="G8" s="288"/>
      <c r="H8" s="288"/>
      <c r="I8" s="288"/>
      <c r="J8" s="288"/>
      <c r="K8" s="288"/>
      <c r="L8" s="288"/>
      <c r="M8" s="288"/>
      <c r="N8" s="288"/>
      <c r="O8" s="288"/>
      <c r="P8" s="288"/>
      <c r="Q8" s="288"/>
      <c r="R8" s="288"/>
      <c r="S8" s="288"/>
      <c r="T8" s="288"/>
      <c r="U8" s="288"/>
      <c r="V8" s="288"/>
      <c r="W8" s="288"/>
      <c r="X8" s="288"/>
      <c r="Y8" s="288"/>
    </row>
    <row r="9" spans="1:25" ht="15.4" customHeight="1" x14ac:dyDescent="0.25">
      <c r="A9" s="281"/>
      <c r="B9" s="294" t="s">
        <v>706</v>
      </c>
      <c r="C9" s="286"/>
      <c r="D9" s="294" t="s">
        <v>707</v>
      </c>
      <c r="E9" s="295"/>
      <c r="F9" s="295"/>
      <c r="G9" s="295"/>
      <c r="H9" s="286"/>
      <c r="I9" s="285" t="s">
        <v>708</v>
      </c>
      <c r="J9" s="295"/>
      <c r="K9" s="295"/>
      <c r="L9" s="286"/>
      <c r="M9" s="285" t="s">
        <v>709</v>
      </c>
      <c r="N9" s="286"/>
      <c r="O9" s="285" t="s">
        <v>710</v>
      </c>
      <c r="P9" s="295"/>
      <c r="Q9" s="286"/>
      <c r="R9" s="285" t="s">
        <v>711</v>
      </c>
      <c r="S9" s="286"/>
      <c r="T9" s="283"/>
      <c r="U9" s="283"/>
      <c r="V9" s="283"/>
      <c r="W9" s="283"/>
      <c r="X9" s="283"/>
      <c r="Y9" s="283"/>
    </row>
    <row r="10" spans="1:25" x14ac:dyDescent="0.25">
      <c r="A10" s="282">
        <v>1</v>
      </c>
      <c r="B10" s="293" t="s">
        <v>712</v>
      </c>
      <c r="C10" s="288"/>
      <c r="D10" s="289">
        <v>44805</v>
      </c>
      <c r="E10" s="288"/>
      <c r="F10" s="288"/>
      <c r="G10" s="288"/>
      <c r="H10" s="137"/>
      <c r="I10" s="287" t="s">
        <v>713</v>
      </c>
      <c r="J10" s="288"/>
      <c r="K10" s="288"/>
      <c r="L10" s="288"/>
      <c r="M10" s="287">
        <v>1</v>
      </c>
      <c r="N10" s="288"/>
      <c r="O10" s="287"/>
      <c r="P10" s="288"/>
      <c r="Q10" s="288"/>
      <c r="R10" s="293"/>
      <c r="S10" s="288"/>
      <c r="T10" s="283"/>
      <c r="U10" s="283"/>
      <c r="V10" s="283"/>
      <c r="W10" s="283"/>
      <c r="X10" s="283"/>
      <c r="Y10" s="283"/>
    </row>
    <row r="11" spans="1:25" x14ac:dyDescent="0.25">
      <c r="A11" s="282">
        <v>2</v>
      </c>
      <c r="B11" s="293" t="s">
        <v>714</v>
      </c>
      <c r="C11" s="288"/>
      <c r="D11" s="289">
        <v>44805</v>
      </c>
      <c r="E11" s="288"/>
      <c r="F11" s="288"/>
      <c r="G11" s="288"/>
      <c r="H11" s="137"/>
      <c r="I11" s="287" t="s">
        <v>715</v>
      </c>
      <c r="J11" s="288"/>
      <c r="K11" s="288"/>
      <c r="L11" s="288"/>
      <c r="M11" s="287">
        <v>36</v>
      </c>
      <c r="N11" s="288"/>
      <c r="O11" s="287" t="s">
        <v>698</v>
      </c>
      <c r="P11" s="288"/>
      <c r="Q11" s="288"/>
      <c r="R11" s="289">
        <v>45870</v>
      </c>
      <c r="S11" s="288"/>
      <c r="T11" s="283"/>
      <c r="U11" s="283"/>
      <c r="V11" s="283"/>
      <c r="W11" s="283"/>
      <c r="X11" s="283"/>
      <c r="Y11" s="283"/>
    </row>
    <row r="12" spans="1:25" x14ac:dyDescent="0.25">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row>
    <row r="13" spans="1:25" x14ac:dyDescent="0.25">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row>
    <row r="14" spans="1:25" ht="14.65" customHeight="1" x14ac:dyDescent="0.25">
      <c r="A14" s="292" t="s">
        <v>716</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row>
    <row r="15" spans="1:25" ht="15.4" customHeight="1" x14ac:dyDescent="0.25">
      <c r="A15" s="296"/>
      <c r="B15" s="297"/>
      <c r="C15" s="298" t="s">
        <v>707</v>
      </c>
      <c r="D15" s="299"/>
      <c r="E15" s="297"/>
      <c r="F15" s="300" t="s">
        <v>714</v>
      </c>
      <c r="G15" s="299"/>
      <c r="H15" s="299"/>
      <c r="I15" s="297"/>
      <c r="J15" s="300" t="s">
        <v>717</v>
      </c>
      <c r="K15" s="299"/>
      <c r="L15" s="299"/>
      <c r="M15" s="297"/>
      <c r="N15" s="300" t="s">
        <v>49</v>
      </c>
      <c r="O15" s="297"/>
      <c r="P15" s="300" t="s">
        <v>718</v>
      </c>
      <c r="Q15" s="299"/>
      <c r="R15" s="297"/>
      <c r="S15" s="283"/>
      <c r="T15" s="283"/>
      <c r="U15" s="283"/>
      <c r="V15" s="283"/>
      <c r="W15" s="283"/>
      <c r="X15" s="283"/>
      <c r="Y15" s="283"/>
    </row>
    <row r="16" spans="1:25" x14ac:dyDescent="0.25">
      <c r="A16" s="287" t="s">
        <v>712</v>
      </c>
      <c r="B16" s="288"/>
      <c r="C16" s="289">
        <v>44805</v>
      </c>
      <c r="D16" s="288"/>
      <c r="E16" s="288"/>
      <c r="F16" s="287"/>
      <c r="G16" s="288"/>
      <c r="H16" s="288"/>
      <c r="I16" s="288"/>
      <c r="J16" s="287"/>
      <c r="K16" s="288"/>
      <c r="L16" s="288"/>
      <c r="M16" s="288"/>
      <c r="N16" s="287"/>
      <c r="O16" s="288"/>
      <c r="P16" s="287" t="s">
        <v>713</v>
      </c>
      <c r="Q16" s="288"/>
      <c r="R16" s="288"/>
      <c r="S16" s="283"/>
      <c r="T16" s="283"/>
      <c r="U16" s="283"/>
      <c r="V16" s="283"/>
      <c r="W16" s="283"/>
      <c r="X16" s="283"/>
      <c r="Y16" s="283"/>
    </row>
    <row r="17" spans="1:20" x14ac:dyDescent="0.25">
      <c r="A17" s="287" t="s">
        <v>719</v>
      </c>
      <c r="B17" s="288"/>
      <c r="C17" s="289">
        <v>44805</v>
      </c>
      <c r="D17" s="288"/>
      <c r="E17" s="288"/>
      <c r="F17" s="287" t="s">
        <v>715</v>
      </c>
      <c r="G17" s="288"/>
      <c r="H17" s="288"/>
      <c r="I17" s="288"/>
      <c r="J17" s="287" t="s">
        <v>720</v>
      </c>
      <c r="K17" s="288"/>
      <c r="L17" s="288"/>
      <c r="M17" s="288"/>
      <c r="N17" s="287" t="s">
        <v>715</v>
      </c>
      <c r="O17" s="288"/>
      <c r="P17" s="287" t="s">
        <v>721</v>
      </c>
      <c r="Q17" s="288"/>
      <c r="R17" s="288"/>
    </row>
    <row r="18" spans="1:20" x14ac:dyDescent="0.25">
      <c r="A18" s="287" t="s">
        <v>722</v>
      </c>
      <c r="B18" s="288"/>
      <c r="C18" s="289">
        <v>44835</v>
      </c>
      <c r="D18" s="288"/>
      <c r="E18" s="288"/>
      <c r="F18" s="287" t="s">
        <v>715</v>
      </c>
      <c r="G18" s="288"/>
      <c r="H18" s="288"/>
      <c r="I18" s="288"/>
      <c r="J18" s="287" t="s">
        <v>723</v>
      </c>
      <c r="K18" s="288"/>
      <c r="L18" s="288"/>
      <c r="M18" s="288"/>
      <c r="N18" s="287" t="s">
        <v>724</v>
      </c>
      <c r="O18" s="288"/>
      <c r="P18" s="287" t="s">
        <v>725</v>
      </c>
      <c r="Q18" s="288"/>
      <c r="R18" s="288"/>
    </row>
    <row r="19" spans="1:20" x14ac:dyDescent="0.25">
      <c r="A19" s="287" t="s">
        <v>726</v>
      </c>
      <c r="B19" s="288"/>
      <c r="C19" s="289">
        <v>44866</v>
      </c>
      <c r="D19" s="288"/>
      <c r="E19" s="288"/>
      <c r="F19" s="287" t="s">
        <v>715</v>
      </c>
      <c r="G19" s="288"/>
      <c r="H19" s="288"/>
      <c r="I19" s="288"/>
      <c r="J19" s="287" t="s">
        <v>727</v>
      </c>
      <c r="K19" s="288"/>
      <c r="L19" s="288"/>
      <c r="M19" s="288"/>
      <c r="N19" s="287" t="s">
        <v>728</v>
      </c>
      <c r="O19" s="288"/>
      <c r="P19" s="287" t="s">
        <v>729</v>
      </c>
      <c r="Q19" s="288"/>
      <c r="R19" s="288"/>
      <c r="T19" s="136">
        <f>F17+F18+F19</f>
        <v>5897.28</v>
      </c>
    </row>
    <row r="20" spans="1:20" x14ac:dyDescent="0.25">
      <c r="A20" s="287" t="s">
        <v>730</v>
      </c>
      <c r="B20" s="288"/>
      <c r="C20" s="289">
        <v>44896</v>
      </c>
      <c r="D20" s="288"/>
      <c r="E20" s="288"/>
      <c r="F20" s="287" t="s">
        <v>715</v>
      </c>
      <c r="G20" s="288"/>
      <c r="H20" s="288"/>
      <c r="I20" s="288"/>
      <c r="J20" s="287" t="s">
        <v>731</v>
      </c>
      <c r="K20" s="288"/>
      <c r="L20" s="288"/>
      <c r="M20" s="288"/>
      <c r="N20" s="287" t="s">
        <v>732</v>
      </c>
      <c r="O20" s="288"/>
      <c r="P20" s="287" t="s">
        <v>733</v>
      </c>
      <c r="Q20" s="288"/>
      <c r="R20" s="288"/>
    </row>
    <row r="21" spans="1:20" x14ac:dyDescent="0.25">
      <c r="A21" s="287" t="s">
        <v>734</v>
      </c>
      <c r="B21" s="288"/>
      <c r="C21" s="289">
        <v>44927</v>
      </c>
      <c r="D21" s="288"/>
      <c r="E21" s="288"/>
      <c r="F21" s="287" t="s">
        <v>715</v>
      </c>
      <c r="G21" s="288"/>
      <c r="H21" s="288"/>
      <c r="I21" s="288"/>
      <c r="J21" s="287" t="s">
        <v>735</v>
      </c>
      <c r="K21" s="288"/>
      <c r="L21" s="288"/>
      <c r="M21" s="288"/>
      <c r="N21" s="287" t="s">
        <v>736</v>
      </c>
      <c r="O21" s="288"/>
      <c r="P21" s="287" t="s">
        <v>737</v>
      </c>
      <c r="Q21" s="288"/>
      <c r="R21" s="288"/>
    </row>
    <row r="22" spans="1:20" x14ac:dyDescent="0.25">
      <c r="A22" s="287" t="s">
        <v>738</v>
      </c>
      <c r="B22" s="288"/>
      <c r="C22" s="289">
        <v>44958</v>
      </c>
      <c r="D22" s="288"/>
      <c r="E22" s="288"/>
      <c r="F22" s="287" t="s">
        <v>715</v>
      </c>
      <c r="G22" s="288"/>
      <c r="H22" s="288"/>
      <c r="I22" s="288"/>
      <c r="J22" s="287" t="s">
        <v>739</v>
      </c>
      <c r="K22" s="288"/>
      <c r="L22" s="288"/>
      <c r="M22" s="288"/>
      <c r="N22" s="287" t="s">
        <v>740</v>
      </c>
      <c r="O22" s="288"/>
      <c r="P22" s="287" t="s">
        <v>741</v>
      </c>
      <c r="Q22" s="288"/>
      <c r="R22" s="288"/>
    </row>
    <row r="23" spans="1:20" x14ac:dyDescent="0.25">
      <c r="A23" s="287" t="s">
        <v>742</v>
      </c>
      <c r="B23" s="288"/>
      <c r="C23" s="289">
        <v>44986</v>
      </c>
      <c r="D23" s="288"/>
      <c r="E23" s="288"/>
      <c r="F23" s="287" t="s">
        <v>715</v>
      </c>
      <c r="G23" s="288"/>
      <c r="H23" s="288"/>
      <c r="I23" s="288"/>
      <c r="J23" s="287" t="s">
        <v>743</v>
      </c>
      <c r="K23" s="288"/>
      <c r="L23" s="288"/>
      <c r="M23" s="288"/>
      <c r="N23" s="287" t="s">
        <v>744</v>
      </c>
      <c r="O23" s="288"/>
      <c r="P23" s="287" t="s">
        <v>745</v>
      </c>
      <c r="Q23" s="288"/>
      <c r="R23" s="288"/>
    </row>
    <row r="24" spans="1:20" x14ac:dyDescent="0.25">
      <c r="A24" s="287" t="s">
        <v>746</v>
      </c>
      <c r="B24" s="288"/>
      <c r="C24" s="289">
        <v>45017</v>
      </c>
      <c r="D24" s="288"/>
      <c r="E24" s="288"/>
      <c r="F24" s="287" t="s">
        <v>715</v>
      </c>
      <c r="G24" s="288"/>
      <c r="H24" s="288"/>
      <c r="I24" s="288"/>
      <c r="J24" s="287" t="s">
        <v>747</v>
      </c>
      <c r="K24" s="288"/>
      <c r="L24" s="288"/>
      <c r="M24" s="288"/>
      <c r="N24" s="287" t="s">
        <v>748</v>
      </c>
      <c r="O24" s="288"/>
      <c r="P24" s="287" t="s">
        <v>749</v>
      </c>
      <c r="Q24" s="288"/>
      <c r="R24" s="288"/>
    </row>
    <row r="25" spans="1:20" x14ac:dyDescent="0.25">
      <c r="A25" s="287" t="s">
        <v>750</v>
      </c>
      <c r="B25" s="288"/>
      <c r="C25" s="289">
        <v>45047</v>
      </c>
      <c r="D25" s="288"/>
      <c r="E25" s="288"/>
      <c r="F25" s="287" t="s">
        <v>715</v>
      </c>
      <c r="G25" s="288"/>
      <c r="H25" s="288"/>
      <c r="I25" s="288"/>
      <c r="J25" s="287" t="s">
        <v>751</v>
      </c>
      <c r="K25" s="288"/>
      <c r="L25" s="288"/>
      <c r="M25" s="288"/>
      <c r="N25" s="287" t="s">
        <v>752</v>
      </c>
      <c r="O25" s="288"/>
      <c r="P25" s="287" t="s">
        <v>753</v>
      </c>
      <c r="Q25" s="288"/>
      <c r="R25" s="288"/>
    </row>
    <row r="26" spans="1:20" ht="15.4" customHeight="1" x14ac:dyDescent="0.25">
      <c r="A26" s="287" t="s">
        <v>754</v>
      </c>
      <c r="B26" s="288"/>
      <c r="C26" s="289">
        <v>45078</v>
      </c>
      <c r="D26" s="288"/>
      <c r="E26" s="288"/>
      <c r="F26" s="287" t="s">
        <v>715</v>
      </c>
      <c r="G26" s="288"/>
      <c r="H26" s="288"/>
      <c r="I26" s="288"/>
      <c r="J26" s="287" t="s">
        <v>755</v>
      </c>
      <c r="K26" s="288"/>
      <c r="L26" s="288"/>
      <c r="M26" s="288"/>
      <c r="N26" s="287" t="s">
        <v>756</v>
      </c>
      <c r="O26" s="288"/>
      <c r="P26" s="287" t="s">
        <v>757</v>
      </c>
      <c r="Q26" s="288"/>
      <c r="R26" s="288"/>
    </row>
    <row r="27" spans="1:20" ht="15.75" x14ac:dyDescent="0.25">
      <c r="A27" s="301" t="s">
        <v>758</v>
      </c>
      <c r="B27" s="288"/>
      <c r="C27" s="288"/>
      <c r="D27" s="288"/>
      <c r="E27" s="288"/>
      <c r="F27" s="302" t="s">
        <v>759</v>
      </c>
      <c r="G27" s="288"/>
      <c r="H27" s="288"/>
      <c r="I27" s="288"/>
      <c r="J27" s="302" t="s">
        <v>760</v>
      </c>
      <c r="K27" s="288"/>
      <c r="L27" s="288"/>
      <c r="M27" s="288"/>
      <c r="N27" s="302" t="s">
        <v>761</v>
      </c>
      <c r="O27" s="288"/>
      <c r="P27" s="302"/>
      <c r="Q27" s="288"/>
      <c r="R27" s="288"/>
    </row>
    <row r="28" spans="1:20" x14ac:dyDescent="0.25">
      <c r="A28" s="287" t="s">
        <v>762</v>
      </c>
      <c r="B28" s="288"/>
      <c r="C28" s="289">
        <v>45108</v>
      </c>
      <c r="D28" s="288"/>
      <c r="E28" s="288"/>
      <c r="F28" s="287" t="s">
        <v>715</v>
      </c>
      <c r="G28" s="288"/>
      <c r="H28" s="288"/>
      <c r="I28" s="288"/>
      <c r="J28" s="287" t="s">
        <v>763</v>
      </c>
      <c r="K28" s="288"/>
      <c r="L28" s="288"/>
      <c r="M28" s="288"/>
      <c r="N28" s="287" t="s">
        <v>764</v>
      </c>
      <c r="O28" s="288"/>
      <c r="P28" s="287" t="s">
        <v>765</v>
      </c>
      <c r="Q28" s="288"/>
      <c r="R28" s="288"/>
    </row>
    <row r="29" spans="1:20" x14ac:dyDescent="0.25">
      <c r="A29" s="287" t="s">
        <v>766</v>
      </c>
      <c r="B29" s="288"/>
      <c r="C29" s="289">
        <v>45139</v>
      </c>
      <c r="D29" s="288"/>
      <c r="E29" s="288"/>
      <c r="F29" s="287" t="s">
        <v>715</v>
      </c>
      <c r="G29" s="288"/>
      <c r="H29" s="288"/>
      <c r="I29" s="288"/>
      <c r="J29" s="287" t="s">
        <v>767</v>
      </c>
      <c r="K29" s="288"/>
      <c r="L29" s="288"/>
      <c r="M29" s="288"/>
      <c r="N29" s="287" t="s">
        <v>768</v>
      </c>
      <c r="O29" s="288"/>
      <c r="P29" s="287" t="s">
        <v>769</v>
      </c>
      <c r="Q29" s="288"/>
      <c r="R29" s="288"/>
    </row>
    <row r="30" spans="1:20" x14ac:dyDescent="0.25">
      <c r="A30" s="287" t="s">
        <v>770</v>
      </c>
      <c r="B30" s="288"/>
      <c r="C30" s="289">
        <v>45170</v>
      </c>
      <c r="D30" s="288"/>
      <c r="E30" s="288"/>
      <c r="F30" s="287" t="s">
        <v>715</v>
      </c>
      <c r="G30" s="288"/>
      <c r="H30" s="288"/>
      <c r="I30" s="288"/>
      <c r="J30" s="287" t="s">
        <v>771</v>
      </c>
      <c r="K30" s="288"/>
      <c r="L30" s="288"/>
      <c r="M30" s="288"/>
      <c r="N30" s="287" t="s">
        <v>772</v>
      </c>
      <c r="O30" s="288"/>
      <c r="P30" s="287" t="s">
        <v>773</v>
      </c>
      <c r="Q30" s="288"/>
      <c r="R30" s="288"/>
    </row>
    <row r="31" spans="1:20" x14ac:dyDescent="0.25">
      <c r="A31" s="287" t="s">
        <v>774</v>
      </c>
      <c r="B31" s="288"/>
      <c r="C31" s="289">
        <v>45200</v>
      </c>
      <c r="D31" s="288"/>
      <c r="E31" s="288"/>
      <c r="F31" s="287" t="s">
        <v>715</v>
      </c>
      <c r="G31" s="288"/>
      <c r="H31" s="288"/>
      <c r="I31" s="288"/>
      <c r="J31" s="287" t="s">
        <v>775</v>
      </c>
      <c r="K31" s="288"/>
      <c r="L31" s="288"/>
      <c r="M31" s="288"/>
      <c r="N31" s="287" t="s">
        <v>776</v>
      </c>
      <c r="O31" s="288"/>
      <c r="P31" s="287" t="s">
        <v>777</v>
      </c>
      <c r="Q31" s="288"/>
      <c r="R31" s="288"/>
    </row>
    <row r="32" spans="1:20" x14ac:dyDescent="0.25">
      <c r="A32" s="287" t="s">
        <v>778</v>
      </c>
      <c r="B32" s="288"/>
      <c r="C32" s="289">
        <v>45231</v>
      </c>
      <c r="D32" s="288"/>
      <c r="E32" s="288"/>
      <c r="F32" s="287" t="s">
        <v>715</v>
      </c>
      <c r="G32" s="288"/>
      <c r="H32" s="288"/>
      <c r="I32" s="288"/>
      <c r="J32" s="287" t="s">
        <v>779</v>
      </c>
      <c r="K32" s="288"/>
      <c r="L32" s="288"/>
      <c r="M32" s="288"/>
      <c r="N32" s="287" t="s">
        <v>780</v>
      </c>
      <c r="O32" s="288"/>
      <c r="P32" s="287" t="s">
        <v>781</v>
      </c>
      <c r="Q32" s="288"/>
      <c r="R32" s="288"/>
    </row>
    <row r="33" spans="1:18" x14ac:dyDescent="0.25">
      <c r="A33" s="287" t="s">
        <v>782</v>
      </c>
      <c r="B33" s="288"/>
      <c r="C33" s="289">
        <v>45261</v>
      </c>
      <c r="D33" s="288"/>
      <c r="E33" s="288"/>
      <c r="F33" s="287" t="s">
        <v>715</v>
      </c>
      <c r="G33" s="288"/>
      <c r="H33" s="288"/>
      <c r="I33" s="288"/>
      <c r="J33" s="287" t="s">
        <v>783</v>
      </c>
      <c r="K33" s="288"/>
      <c r="L33" s="288"/>
      <c r="M33" s="288"/>
      <c r="N33" s="287" t="s">
        <v>784</v>
      </c>
      <c r="O33" s="288"/>
      <c r="P33" s="287" t="s">
        <v>785</v>
      </c>
      <c r="Q33" s="288"/>
      <c r="R33" s="288"/>
    </row>
    <row r="34" spans="1:18" x14ac:dyDescent="0.25">
      <c r="A34" s="287" t="s">
        <v>786</v>
      </c>
      <c r="B34" s="288"/>
      <c r="C34" s="289">
        <v>45292</v>
      </c>
      <c r="D34" s="288"/>
      <c r="E34" s="288"/>
      <c r="F34" s="287" t="s">
        <v>715</v>
      </c>
      <c r="G34" s="288"/>
      <c r="H34" s="288"/>
      <c r="I34" s="288"/>
      <c r="J34" s="287" t="s">
        <v>787</v>
      </c>
      <c r="K34" s="288"/>
      <c r="L34" s="288"/>
      <c r="M34" s="288"/>
      <c r="N34" s="287" t="s">
        <v>788</v>
      </c>
      <c r="O34" s="288"/>
      <c r="P34" s="287" t="s">
        <v>789</v>
      </c>
      <c r="Q34" s="288"/>
      <c r="R34" s="288"/>
    </row>
    <row r="35" spans="1:18" x14ac:dyDescent="0.25">
      <c r="A35" s="287" t="s">
        <v>790</v>
      </c>
      <c r="B35" s="288"/>
      <c r="C35" s="289">
        <v>45323</v>
      </c>
      <c r="D35" s="288"/>
      <c r="E35" s="288"/>
      <c r="F35" s="287" t="s">
        <v>715</v>
      </c>
      <c r="G35" s="288"/>
      <c r="H35" s="288"/>
      <c r="I35" s="288"/>
      <c r="J35" s="287" t="s">
        <v>791</v>
      </c>
      <c r="K35" s="288"/>
      <c r="L35" s="288"/>
      <c r="M35" s="288"/>
      <c r="N35" s="287" t="s">
        <v>792</v>
      </c>
      <c r="O35" s="288"/>
      <c r="P35" s="287" t="s">
        <v>793</v>
      </c>
      <c r="Q35" s="288"/>
      <c r="R35" s="288"/>
    </row>
    <row r="36" spans="1:18" x14ac:dyDescent="0.25">
      <c r="A36" s="287" t="s">
        <v>794</v>
      </c>
      <c r="B36" s="288"/>
      <c r="C36" s="289">
        <v>45352</v>
      </c>
      <c r="D36" s="288"/>
      <c r="E36" s="288"/>
      <c r="F36" s="287" t="s">
        <v>715</v>
      </c>
      <c r="G36" s="288"/>
      <c r="H36" s="288"/>
      <c r="I36" s="288"/>
      <c r="J36" s="287" t="s">
        <v>795</v>
      </c>
      <c r="K36" s="288"/>
      <c r="L36" s="288"/>
      <c r="M36" s="288"/>
      <c r="N36" s="287" t="s">
        <v>796</v>
      </c>
      <c r="O36" s="288"/>
      <c r="P36" s="287" t="s">
        <v>797</v>
      </c>
      <c r="Q36" s="288"/>
      <c r="R36" s="288"/>
    </row>
    <row r="37" spans="1:18" x14ac:dyDescent="0.25">
      <c r="A37" s="287" t="s">
        <v>798</v>
      </c>
      <c r="B37" s="288"/>
      <c r="C37" s="289">
        <v>45383</v>
      </c>
      <c r="D37" s="288"/>
      <c r="E37" s="288"/>
      <c r="F37" s="287" t="s">
        <v>715</v>
      </c>
      <c r="G37" s="288"/>
      <c r="H37" s="288"/>
      <c r="I37" s="288"/>
      <c r="J37" s="287" t="s">
        <v>799</v>
      </c>
      <c r="K37" s="288"/>
      <c r="L37" s="288"/>
      <c r="M37" s="288"/>
      <c r="N37" s="287" t="s">
        <v>800</v>
      </c>
      <c r="O37" s="288"/>
      <c r="P37" s="287" t="s">
        <v>801</v>
      </c>
      <c r="Q37" s="288"/>
      <c r="R37" s="288"/>
    </row>
    <row r="38" spans="1:18" x14ac:dyDescent="0.25">
      <c r="A38" s="287" t="s">
        <v>802</v>
      </c>
      <c r="B38" s="288"/>
      <c r="C38" s="289">
        <v>45413</v>
      </c>
      <c r="D38" s="288"/>
      <c r="E38" s="288"/>
      <c r="F38" s="287" t="s">
        <v>715</v>
      </c>
      <c r="G38" s="288"/>
      <c r="H38" s="288"/>
      <c r="I38" s="288"/>
      <c r="J38" s="287" t="s">
        <v>803</v>
      </c>
      <c r="K38" s="288"/>
      <c r="L38" s="288"/>
      <c r="M38" s="288"/>
      <c r="N38" s="287" t="s">
        <v>804</v>
      </c>
      <c r="O38" s="288"/>
      <c r="P38" s="287" t="s">
        <v>805</v>
      </c>
      <c r="Q38" s="288"/>
      <c r="R38" s="288"/>
    </row>
    <row r="39" spans="1:18" ht="15.4" customHeight="1" x14ac:dyDescent="0.25">
      <c r="A39" s="287" t="s">
        <v>806</v>
      </c>
      <c r="B39" s="288"/>
      <c r="C39" s="289">
        <v>45444</v>
      </c>
      <c r="D39" s="288"/>
      <c r="E39" s="288"/>
      <c r="F39" s="287" t="s">
        <v>715</v>
      </c>
      <c r="G39" s="288"/>
      <c r="H39" s="288"/>
      <c r="I39" s="288"/>
      <c r="J39" s="287" t="s">
        <v>807</v>
      </c>
      <c r="K39" s="288"/>
      <c r="L39" s="288"/>
      <c r="M39" s="288"/>
      <c r="N39" s="287" t="s">
        <v>808</v>
      </c>
      <c r="O39" s="288"/>
      <c r="P39" s="287" t="s">
        <v>809</v>
      </c>
      <c r="Q39" s="288"/>
      <c r="R39" s="288"/>
    </row>
    <row r="40" spans="1:18" ht="15.75" x14ac:dyDescent="0.25">
      <c r="A40" s="301" t="s">
        <v>810</v>
      </c>
      <c r="B40" s="288"/>
      <c r="C40" s="288"/>
      <c r="D40" s="288"/>
      <c r="E40" s="288"/>
      <c r="F40" s="302" t="s">
        <v>811</v>
      </c>
      <c r="G40" s="288"/>
      <c r="H40" s="288"/>
      <c r="I40" s="288"/>
      <c r="J40" s="302" t="s">
        <v>812</v>
      </c>
      <c r="K40" s="288"/>
      <c r="L40" s="288"/>
      <c r="M40" s="288"/>
      <c r="N40" s="302" t="s">
        <v>813</v>
      </c>
      <c r="O40" s="288"/>
      <c r="P40" s="302"/>
      <c r="Q40" s="288"/>
      <c r="R40" s="288"/>
    </row>
    <row r="41" spans="1:18" x14ac:dyDescent="0.25">
      <c r="A41" s="287" t="s">
        <v>814</v>
      </c>
      <c r="B41" s="288"/>
      <c r="C41" s="289">
        <v>45474</v>
      </c>
      <c r="D41" s="288"/>
      <c r="E41" s="288"/>
      <c r="F41" s="287" t="s">
        <v>715</v>
      </c>
      <c r="G41" s="288"/>
      <c r="H41" s="288"/>
      <c r="I41" s="288"/>
      <c r="J41" s="287" t="s">
        <v>815</v>
      </c>
      <c r="K41" s="288"/>
      <c r="L41" s="288"/>
      <c r="M41" s="288"/>
      <c r="N41" s="287" t="s">
        <v>816</v>
      </c>
      <c r="O41" s="288"/>
      <c r="P41" s="287" t="s">
        <v>817</v>
      </c>
      <c r="Q41" s="288"/>
      <c r="R41" s="288"/>
    </row>
    <row r="42" spans="1:18" x14ac:dyDescent="0.25">
      <c r="A42" s="287" t="s">
        <v>818</v>
      </c>
      <c r="B42" s="288"/>
      <c r="C42" s="289">
        <v>45505</v>
      </c>
      <c r="D42" s="288"/>
      <c r="E42" s="288"/>
      <c r="F42" s="287" t="s">
        <v>715</v>
      </c>
      <c r="G42" s="288"/>
      <c r="H42" s="288"/>
      <c r="I42" s="288"/>
      <c r="J42" s="287" t="s">
        <v>819</v>
      </c>
      <c r="K42" s="288"/>
      <c r="L42" s="288"/>
      <c r="M42" s="288"/>
      <c r="N42" s="287" t="s">
        <v>820</v>
      </c>
      <c r="O42" s="288"/>
      <c r="P42" s="287" t="s">
        <v>821</v>
      </c>
      <c r="Q42" s="288"/>
      <c r="R42" s="288"/>
    </row>
    <row r="43" spans="1:18" x14ac:dyDescent="0.25">
      <c r="A43" s="287" t="s">
        <v>822</v>
      </c>
      <c r="B43" s="288"/>
      <c r="C43" s="289">
        <v>45536</v>
      </c>
      <c r="D43" s="288"/>
      <c r="E43" s="288"/>
      <c r="F43" s="287" t="s">
        <v>715</v>
      </c>
      <c r="G43" s="288"/>
      <c r="H43" s="288"/>
      <c r="I43" s="288"/>
      <c r="J43" s="287" t="s">
        <v>823</v>
      </c>
      <c r="K43" s="288"/>
      <c r="L43" s="288"/>
      <c r="M43" s="288"/>
      <c r="N43" s="287" t="s">
        <v>824</v>
      </c>
      <c r="O43" s="288"/>
      <c r="P43" s="287" t="s">
        <v>825</v>
      </c>
      <c r="Q43" s="288"/>
      <c r="R43" s="288"/>
    </row>
    <row r="44" spans="1:18" x14ac:dyDescent="0.25">
      <c r="A44" s="287" t="s">
        <v>826</v>
      </c>
      <c r="B44" s="288"/>
      <c r="C44" s="289">
        <v>45566</v>
      </c>
      <c r="D44" s="288"/>
      <c r="E44" s="288"/>
      <c r="F44" s="287" t="s">
        <v>715</v>
      </c>
      <c r="G44" s="288"/>
      <c r="H44" s="288"/>
      <c r="I44" s="288"/>
      <c r="J44" s="287" t="s">
        <v>827</v>
      </c>
      <c r="K44" s="288"/>
      <c r="L44" s="288"/>
      <c r="M44" s="288"/>
      <c r="N44" s="287" t="s">
        <v>828</v>
      </c>
      <c r="O44" s="288"/>
      <c r="P44" s="287" t="s">
        <v>829</v>
      </c>
      <c r="Q44" s="288"/>
      <c r="R44" s="288"/>
    </row>
    <row r="45" spans="1:18" x14ac:dyDescent="0.25">
      <c r="A45" s="287" t="s">
        <v>830</v>
      </c>
      <c r="B45" s="288"/>
      <c r="C45" s="289">
        <v>45597</v>
      </c>
      <c r="D45" s="288"/>
      <c r="E45" s="288"/>
      <c r="F45" s="287" t="s">
        <v>715</v>
      </c>
      <c r="G45" s="288"/>
      <c r="H45" s="288"/>
      <c r="I45" s="288"/>
      <c r="J45" s="287" t="s">
        <v>831</v>
      </c>
      <c r="K45" s="288"/>
      <c r="L45" s="288"/>
      <c r="M45" s="288"/>
      <c r="N45" s="287" t="s">
        <v>832</v>
      </c>
      <c r="O45" s="288"/>
      <c r="P45" s="287" t="s">
        <v>833</v>
      </c>
      <c r="Q45" s="288"/>
      <c r="R45" s="288"/>
    </row>
    <row r="46" spans="1:18" x14ac:dyDescent="0.25">
      <c r="A46" s="287" t="s">
        <v>834</v>
      </c>
      <c r="B46" s="288"/>
      <c r="C46" s="289">
        <v>45627</v>
      </c>
      <c r="D46" s="288"/>
      <c r="E46" s="288"/>
      <c r="F46" s="287" t="s">
        <v>715</v>
      </c>
      <c r="G46" s="288"/>
      <c r="H46" s="288"/>
      <c r="I46" s="288"/>
      <c r="J46" s="287" t="s">
        <v>835</v>
      </c>
      <c r="K46" s="288"/>
      <c r="L46" s="288"/>
      <c r="M46" s="288"/>
      <c r="N46" s="287" t="s">
        <v>836</v>
      </c>
      <c r="O46" s="288"/>
      <c r="P46" s="287" t="s">
        <v>837</v>
      </c>
      <c r="Q46" s="288"/>
      <c r="R46" s="288"/>
    </row>
    <row r="47" spans="1:18" x14ac:dyDescent="0.25">
      <c r="A47" s="287" t="s">
        <v>838</v>
      </c>
      <c r="B47" s="288"/>
      <c r="C47" s="289">
        <v>45658</v>
      </c>
      <c r="D47" s="288"/>
      <c r="E47" s="288"/>
      <c r="F47" s="287" t="s">
        <v>715</v>
      </c>
      <c r="G47" s="288"/>
      <c r="H47" s="288"/>
      <c r="I47" s="288"/>
      <c r="J47" s="287" t="s">
        <v>839</v>
      </c>
      <c r="K47" s="288"/>
      <c r="L47" s="288"/>
      <c r="M47" s="288"/>
      <c r="N47" s="287" t="s">
        <v>840</v>
      </c>
      <c r="O47" s="288"/>
      <c r="P47" s="287" t="s">
        <v>841</v>
      </c>
      <c r="Q47" s="288"/>
      <c r="R47" s="288"/>
    </row>
    <row r="48" spans="1:18" x14ac:dyDescent="0.25">
      <c r="A48" s="287" t="s">
        <v>842</v>
      </c>
      <c r="B48" s="288"/>
      <c r="C48" s="289">
        <v>45689</v>
      </c>
      <c r="D48" s="288"/>
      <c r="E48" s="288"/>
      <c r="F48" s="287" t="s">
        <v>715</v>
      </c>
      <c r="G48" s="288"/>
      <c r="H48" s="288"/>
      <c r="I48" s="288"/>
      <c r="J48" s="287" t="s">
        <v>843</v>
      </c>
      <c r="K48" s="288"/>
      <c r="L48" s="288"/>
      <c r="M48" s="288"/>
      <c r="N48" s="287" t="s">
        <v>844</v>
      </c>
      <c r="O48" s="288"/>
      <c r="P48" s="287" t="s">
        <v>845</v>
      </c>
      <c r="Q48" s="288"/>
      <c r="R48" s="288"/>
    </row>
    <row r="49" spans="1:25" x14ac:dyDescent="0.25">
      <c r="A49" s="287" t="s">
        <v>846</v>
      </c>
      <c r="B49" s="288"/>
      <c r="C49" s="289">
        <v>45717</v>
      </c>
      <c r="D49" s="288"/>
      <c r="E49" s="288"/>
      <c r="F49" s="287" t="s">
        <v>715</v>
      </c>
      <c r="G49" s="288"/>
      <c r="H49" s="288"/>
      <c r="I49" s="288"/>
      <c r="J49" s="287" t="s">
        <v>847</v>
      </c>
      <c r="K49" s="288"/>
      <c r="L49" s="288"/>
      <c r="M49" s="288"/>
      <c r="N49" s="287" t="s">
        <v>848</v>
      </c>
      <c r="O49" s="288"/>
      <c r="P49" s="287" t="s">
        <v>849</v>
      </c>
      <c r="Q49" s="288"/>
      <c r="R49" s="288"/>
      <c r="S49" s="283"/>
      <c r="T49" s="283"/>
      <c r="U49" s="283"/>
      <c r="V49" s="283"/>
      <c r="W49" s="283"/>
      <c r="X49" s="283"/>
      <c r="Y49" s="283"/>
    </row>
    <row r="50" spans="1:25" x14ac:dyDescent="0.25">
      <c r="A50" s="287" t="s">
        <v>850</v>
      </c>
      <c r="B50" s="288"/>
      <c r="C50" s="289">
        <v>45748</v>
      </c>
      <c r="D50" s="288"/>
      <c r="E50" s="288"/>
      <c r="F50" s="287" t="s">
        <v>715</v>
      </c>
      <c r="G50" s="288"/>
      <c r="H50" s="288"/>
      <c r="I50" s="288"/>
      <c r="J50" s="287" t="s">
        <v>851</v>
      </c>
      <c r="K50" s="288"/>
      <c r="L50" s="288"/>
      <c r="M50" s="288"/>
      <c r="N50" s="287" t="s">
        <v>852</v>
      </c>
      <c r="O50" s="288"/>
      <c r="P50" s="287" t="s">
        <v>853</v>
      </c>
      <c r="Q50" s="288"/>
      <c r="R50" s="288"/>
      <c r="S50" s="283"/>
      <c r="T50" s="283"/>
      <c r="U50" s="283"/>
      <c r="V50" s="283"/>
      <c r="W50" s="283"/>
      <c r="X50" s="283"/>
      <c r="Y50" s="283"/>
    </row>
    <row r="51" spans="1:25" x14ac:dyDescent="0.25">
      <c r="A51" s="287" t="s">
        <v>854</v>
      </c>
      <c r="B51" s="288"/>
      <c r="C51" s="289">
        <v>45778</v>
      </c>
      <c r="D51" s="288"/>
      <c r="E51" s="288"/>
      <c r="F51" s="287" t="s">
        <v>715</v>
      </c>
      <c r="G51" s="288"/>
      <c r="H51" s="288"/>
      <c r="I51" s="288"/>
      <c r="J51" s="287" t="s">
        <v>855</v>
      </c>
      <c r="K51" s="288"/>
      <c r="L51" s="288"/>
      <c r="M51" s="288"/>
      <c r="N51" s="287" t="s">
        <v>856</v>
      </c>
      <c r="O51" s="288"/>
      <c r="P51" s="287" t="s">
        <v>857</v>
      </c>
      <c r="Q51" s="288"/>
      <c r="R51" s="288"/>
      <c r="S51" s="283"/>
      <c r="T51" s="283"/>
      <c r="U51" s="283"/>
      <c r="V51" s="283"/>
      <c r="W51" s="283"/>
      <c r="X51" s="283"/>
      <c r="Y51" s="283"/>
    </row>
    <row r="52" spans="1:25" ht="15.4" customHeight="1" x14ac:dyDescent="0.25">
      <c r="A52" s="287" t="s">
        <v>858</v>
      </c>
      <c r="B52" s="288"/>
      <c r="C52" s="289">
        <v>45809</v>
      </c>
      <c r="D52" s="288"/>
      <c r="E52" s="288"/>
      <c r="F52" s="287" t="s">
        <v>715</v>
      </c>
      <c r="G52" s="288"/>
      <c r="H52" s="288"/>
      <c r="I52" s="288"/>
      <c r="J52" s="287" t="s">
        <v>859</v>
      </c>
      <c r="K52" s="288"/>
      <c r="L52" s="288"/>
      <c r="M52" s="288"/>
      <c r="N52" s="287" t="s">
        <v>860</v>
      </c>
      <c r="O52" s="288"/>
      <c r="P52" s="287" t="s">
        <v>861</v>
      </c>
      <c r="Q52" s="288"/>
      <c r="R52" s="288"/>
      <c r="S52" s="283"/>
      <c r="T52" s="283"/>
      <c r="U52" s="283"/>
      <c r="V52" s="283"/>
      <c r="W52" s="283"/>
      <c r="X52" s="283"/>
      <c r="Y52" s="283"/>
    </row>
    <row r="53" spans="1:25" ht="15.75" x14ac:dyDescent="0.25">
      <c r="A53" s="301" t="s">
        <v>862</v>
      </c>
      <c r="B53" s="288"/>
      <c r="C53" s="288"/>
      <c r="D53" s="288"/>
      <c r="E53" s="288"/>
      <c r="F53" s="302" t="s">
        <v>811</v>
      </c>
      <c r="G53" s="288"/>
      <c r="H53" s="288"/>
      <c r="I53" s="288"/>
      <c r="J53" s="302" t="s">
        <v>863</v>
      </c>
      <c r="K53" s="288"/>
      <c r="L53" s="288"/>
      <c r="M53" s="288"/>
      <c r="N53" s="302" t="s">
        <v>864</v>
      </c>
      <c r="O53" s="288"/>
      <c r="P53" s="302"/>
      <c r="Q53" s="288"/>
      <c r="R53" s="288"/>
      <c r="S53" s="283"/>
      <c r="T53" s="283"/>
      <c r="U53" s="283"/>
      <c r="V53" s="283"/>
      <c r="W53" s="283"/>
      <c r="X53" s="283"/>
      <c r="Y53" s="283"/>
    </row>
    <row r="54" spans="1:25" x14ac:dyDescent="0.25">
      <c r="A54" s="287" t="s">
        <v>865</v>
      </c>
      <c r="B54" s="288"/>
      <c r="C54" s="289">
        <v>45839</v>
      </c>
      <c r="D54" s="288"/>
      <c r="E54" s="288"/>
      <c r="F54" s="287" t="s">
        <v>715</v>
      </c>
      <c r="G54" s="288"/>
      <c r="H54" s="288"/>
      <c r="I54" s="288"/>
      <c r="J54" s="287" t="s">
        <v>866</v>
      </c>
      <c r="K54" s="288"/>
      <c r="L54" s="288"/>
      <c r="M54" s="288"/>
      <c r="N54" s="287" t="s">
        <v>867</v>
      </c>
      <c r="O54" s="288"/>
      <c r="P54" s="287" t="s">
        <v>868</v>
      </c>
      <c r="Q54" s="288"/>
      <c r="R54" s="288"/>
      <c r="S54" s="283"/>
      <c r="T54" s="283"/>
      <c r="U54" s="283"/>
      <c r="V54" s="283"/>
      <c r="W54" s="283"/>
      <c r="X54" s="283"/>
      <c r="Y54" s="283"/>
    </row>
    <row r="55" spans="1:25" x14ac:dyDescent="0.25">
      <c r="A55" s="287" t="s">
        <v>869</v>
      </c>
      <c r="B55" s="288"/>
      <c r="C55" s="289">
        <v>45870</v>
      </c>
      <c r="D55" s="288"/>
      <c r="E55" s="288"/>
      <c r="F55" s="287" t="s">
        <v>715</v>
      </c>
      <c r="G55" s="288"/>
      <c r="H55" s="288"/>
      <c r="I55" s="288"/>
      <c r="J55" s="287" t="s">
        <v>870</v>
      </c>
      <c r="K55" s="288"/>
      <c r="L55" s="288"/>
      <c r="M55" s="288"/>
      <c r="N55" s="287" t="s">
        <v>868</v>
      </c>
      <c r="O55" s="288"/>
      <c r="P55" s="287" t="s">
        <v>720</v>
      </c>
      <c r="Q55" s="288"/>
      <c r="R55" s="288"/>
      <c r="S55" s="283"/>
      <c r="T55" s="283"/>
      <c r="U55" s="283"/>
      <c r="V55" s="283"/>
      <c r="W55" s="283"/>
      <c r="X55" s="283"/>
      <c r="Y55" s="283"/>
    </row>
    <row r="56" spans="1:25" ht="15.4" customHeight="1" x14ac:dyDescent="0.25">
      <c r="A56" s="301" t="s">
        <v>871</v>
      </c>
      <c r="B56" s="288"/>
      <c r="C56" s="288"/>
      <c r="D56" s="288"/>
      <c r="E56" s="288"/>
      <c r="F56" s="302" t="s">
        <v>872</v>
      </c>
      <c r="G56" s="288"/>
      <c r="H56" s="288"/>
      <c r="I56" s="288"/>
      <c r="J56" s="302" t="s">
        <v>873</v>
      </c>
      <c r="K56" s="288"/>
      <c r="L56" s="288"/>
      <c r="M56" s="288"/>
      <c r="N56" s="302" t="s">
        <v>861</v>
      </c>
      <c r="O56" s="288"/>
      <c r="P56" s="302"/>
      <c r="Q56" s="288"/>
      <c r="R56" s="288"/>
      <c r="S56" s="283"/>
      <c r="T56" s="283"/>
      <c r="U56" s="283"/>
      <c r="V56" s="283"/>
      <c r="W56" s="283"/>
      <c r="X56" s="283"/>
      <c r="Y56" s="283"/>
    </row>
    <row r="57" spans="1:25" ht="15.4" customHeight="1" x14ac:dyDescent="0.25">
      <c r="A57" s="301" t="s">
        <v>874</v>
      </c>
      <c r="B57" s="288"/>
      <c r="C57" s="288"/>
      <c r="D57" s="288"/>
      <c r="E57" s="288"/>
      <c r="F57" s="302" t="s">
        <v>875</v>
      </c>
      <c r="G57" s="288"/>
      <c r="H57" s="288"/>
      <c r="I57" s="288"/>
      <c r="J57" s="302" t="s">
        <v>876</v>
      </c>
      <c r="K57" s="288"/>
      <c r="L57" s="288"/>
      <c r="M57" s="288"/>
      <c r="N57" s="302" t="s">
        <v>713</v>
      </c>
      <c r="O57" s="288"/>
      <c r="P57" s="302"/>
      <c r="Q57" s="288"/>
      <c r="R57" s="288"/>
      <c r="S57" s="283"/>
      <c r="T57" s="283"/>
      <c r="U57" s="283"/>
      <c r="V57" s="283"/>
      <c r="W57" s="283"/>
      <c r="X57" s="283"/>
      <c r="Y57" s="283"/>
    </row>
    <row r="58" spans="1:25" x14ac:dyDescent="0.25">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row>
    <row r="59" spans="1:25" ht="14.65" customHeight="1" x14ac:dyDescent="0.25">
      <c r="A59" s="292" t="s">
        <v>877</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row>
    <row r="60" spans="1:25" ht="15.75" thickBot="1" x14ac:dyDescent="0.3">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15" customHeight="1" thickTop="1" x14ac:dyDescent="0.25">
      <c r="A61" s="310" t="s">
        <v>878</v>
      </c>
      <c r="B61" s="311"/>
      <c r="C61" s="311"/>
      <c r="D61" s="312"/>
      <c r="E61" s="313" t="s">
        <v>879</v>
      </c>
      <c r="F61" s="311"/>
      <c r="G61" s="311"/>
      <c r="H61" s="311"/>
      <c r="I61" s="311"/>
      <c r="J61" s="311"/>
      <c r="K61" s="312"/>
      <c r="L61" s="314" t="s">
        <v>880</v>
      </c>
      <c r="M61" s="315"/>
      <c r="N61" s="315"/>
      <c r="O61" s="315"/>
      <c r="P61" s="315"/>
      <c r="Q61" s="316" t="s">
        <v>881</v>
      </c>
      <c r="R61" s="315"/>
      <c r="S61" s="315"/>
      <c r="T61" s="315"/>
      <c r="U61" s="315"/>
      <c r="V61" s="315"/>
      <c r="W61" s="315"/>
      <c r="X61" s="317"/>
      <c r="Y61" s="283"/>
    </row>
    <row r="62" spans="1:25" ht="15" customHeight="1" thickBot="1" x14ac:dyDescent="0.3">
      <c r="A62" s="303" t="s">
        <v>704</v>
      </c>
      <c r="B62" s="304"/>
      <c r="C62" s="304"/>
      <c r="D62" s="305"/>
      <c r="E62" s="306" t="s">
        <v>882</v>
      </c>
      <c r="F62" s="304"/>
      <c r="G62" s="304"/>
      <c r="H62" s="304"/>
      <c r="I62" s="304"/>
      <c r="J62" s="304"/>
      <c r="K62" s="305"/>
      <c r="L62" s="307" t="s">
        <v>883</v>
      </c>
      <c r="M62" s="299"/>
      <c r="N62" s="299"/>
      <c r="O62" s="299"/>
      <c r="P62" s="299"/>
      <c r="Q62" s="308" t="s">
        <v>884</v>
      </c>
      <c r="R62" s="299"/>
      <c r="S62" s="299"/>
      <c r="T62" s="299"/>
      <c r="U62" s="299"/>
      <c r="V62" s="299"/>
      <c r="W62" s="299"/>
      <c r="X62" s="309"/>
      <c r="Y62" s="283"/>
    </row>
    <row r="63" spans="1:25" ht="15.75" thickTop="1" x14ac:dyDescent="0.25"/>
  </sheetData>
  <mergeCells count="291">
    <mergeCell ref="P57:R57"/>
    <mergeCell ref="P54:R54"/>
    <mergeCell ref="A53:E53"/>
    <mergeCell ref="F53:I53"/>
    <mergeCell ref="J53:M53"/>
    <mergeCell ref="N53:O53"/>
    <mergeCell ref="P53:R53"/>
    <mergeCell ref="A62:D62"/>
    <mergeCell ref="E62:K62"/>
    <mergeCell ref="L62:P62"/>
    <mergeCell ref="Q62:X62"/>
    <mergeCell ref="C55:E55"/>
    <mergeCell ref="F55:I55"/>
    <mergeCell ref="J55:M55"/>
    <mergeCell ref="N55:O55"/>
    <mergeCell ref="P55:R55"/>
    <mergeCell ref="A59:Y59"/>
    <mergeCell ref="A61:D61"/>
    <mergeCell ref="E61:K61"/>
    <mergeCell ref="L61:P61"/>
    <mergeCell ref="Q61:X61"/>
    <mergeCell ref="A56:E56"/>
    <mergeCell ref="F56:I56"/>
    <mergeCell ref="J56:M56"/>
    <mergeCell ref="N56:O56"/>
    <mergeCell ref="A55:B55"/>
    <mergeCell ref="P56:R56"/>
    <mergeCell ref="A57:E57"/>
    <mergeCell ref="F57:I57"/>
    <mergeCell ref="J57:M57"/>
    <mergeCell ref="N57:O57"/>
    <mergeCell ref="N52:O52"/>
    <mergeCell ref="A50:B50"/>
    <mergeCell ref="C50:E50"/>
    <mergeCell ref="F50:I50"/>
    <mergeCell ref="J50:M50"/>
    <mergeCell ref="N50:O50"/>
    <mergeCell ref="A54:B54"/>
    <mergeCell ref="C54:E54"/>
    <mergeCell ref="F54:I54"/>
    <mergeCell ref="J54:M54"/>
    <mergeCell ref="N54:O54"/>
    <mergeCell ref="P50:R50"/>
    <mergeCell ref="P52:R52"/>
    <mergeCell ref="A51:B51"/>
    <mergeCell ref="C51:E51"/>
    <mergeCell ref="F51:I51"/>
    <mergeCell ref="J51:M51"/>
    <mergeCell ref="P51:R51"/>
    <mergeCell ref="A48:B48"/>
    <mergeCell ref="C48:E48"/>
    <mergeCell ref="F48:I48"/>
    <mergeCell ref="J48:M48"/>
    <mergeCell ref="N48:O48"/>
    <mergeCell ref="P48:R48"/>
    <mergeCell ref="A49:B49"/>
    <mergeCell ref="C49:E49"/>
    <mergeCell ref="F49:I49"/>
    <mergeCell ref="J49:M49"/>
    <mergeCell ref="N49:O49"/>
    <mergeCell ref="P49:R49"/>
    <mergeCell ref="A52:B52"/>
    <mergeCell ref="C52:E52"/>
    <mergeCell ref="F52:I52"/>
    <mergeCell ref="J52:M52"/>
    <mergeCell ref="A46:B46"/>
    <mergeCell ref="C46:E46"/>
    <mergeCell ref="F46:I46"/>
    <mergeCell ref="J46:M46"/>
    <mergeCell ref="N46:O46"/>
    <mergeCell ref="N51:O51"/>
    <mergeCell ref="P46:R46"/>
    <mergeCell ref="A47:B47"/>
    <mergeCell ref="C47:E47"/>
    <mergeCell ref="F47:I47"/>
    <mergeCell ref="J47:M47"/>
    <mergeCell ref="N47:O47"/>
    <mergeCell ref="P47:R47"/>
    <mergeCell ref="A44:B44"/>
    <mergeCell ref="C44:E44"/>
    <mergeCell ref="F44:I44"/>
    <mergeCell ref="J44:M44"/>
    <mergeCell ref="N44:O44"/>
    <mergeCell ref="P44:R44"/>
    <mergeCell ref="A45:B45"/>
    <mergeCell ref="C45:E45"/>
    <mergeCell ref="F45:I45"/>
    <mergeCell ref="J45:M45"/>
    <mergeCell ref="N45:O45"/>
    <mergeCell ref="P45:R45"/>
    <mergeCell ref="P41:R41"/>
    <mergeCell ref="A40:E40"/>
    <mergeCell ref="F40:I40"/>
    <mergeCell ref="J40:M40"/>
    <mergeCell ref="N40:O40"/>
    <mergeCell ref="P40:R40"/>
    <mergeCell ref="A41:B41"/>
    <mergeCell ref="C41:E41"/>
    <mergeCell ref="F41:I41"/>
    <mergeCell ref="J41:M41"/>
    <mergeCell ref="N41:O41"/>
    <mergeCell ref="A42:B42"/>
    <mergeCell ref="C42:E42"/>
    <mergeCell ref="F42:I42"/>
    <mergeCell ref="J42:M42"/>
    <mergeCell ref="N42:O42"/>
    <mergeCell ref="P42:R42"/>
    <mergeCell ref="A43:B43"/>
    <mergeCell ref="C43:E43"/>
    <mergeCell ref="F43:I43"/>
    <mergeCell ref="J43:M43"/>
    <mergeCell ref="N43:O43"/>
    <mergeCell ref="P43:R43"/>
    <mergeCell ref="A39:B39"/>
    <mergeCell ref="C39:E39"/>
    <mergeCell ref="F39:I39"/>
    <mergeCell ref="J39:M39"/>
    <mergeCell ref="N39:O39"/>
    <mergeCell ref="A35:B35"/>
    <mergeCell ref="C35:E35"/>
    <mergeCell ref="F35:I35"/>
    <mergeCell ref="J35:M35"/>
    <mergeCell ref="N35:O35"/>
    <mergeCell ref="A36:B36"/>
    <mergeCell ref="C36:E36"/>
    <mergeCell ref="F36:I36"/>
    <mergeCell ref="J36:M36"/>
    <mergeCell ref="N36:O36"/>
    <mergeCell ref="J37:M37"/>
    <mergeCell ref="N37:O37"/>
    <mergeCell ref="A33:B33"/>
    <mergeCell ref="C33:E33"/>
    <mergeCell ref="F33:I33"/>
    <mergeCell ref="J33:M33"/>
    <mergeCell ref="N33:O33"/>
    <mergeCell ref="P33:R33"/>
    <mergeCell ref="P39:R39"/>
    <mergeCell ref="A38:B38"/>
    <mergeCell ref="A34:B34"/>
    <mergeCell ref="C34:E34"/>
    <mergeCell ref="F34:I34"/>
    <mergeCell ref="J34:M34"/>
    <mergeCell ref="N34:O34"/>
    <mergeCell ref="P34:R34"/>
    <mergeCell ref="C38:E38"/>
    <mergeCell ref="F38:I38"/>
    <mergeCell ref="P35:R35"/>
    <mergeCell ref="P36:R36"/>
    <mergeCell ref="J38:M38"/>
    <mergeCell ref="N38:O38"/>
    <mergeCell ref="P38:R38"/>
    <mergeCell ref="A37:B37"/>
    <mergeCell ref="C37:E37"/>
    <mergeCell ref="F37:I37"/>
    <mergeCell ref="A31:B31"/>
    <mergeCell ref="C31:E31"/>
    <mergeCell ref="F31:I31"/>
    <mergeCell ref="J31:M31"/>
    <mergeCell ref="N31:O31"/>
    <mergeCell ref="P31:R31"/>
    <mergeCell ref="A32:B32"/>
    <mergeCell ref="C32:E32"/>
    <mergeCell ref="F32:I32"/>
    <mergeCell ref="J32:M32"/>
    <mergeCell ref="N32:O32"/>
    <mergeCell ref="P32:R32"/>
    <mergeCell ref="P28:R28"/>
    <mergeCell ref="A27:E27"/>
    <mergeCell ref="F27:I27"/>
    <mergeCell ref="J27:M27"/>
    <mergeCell ref="N27:O27"/>
    <mergeCell ref="P27:R27"/>
    <mergeCell ref="A28:B28"/>
    <mergeCell ref="C28:E28"/>
    <mergeCell ref="F28:I28"/>
    <mergeCell ref="J28:M28"/>
    <mergeCell ref="N28:O28"/>
    <mergeCell ref="A29:B29"/>
    <mergeCell ref="C29:E29"/>
    <mergeCell ref="F29:I29"/>
    <mergeCell ref="J29:M29"/>
    <mergeCell ref="N29:O29"/>
    <mergeCell ref="P29:R29"/>
    <mergeCell ref="A30:B30"/>
    <mergeCell ref="C30:E30"/>
    <mergeCell ref="F30:I30"/>
    <mergeCell ref="J30:M30"/>
    <mergeCell ref="N30:O30"/>
    <mergeCell ref="P30:R30"/>
    <mergeCell ref="N23:O23"/>
    <mergeCell ref="A26:B26"/>
    <mergeCell ref="C26:E26"/>
    <mergeCell ref="F26:I26"/>
    <mergeCell ref="J26:M26"/>
    <mergeCell ref="A24:B24"/>
    <mergeCell ref="C24:E24"/>
    <mergeCell ref="F24:I24"/>
    <mergeCell ref="J24:M24"/>
    <mergeCell ref="N24:O24"/>
    <mergeCell ref="J23:M23"/>
    <mergeCell ref="A14:Y14"/>
    <mergeCell ref="A15:B15"/>
    <mergeCell ref="C15:E15"/>
    <mergeCell ref="F15:I15"/>
    <mergeCell ref="J15:M15"/>
    <mergeCell ref="N15:O15"/>
    <mergeCell ref="P15:R15"/>
    <mergeCell ref="P17:R17"/>
    <mergeCell ref="P16:R16"/>
    <mergeCell ref="J21:M21"/>
    <mergeCell ref="N21:O21"/>
    <mergeCell ref="P21:R21"/>
    <mergeCell ref="A20:B20"/>
    <mergeCell ref="C20:E20"/>
    <mergeCell ref="F20:I20"/>
    <mergeCell ref="J20:M20"/>
    <mergeCell ref="N20:O20"/>
    <mergeCell ref="P20:R20"/>
    <mergeCell ref="A21:B21"/>
    <mergeCell ref="P23:R23"/>
    <mergeCell ref="A22:B22"/>
    <mergeCell ref="C22:E22"/>
    <mergeCell ref="F22:I22"/>
    <mergeCell ref="P37:R37"/>
    <mergeCell ref="A1:Y1"/>
    <mergeCell ref="A3:F3"/>
    <mergeCell ref="G3:J3"/>
    <mergeCell ref="A4:F4"/>
    <mergeCell ref="G4:J4"/>
    <mergeCell ref="A5:F5"/>
    <mergeCell ref="G5:J5"/>
    <mergeCell ref="N26:O26"/>
    <mergeCell ref="P26:R26"/>
    <mergeCell ref="A25:B25"/>
    <mergeCell ref="C25:E25"/>
    <mergeCell ref="F25:I25"/>
    <mergeCell ref="J25:M25"/>
    <mergeCell ref="N25:O25"/>
    <mergeCell ref="P25:R25"/>
    <mergeCell ref="A18:B18"/>
    <mergeCell ref="C18:E18"/>
    <mergeCell ref="F18:I18"/>
    <mergeCell ref="J18:M18"/>
    <mergeCell ref="N18:O18"/>
    <mergeCell ref="P18:R18"/>
    <mergeCell ref="A19:B19"/>
    <mergeCell ref="C19:E19"/>
    <mergeCell ref="A6:F6"/>
    <mergeCell ref="G6:J6"/>
    <mergeCell ref="A8:Y8"/>
    <mergeCell ref="B11:C11"/>
    <mergeCell ref="D11:G11"/>
    <mergeCell ref="I11:L11"/>
    <mergeCell ref="M11:N11"/>
    <mergeCell ref="B9:C9"/>
    <mergeCell ref="D9:H9"/>
    <mergeCell ref="I9:L9"/>
    <mergeCell ref="O11:Q11"/>
    <mergeCell ref="R11:S11"/>
    <mergeCell ref="B10:C10"/>
    <mergeCell ref="D10:G10"/>
    <mergeCell ref="I10:L10"/>
    <mergeCell ref="M10:N10"/>
    <mergeCell ref="O10:Q10"/>
    <mergeCell ref="R10:S10"/>
    <mergeCell ref="M9:N9"/>
    <mergeCell ref="O9:Q9"/>
    <mergeCell ref="R9:S9"/>
    <mergeCell ref="F16:I16"/>
    <mergeCell ref="J16:M16"/>
    <mergeCell ref="N16:O16"/>
    <mergeCell ref="P24:R24"/>
    <mergeCell ref="A17:B17"/>
    <mergeCell ref="J19:M19"/>
    <mergeCell ref="N19:O19"/>
    <mergeCell ref="P19:R19"/>
    <mergeCell ref="J22:M22"/>
    <mergeCell ref="N22:O22"/>
    <mergeCell ref="P22:R22"/>
    <mergeCell ref="C21:E21"/>
    <mergeCell ref="F21:I21"/>
    <mergeCell ref="C17:E17"/>
    <mergeCell ref="F17:I17"/>
    <mergeCell ref="J17:M17"/>
    <mergeCell ref="N17:O17"/>
    <mergeCell ref="F19:I19"/>
    <mergeCell ref="A16:B16"/>
    <mergeCell ref="C16:E16"/>
    <mergeCell ref="A23:B23"/>
    <mergeCell ref="C23:E23"/>
    <mergeCell ref="F23:I23"/>
  </mergeCells>
  <pageMargins left="0.7" right="0.7" top="0.75" bottom="0.75" header="0.3" footer="0.3"/>
  <pageSetup scale="4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09F3-AB18-4A8F-922D-FAA23354FCCE}">
  <dimension ref="A1:O23"/>
  <sheetViews>
    <sheetView zoomScale="75" zoomScaleNormal="75" workbookViewId="0">
      <selection activeCell="F6" sqref="F6"/>
    </sheetView>
  </sheetViews>
  <sheetFormatPr defaultRowHeight="15" x14ac:dyDescent="0.25"/>
  <cols>
    <col min="1" max="1" width="19.42578125" customWidth="1"/>
    <col min="2" max="2" width="16.28515625" customWidth="1"/>
    <col min="3" max="8" width="15.7109375" customWidth="1"/>
    <col min="9" max="9" width="2.7109375" customWidth="1"/>
    <col min="10" max="16" width="15.7109375" customWidth="1"/>
  </cols>
  <sheetData>
    <row r="1" spans="1:15" ht="18.75" x14ac:dyDescent="0.3">
      <c r="A1" s="104" t="s">
        <v>553</v>
      </c>
      <c r="B1" s="94"/>
      <c r="C1" s="94"/>
      <c r="D1" s="94"/>
      <c r="E1" s="94"/>
      <c r="F1" s="94"/>
      <c r="G1" s="94"/>
      <c r="H1" s="94"/>
      <c r="I1" s="94"/>
      <c r="J1" s="94"/>
      <c r="K1" s="94"/>
    </row>
    <row r="3" spans="1:15" x14ac:dyDescent="0.25">
      <c r="A3" t="s">
        <v>885</v>
      </c>
      <c r="B3" s="101">
        <v>44682</v>
      </c>
      <c r="C3" s="101">
        <v>45282</v>
      </c>
      <c r="D3" s="176">
        <v>45627</v>
      </c>
      <c r="E3" s="176">
        <v>45992</v>
      </c>
      <c r="F3" s="176">
        <v>46357</v>
      </c>
      <c r="G3" s="176">
        <v>46722</v>
      </c>
      <c r="H3" s="176">
        <v>47088</v>
      </c>
    </row>
    <row r="4" spans="1:15" x14ac:dyDescent="0.25">
      <c r="A4" t="s">
        <v>886</v>
      </c>
      <c r="B4" s="101">
        <v>46113</v>
      </c>
      <c r="C4" s="101">
        <v>46743</v>
      </c>
      <c r="D4" s="176">
        <v>47088</v>
      </c>
      <c r="E4" s="176">
        <v>47453</v>
      </c>
      <c r="F4" s="176">
        <v>47818</v>
      </c>
      <c r="G4" s="176">
        <v>48183</v>
      </c>
      <c r="H4" s="176">
        <v>48549</v>
      </c>
      <c r="I4" s="101"/>
      <c r="J4" s="101"/>
      <c r="K4" s="101"/>
      <c r="L4" s="101"/>
    </row>
    <row r="5" spans="1:15" x14ac:dyDescent="0.25">
      <c r="A5" t="s">
        <v>887</v>
      </c>
      <c r="B5" s="105" t="s">
        <v>888</v>
      </c>
      <c r="C5" s="105" t="s">
        <v>889</v>
      </c>
      <c r="D5" s="177" t="s">
        <v>890</v>
      </c>
      <c r="E5" s="177" t="s">
        <v>890</v>
      </c>
      <c r="F5" s="177" t="s">
        <v>890</v>
      </c>
      <c r="G5" s="177" t="s">
        <v>890</v>
      </c>
      <c r="H5" s="177" t="s">
        <v>890</v>
      </c>
    </row>
    <row r="6" spans="1:15" x14ac:dyDescent="0.25">
      <c r="A6" t="s">
        <v>891</v>
      </c>
      <c r="B6" s="103">
        <v>308402.26</v>
      </c>
      <c r="C6" s="103">
        <f>200000-30000</f>
        <v>170000</v>
      </c>
      <c r="D6" s="178">
        <v>325000</v>
      </c>
      <c r="E6" s="178">
        <v>300000</v>
      </c>
      <c r="F6" s="178">
        <v>150000</v>
      </c>
      <c r="G6" s="178">
        <v>150000</v>
      </c>
      <c r="H6" s="178">
        <v>100000</v>
      </c>
    </row>
    <row r="7" spans="1:15" x14ac:dyDescent="0.25">
      <c r="A7" t="s">
        <v>892</v>
      </c>
      <c r="B7" s="103">
        <v>6802.22</v>
      </c>
      <c r="C7" s="103">
        <v>4226.33</v>
      </c>
      <c r="D7" s="178">
        <v>8013.99</v>
      </c>
      <c r="E7" s="178">
        <v>7465.5110000000004</v>
      </c>
      <c r="F7" s="178">
        <v>3732.76</v>
      </c>
      <c r="G7" s="178">
        <v>3732.76</v>
      </c>
      <c r="H7" s="178">
        <v>2488.5</v>
      </c>
    </row>
    <row r="8" spans="1:15" x14ac:dyDescent="0.25">
      <c r="A8" t="s">
        <v>893</v>
      </c>
      <c r="B8" s="106">
        <v>2.2939999999999999E-2</v>
      </c>
      <c r="C8" s="106">
        <v>8.6999999999999994E-2</v>
      </c>
      <c r="D8" s="179">
        <v>8.6999999999999994E-2</v>
      </c>
      <c r="E8" s="179">
        <v>0.09</v>
      </c>
      <c r="F8" s="179">
        <v>0.09</v>
      </c>
      <c r="G8" s="179">
        <v>0.09</v>
      </c>
      <c r="H8" s="179">
        <v>0.09</v>
      </c>
      <c r="L8" s="107"/>
    </row>
    <row r="9" spans="1:15" x14ac:dyDescent="0.25">
      <c r="L9" s="103"/>
    </row>
    <row r="10" spans="1:15" x14ac:dyDescent="0.25">
      <c r="J10" s="108" t="s">
        <v>894</v>
      </c>
      <c r="K10" s="108" t="s">
        <v>895</v>
      </c>
    </row>
    <row r="11" spans="1:15" x14ac:dyDescent="0.25">
      <c r="A11" s="107">
        <v>2022</v>
      </c>
      <c r="B11" s="102">
        <f>B7*2</f>
        <v>13604.44</v>
      </c>
      <c r="C11" s="109"/>
      <c r="D11" s="109"/>
      <c r="E11" s="109"/>
      <c r="F11" s="109"/>
      <c r="G11" s="109"/>
      <c r="H11" s="109"/>
      <c r="J11" s="102">
        <f>SUM(B11:I11)</f>
        <v>13604.44</v>
      </c>
      <c r="K11" s="107" t="s">
        <v>283</v>
      </c>
      <c r="L11" s="110"/>
    </row>
    <row r="12" spans="1:15" x14ac:dyDescent="0.25">
      <c r="A12" s="107">
        <v>2023</v>
      </c>
      <c r="B12" s="102">
        <f>B7*12</f>
        <v>81626.64</v>
      </c>
      <c r="C12" s="109"/>
      <c r="D12" s="109"/>
      <c r="E12" s="109"/>
      <c r="F12" s="109"/>
      <c r="G12" s="109"/>
      <c r="H12" s="109"/>
      <c r="J12" s="102">
        <f t="shared" ref="J12:J23" si="0">SUM(B12:I12)</f>
        <v>81626.64</v>
      </c>
      <c r="K12" s="107" t="s">
        <v>284</v>
      </c>
      <c r="L12" s="110"/>
    </row>
    <row r="13" spans="1:15" x14ac:dyDescent="0.25">
      <c r="A13" s="107">
        <v>2024</v>
      </c>
      <c r="B13" s="102">
        <f>B7*12</f>
        <v>81626.64</v>
      </c>
      <c r="C13" s="102">
        <f>C7*7</f>
        <v>29584.309999999998</v>
      </c>
      <c r="D13" s="109"/>
      <c r="E13" s="109"/>
      <c r="F13" s="109"/>
      <c r="G13" s="109"/>
      <c r="H13" s="109"/>
      <c r="J13" s="102">
        <f t="shared" si="0"/>
        <v>111210.95</v>
      </c>
      <c r="K13" s="107" t="s">
        <v>285</v>
      </c>
      <c r="L13" s="110"/>
    </row>
    <row r="14" spans="1:15" x14ac:dyDescent="0.25">
      <c r="A14" s="107">
        <v>2025</v>
      </c>
      <c r="B14" s="102">
        <f>B7*12</f>
        <v>81626.64</v>
      </c>
      <c r="C14" s="102">
        <f>C7*12</f>
        <v>50715.96</v>
      </c>
      <c r="D14" s="102">
        <f>D7*7</f>
        <v>56097.93</v>
      </c>
      <c r="E14" s="109"/>
      <c r="F14" s="109"/>
      <c r="G14" s="109"/>
      <c r="H14" s="109"/>
      <c r="J14" s="102">
        <f>SUM(B14:I14)</f>
        <v>188440.53</v>
      </c>
      <c r="K14" s="107" t="s">
        <v>286</v>
      </c>
      <c r="L14" s="102">
        <f>SUM('24-25'!B191:B193)</f>
        <v>192750</v>
      </c>
      <c r="M14" t="str">
        <f>IF(L14&gt;J14,"OK","NO")</f>
        <v>OK</v>
      </c>
    </row>
    <row r="15" spans="1:15" x14ac:dyDescent="0.25">
      <c r="A15" s="107">
        <v>2026</v>
      </c>
      <c r="B15" s="102">
        <f>(B7*10)+(B6*0.05)</f>
        <v>83442.312999999995</v>
      </c>
      <c r="C15" s="102">
        <f>C7*12</f>
        <v>50715.96</v>
      </c>
      <c r="D15" s="102">
        <f>D7*12</f>
        <v>96167.88</v>
      </c>
      <c r="E15" s="102">
        <f>E7*7</f>
        <v>52258.577000000005</v>
      </c>
      <c r="F15" s="109"/>
      <c r="G15" s="109"/>
      <c r="H15" s="109"/>
      <c r="J15" s="102">
        <f>SUM(B15:I15)</f>
        <v>282584.73</v>
      </c>
      <c r="K15" s="107" t="s">
        <v>287</v>
      </c>
      <c r="L15" s="102">
        <f>SUM('25-26'!B191:B193)</f>
        <v>285000</v>
      </c>
      <c r="M15" t="str">
        <f t="shared" ref="M15:M18" si="1">IF(L15&gt;J15,"OK","NO")</f>
        <v>OK</v>
      </c>
    </row>
    <row r="16" spans="1:15" x14ac:dyDescent="0.25">
      <c r="A16" s="107">
        <v>2027</v>
      </c>
      <c r="B16" s="109"/>
      <c r="C16" s="102">
        <f>C7*12</f>
        <v>50715.96</v>
      </c>
      <c r="D16" s="102">
        <f>D7*12</f>
        <v>96167.88</v>
      </c>
      <c r="E16" s="102">
        <f>E7*12</f>
        <v>89586.132000000012</v>
      </c>
      <c r="F16" s="102">
        <f>F7*7</f>
        <v>26129.32</v>
      </c>
      <c r="G16" s="109"/>
      <c r="H16" s="109"/>
      <c r="J16" s="102">
        <f>SUM(B16:I16)</f>
        <v>262599.29200000002</v>
      </c>
      <c r="K16" s="107" t="s">
        <v>288</v>
      </c>
      <c r="L16" s="102">
        <f>SUM('26-27'!B191:B193)</f>
        <v>265000</v>
      </c>
      <c r="M16" t="str">
        <f t="shared" si="1"/>
        <v>OK</v>
      </c>
      <c r="N16" s="103"/>
      <c r="O16" s="107"/>
    </row>
    <row r="17" spans="1:13" x14ac:dyDescent="0.25">
      <c r="A17" s="107">
        <v>2028</v>
      </c>
      <c r="B17" s="109"/>
      <c r="C17" s="102">
        <f>(C7*5)+(C6*0.05)</f>
        <v>29631.65</v>
      </c>
      <c r="D17" s="102">
        <f>D7*12</f>
        <v>96167.88</v>
      </c>
      <c r="E17" s="102">
        <f>E7*12</f>
        <v>89586.132000000012</v>
      </c>
      <c r="F17" s="102">
        <f>F7*12</f>
        <v>44793.120000000003</v>
      </c>
      <c r="G17" s="102">
        <f>G7*7</f>
        <v>26129.32</v>
      </c>
      <c r="H17" s="109"/>
      <c r="J17" s="102">
        <f>SUM(B17:I17)</f>
        <v>286308.10200000001</v>
      </c>
      <c r="K17" s="107" t="s">
        <v>289</v>
      </c>
      <c r="L17" s="102">
        <f>SUM('27-28'!B191:B193)</f>
        <v>290000</v>
      </c>
      <c r="M17" t="str">
        <f t="shared" si="1"/>
        <v>OK</v>
      </c>
    </row>
    <row r="18" spans="1:13" x14ac:dyDescent="0.25">
      <c r="A18" s="107">
        <v>2029</v>
      </c>
      <c r="B18" s="109"/>
      <c r="C18" s="109"/>
      <c r="D18" s="102">
        <f>(D7*5)+(D6*0.05)</f>
        <v>56319.95</v>
      </c>
      <c r="E18" s="102">
        <f>E7*12</f>
        <v>89586.132000000012</v>
      </c>
      <c r="F18" s="102">
        <f>F7*12</f>
        <v>44793.120000000003</v>
      </c>
      <c r="G18" s="102">
        <f>G7*12</f>
        <v>44793.120000000003</v>
      </c>
      <c r="H18" s="102">
        <f>H7*7</f>
        <v>17419.5</v>
      </c>
      <c r="J18" s="102">
        <f t="shared" si="0"/>
        <v>252911.82199999999</v>
      </c>
      <c r="K18" s="107" t="s">
        <v>290</v>
      </c>
      <c r="L18" s="102">
        <f>SUM('28-29'!B191:B193)</f>
        <v>255000</v>
      </c>
      <c r="M18" t="str">
        <f t="shared" si="1"/>
        <v>OK</v>
      </c>
    </row>
    <row r="19" spans="1:13" x14ac:dyDescent="0.25">
      <c r="A19" s="107">
        <v>2030</v>
      </c>
      <c r="B19" s="109"/>
      <c r="C19" s="109"/>
      <c r="D19" s="109"/>
      <c r="E19" s="102">
        <f>(E7*5)+(E6*0.05)</f>
        <v>52327.555</v>
      </c>
      <c r="F19" s="102">
        <f>F7*12</f>
        <v>44793.120000000003</v>
      </c>
      <c r="G19" s="102">
        <f>G7*12</f>
        <v>44793.120000000003</v>
      </c>
      <c r="H19" s="102">
        <f>H7*12</f>
        <v>29862</v>
      </c>
      <c r="J19" s="102">
        <f t="shared" si="0"/>
        <v>171775.79500000001</v>
      </c>
      <c r="K19" s="107" t="s">
        <v>291</v>
      </c>
      <c r="L19" s="110"/>
    </row>
    <row r="20" spans="1:13" x14ac:dyDescent="0.25">
      <c r="A20" s="107">
        <v>2031</v>
      </c>
      <c r="B20" s="109"/>
      <c r="C20" s="109"/>
      <c r="D20" s="109"/>
      <c r="E20" s="109"/>
      <c r="F20" s="102">
        <f>(F7*6)+(F6*0.05)</f>
        <v>29896.560000000001</v>
      </c>
      <c r="G20" s="102">
        <f>G7*12</f>
        <v>44793.120000000003</v>
      </c>
      <c r="H20" s="102">
        <f>H7*12</f>
        <v>29862</v>
      </c>
      <c r="J20" s="102">
        <f t="shared" si="0"/>
        <v>104551.68000000001</v>
      </c>
      <c r="K20" s="107" t="s">
        <v>288</v>
      </c>
      <c r="L20" s="110"/>
    </row>
    <row r="21" spans="1:13" x14ac:dyDescent="0.25">
      <c r="A21" s="107">
        <v>2032</v>
      </c>
      <c r="B21" s="109"/>
      <c r="C21" s="109"/>
      <c r="D21" s="109"/>
      <c r="E21" s="109"/>
      <c r="F21" s="109"/>
      <c r="G21" s="102">
        <f>(G7*6)+(G6*0.05)</f>
        <v>29896.560000000001</v>
      </c>
      <c r="H21" s="102">
        <f>H7*12</f>
        <v>29862</v>
      </c>
      <c r="J21" s="102">
        <f t="shared" si="0"/>
        <v>59758.559999999998</v>
      </c>
      <c r="K21" s="107" t="s">
        <v>289</v>
      </c>
      <c r="L21" s="110"/>
    </row>
    <row r="22" spans="1:13" x14ac:dyDescent="0.25">
      <c r="A22" s="107">
        <v>2033</v>
      </c>
      <c r="B22" s="109"/>
      <c r="C22" s="109"/>
      <c r="D22" s="109"/>
      <c r="E22" s="109"/>
      <c r="F22" s="109"/>
      <c r="G22" s="109"/>
      <c r="H22" s="102">
        <f>(H7*6)+(H6*0.05)</f>
        <v>19931</v>
      </c>
      <c r="J22" s="102">
        <f t="shared" si="0"/>
        <v>19931</v>
      </c>
      <c r="K22" s="107" t="s">
        <v>290</v>
      </c>
      <c r="L22" s="110"/>
    </row>
    <row r="23" spans="1:13" x14ac:dyDescent="0.25">
      <c r="A23" s="107">
        <v>2034</v>
      </c>
      <c r="B23" s="109"/>
      <c r="C23" s="109"/>
      <c r="D23" s="109"/>
      <c r="E23" s="109"/>
      <c r="F23" s="109"/>
      <c r="G23" s="109"/>
      <c r="H23" s="109"/>
      <c r="J23" s="102">
        <f t="shared" si="0"/>
        <v>0</v>
      </c>
      <c r="K23" s="107" t="s">
        <v>291</v>
      </c>
      <c r="L23" s="1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388C-F339-41FE-A17C-E83060926FD9}">
  <sheetPr codeName="Sheet2"/>
  <dimension ref="A1:J62"/>
  <sheetViews>
    <sheetView zoomScale="75" zoomScaleNormal="75" workbookViewId="0">
      <pane xSplit="6" ySplit="6" topLeftCell="G45" activePane="bottomRight" state="frozenSplit"/>
      <selection pane="topRight" activeCell="F25" sqref="F25"/>
      <selection pane="bottomLeft" activeCell="F25" sqref="F25"/>
      <selection pane="bottomRight" activeCell="F25" sqref="F25"/>
    </sheetView>
  </sheetViews>
  <sheetFormatPr defaultRowHeight="15" x14ac:dyDescent="0.25"/>
  <cols>
    <col min="1" max="5" width="3" style="150" customWidth="1"/>
    <col min="6" max="6" width="56.7109375" style="150" customWidth="1"/>
    <col min="7" max="7" width="7" style="232" customWidth="1"/>
    <col min="8" max="8" width="7.85546875" style="232" customWidth="1"/>
    <col min="9" max="9" width="9" style="232" customWidth="1"/>
    <col min="10" max="10" width="8.42578125" style="232" customWidth="1"/>
  </cols>
  <sheetData>
    <row r="1" spans="1:10" ht="15.75" x14ac:dyDescent="0.25">
      <c r="A1" s="156" t="s">
        <v>896</v>
      </c>
      <c r="B1" s="153"/>
      <c r="C1" s="153"/>
      <c r="D1" s="153"/>
      <c r="E1" s="153"/>
      <c r="F1" s="153"/>
      <c r="G1" s="216"/>
      <c r="H1" s="216"/>
      <c r="I1" s="216"/>
      <c r="J1" s="216"/>
    </row>
    <row r="2" spans="1:10" ht="18" x14ac:dyDescent="0.25">
      <c r="A2" s="155" t="s">
        <v>897</v>
      </c>
      <c r="B2" s="153"/>
      <c r="C2" s="153"/>
      <c r="D2" s="153"/>
      <c r="E2" s="153"/>
      <c r="F2" s="153"/>
      <c r="G2" s="216"/>
      <c r="H2" s="216"/>
      <c r="I2" s="216"/>
      <c r="J2" s="216"/>
    </row>
    <row r="3" spans="1:10" x14ac:dyDescent="0.25">
      <c r="A3" s="154" t="s">
        <v>898</v>
      </c>
      <c r="B3" s="153"/>
      <c r="C3" s="153"/>
      <c r="D3" s="153"/>
      <c r="E3" s="153"/>
      <c r="F3" s="153"/>
      <c r="G3" s="216"/>
      <c r="H3" s="216"/>
      <c r="I3" s="216"/>
      <c r="J3" s="216"/>
    </row>
    <row r="4" spans="1:10" x14ac:dyDescent="0.25">
      <c r="A4" s="151"/>
      <c r="B4" s="151"/>
      <c r="C4" s="151"/>
      <c r="D4" s="151"/>
      <c r="E4" s="151"/>
      <c r="F4" s="151"/>
      <c r="G4" s="217"/>
      <c r="H4" s="217"/>
      <c r="I4" s="217"/>
      <c r="J4" s="217"/>
    </row>
    <row r="5" spans="1:10" ht="15.75" thickBot="1" x14ac:dyDescent="0.3">
      <c r="A5" s="151"/>
      <c r="B5" s="151"/>
      <c r="C5" s="151"/>
      <c r="D5" s="151"/>
      <c r="E5" s="151"/>
      <c r="F5" s="151"/>
      <c r="G5" s="218" t="s">
        <v>899</v>
      </c>
      <c r="H5" s="217"/>
      <c r="I5" s="217"/>
      <c r="J5" s="217"/>
    </row>
    <row r="6" spans="1:10" s="107" customFormat="1" ht="16.5" thickTop="1" thickBot="1" x14ac:dyDescent="0.3">
      <c r="A6" s="152"/>
      <c r="B6" s="152"/>
      <c r="C6" s="152"/>
      <c r="D6" s="152"/>
      <c r="E6" s="152"/>
      <c r="F6" s="152"/>
      <c r="G6" s="219" t="s">
        <v>900</v>
      </c>
      <c r="H6" s="219" t="s">
        <v>708</v>
      </c>
      <c r="I6" s="219" t="s">
        <v>901</v>
      </c>
      <c r="J6" s="219" t="s">
        <v>902</v>
      </c>
    </row>
    <row r="7" spans="1:10" ht="15.75" thickTop="1" x14ac:dyDescent="0.25">
      <c r="A7" s="151"/>
      <c r="B7" s="151" t="s">
        <v>903</v>
      </c>
      <c r="C7" s="151"/>
      <c r="D7" s="151"/>
      <c r="E7" s="151"/>
      <c r="F7" s="151"/>
      <c r="G7" s="220"/>
      <c r="H7" s="221"/>
      <c r="I7" s="222"/>
      <c r="J7" s="221"/>
    </row>
    <row r="8" spans="1:10" x14ac:dyDescent="0.25">
      <c r="A8" s="151"/>
      <c r="B8" s="151"/>
      <c r="C8" s="151" t="s">
        <v>904</v>
      </c>
      <c r="D8" s="151"/>
      <c r="E8" s="151"/>
      <c r="F8" s="151"/>
      <c r="G8" s="220"/>
      <c r="H8" s="221"/>
      <c r="I8" s="222"/>
      <c r="J8" s="221"/>
    </row>
    <row r="9" spans="1:10" x14ac:dyDescent="0.25">
      <c r="A9" s="151"/>
      <c r="B9" s="151"/>
      <c r="C9" s="151"/>
      <c r="D9" s="151" t="s">
        <v>905</v>
      </c>
      <c r="E9" s="151"/>
      <c r="F9" s="151"/>
      <c r="G9" s="220"/>
      <c r="H9" s="221"/>
      <c r="I9" s="222"/>
      <c r="J9" s="221"/>
    </row>
    <row r="10" spans="1:10" ht="15.75" thickBot="1" x14ac:dyDescent="0.3">
      <c r="A10" s="151"/>
      <c r="B10" s="151"/>
      <c r="C10" s="151"/>
      <c r="D10" s="151"/>
      <c r="E10" s="151" t="s">
        <v>906</v>
      </c>
      <c r="F10" s="151"/>
      <c r="G10" s="223">
        <v>4</v>
      </c>
      <c r="H10" s="224">
        <v>6000</v>
      </c>
      <c r="I10" s="225">
        <f>ROUND(IF(H56=0, 0, H10/H56),5)</f>
        <v>6.0420000000000001E-2</v>
      </c>
      <c r="J10" s="224">
        <v>1500</v>
      </c>
    </row>
    <row r="11" spans="1:10" x14ac:dyDescent="0.25">
      <c r="A11" s="151"/>
      <c r="B11" s="151"/>
      <c r="C11" s="151"/>
      <c r="D11" s="151" t="s">
        <v>907</v>
      </c>
      <c r="E11" s="151"/>
      <c r="F11" s="151"/>
      <c r="G11" s="220">
        <f>ROUND(SUM(G9:G10),5)</f>
        <v>4</v>
      </c>
      <c r="H11" s="221">
        <f>ROUND(SUM(H9:H10),5)</f>
        <v>6000</v>
      </c>
      <c r="I11" s="222">
        <f>ROUND(IF(H56=0, 0, H11/H56),5)</f>
        <v>6.0420000000000001E-2</v>
      </c>
      <c r="J11" s="221">
        <v>1500</v>
      </c>
    </row>
    <row r="12" spans="1:10" x14ac:dyDescent="0.25">
      <c r="A12" s="151"/>
      <c r="B12" s="151"/>
      <c r="C12" s="151"/>
      <c r="D12" s="151" t="s">
        <v>908</v>
      </c>
      <c r="E12" s="151"/>
      <c r="F12" s="151"/>
      <c r="G12" s="220"/>
      <c r="H12" s="221"/>
      <c r="I12" s="222"/>
      <c r="J12" s="221"/>
    </row>
    <row r="13" spans="1:10" x14ac:dyDescent="0.25">
      <c r="A13" s="151"/>
      <c r="B13" s="151"/>
      <c r="C13" s="151"/>
      <c r="D13" s="151"/>
      <c r="E13" s="151" t="s">
        <v>909</v>
      </c>
      <c r="F13" s="151"/>
      <c r="G13" s="220">
        <v>0</v>
      </c>
      <c r="H13" s="221">
        <v>0</v>
      </c>
      <c r="I13" s="222">
        <f>ROUND(IF(H56=0, 0, H13/H56),5)</f>
        <v>0</v>
      </c>
      <c r="J13" s="221">
        <v>0</v>
      </c>
    </row>
    <row r="14" spans="1:10" x14ac:dyDescent="0.25">
      <c r="A14" s="151"/>
      <c r="B14" s="151"/>
      <c r="C14" s="151"/>
      <c r="D14" s="151"/>
      <c r="E14" s="151" t="s">
        <v>910</v>
      </c>
      <c r="F14" s="151"/>
      <c r="G14" s="220">
        <v>0</v>
      </c>
      <c r="H14" s="221">
        <v>0</v>
      </c>
      <c r="I14" s="222">
        <f>ROUND(IF(H56=0, 0, H14/H56),5)</f>
        <v>0</v>
      </c>
      <c r="J14" s="221">
        <v>0</v>
      </c>
    </row>
    <row r="15" spans="1:10" x14ac:dyDescent="0.25">
      <c r="A15" s="151"/>
      <c r="B15" s="151"/>
      <c r="C15" s="151"/>
      <c r="D15" s="151"/>
      <c r="E15" s="151" t="s">
        <v>911</v>
      </c>
      <c r="F15" s="151"/>
      <c r="G15" s="220">
        <v>0</v>
      </c>
      <c r="H15" s="221">
        <v>0</v>
      </c>
      <c r="I15" s="222">
        <f>ROUND(IF(H56=0, 0, H15/H56),5)</f>
        <v>0</v>
      </c>
      <c r="J15" s="221">
        <v>0</v>
      </c>
    </row>
    <row r="16" spans="1:10" x14ac:dyDescent="0.25">
      <c r="A16" s="151"/>
      <c r="B16" s="151"/>
      <c r="C16" s="151"/>
      <c r="D16" s="151"/>
      <c r="E16" s="151" t="s">
        <v>912</v>
      </c>
      <c r="F16" s="151"/>
      <c r="G16" s="220">
        <v>0</v>
      </c>
      <c r="H16" s="221">
        <v>0</v>
      </c>
      <c r="I16" s="222">
        <f>ROUND(IF(H56=0, 0, H16/H56),5)</f>
        <v>0</v>
      </c>
      <c r="J16" s="221">
        <v>0</v>
      </c>
    </row>
    <row r="17" spans="1:10" x14ac:dyDescent="0.25">
      <c r="A17" s="151"/>
      <c r="B17" s="151"/>
      <c r="C17" s="151"/>
      <c r="D17" s="151"/>
      <c r="E17" s="151" t="s">
        <v>913</v>
      </c>
      <c r="F17" s="151"/>
      <c r="G17" s="220">
        <v>0</v>
      </c>
      <c r="H17" s="221">
        <v>0</v>
      </c>
      <c r="I17" s="222">
        <f>ROUND(IF(H56=0, 0, H17/H56),5)</f>
        <v>0</v>
      </c>
      <c r="J17" s="221">
        <v>0</v>
      </c>
    </row>
    <row r="18" spans="1:10" x14ac:dyDescent="0.25">
      <c r="A18" s="151"/>
      <c r="B18" s="151"/>
      <c r="C18" s="151"/>
      <c r="D18" s="151"/>
      <c r="E18" s="151" t="s">
        <v>914</v>
      </c>
      <c r="F18" s="151"/>
      <c r="G18" s="220">
        <v>0</v>
      </c>
      <c r="H18" s="221">
        <v>0</v>
      </c>
      <c r="I18" s="222">
        <f>ROUND(IF(H56=0, 0, H18/H56),5)</f>
        <v>0</v>
      </c>
      <c r="J18" s="221">
        <v>0</v>
      </c>
    </row>
    <row r="19" spans="1:10" x14ac:dyDescent="0.25">
      <c r="A19" s="151"/>
      <c r="B19" s="151"/>
      <c r="C19" s="151"/>
      <c r="D19" s="151"/>
      <c r="E19" s="151" t="s">
        <v>915</v>
      </c>
      <c r="F19" s="151"/>
      <c r="G19" s="220">
        <v>5.25</v>
      </c>
      <c r="H19" s="221">
        <v>420</v>
      </c>
      <c r="I19" s="222">
        <f>ROUND(IF(H56=0, 0, H19/H56),5)</f>
        <v>4.2300000000000003E-3</v>
      </c>
      <c r="J19" s="221">
        <v>80</v>
      </c>
    </row>
    <row r="20" spans="1:10" x14ac:dyDescent="0.25">
      <c r="A20" s="151"/>
      <c r="B20" s="151"/>
      <c r="C20" s="151"/>
      <c r="D20" s="151"/>
      <c r="E20" s="151" t="s">
        <v>916</v>
      </c>
      <c r="F20" s="151"/>
      <c r="G20" s="220">
        <v>2.09</v>
      </c>
      <c r="H20" s="221">
        <v>163.02000000000001</v>
      </c>
      <c r="I20" s="222">
        <f>ROUND(IF(H56=0, 0, H20/H56),5)</f>
        <v>1.64E-3</v>
      </c>
      <c r="J20" s="221">
        <v>78</v>
      </c>
    </row>
    <row r="21" spans="1:10" x14ac:dyDescent="0.25">
      <c r="A21" s="151"/>
      <c r="B21" s="151"/>
      <c r="C21" s="151"/>
      <c r="D21" s="151"/>
      <c r="E21" s="151" t="s">
        <v>917</v>
      </c>
      <c r="F21" s="151"/>
      <c r="G21" s="220">
        <v>88.25</v>
      </c>
      <c r="H21" s="221">
        <v>7114.72</v>
      </c>
      <c r="I21" s="222">
        <f>ROUND(IF(H56=0, 0, H21/H56),5)</f>
        <v>7.1650000000000005E-2</v>
      </c>
      <c r="J21" s="221">
        <v>80.62</v>
      </c>
    </row>
    <row r="22" spans="1:10" x14ac:dyDescent="0.25">
      <c r="A22" s="151"/>
      <c r="B22" s="151"/>
      <c r="C22" s="151"/>
      <c r="D22" s="151"/>
      <c r="E22" s="151" t="s">
        <v>918</v>
      </c>
      <c r="F22" s="151"/>
      <c r="G22" s="220">
        <v>0</v>
      </c>
      <c r="H22" s="221">
        <v>0</v>
      </c>
      <c r="I22" s="222">
        <f>ROUND(IF(H56=0, 0, H22/H56),5)</f>
        <v>0</v>
      </c>
      <c r="J22" s="221">
        <v>0</v>
      </c>
    </row>
    <row r="23" spans="1:10" x14ac:dyDescent="0.25">
      <c r="A23" s="151"/>
      <c r="B23" s="151"/>
      <c r="C23" s="151"/>
      <c r="D23" s="151"/>
      <c r="E23" s="151" t="s">
        <v>919</v>
      </c>
      <c r="F23" s="151"/>
      <c r="G23" s="220">
        <v>0</v>
      </c>
      <c r="H23" s="221">
        <v>0</v>
      </c>
      <c r="I23" s="222">
        <f>ROUND(IF(H56=0, 0, H23/H56),5)</f>
        <v>0</v>
      </c>
      <c r="J23" s="221">
        <v>0</v>
      </c>
    </row>
    <row r="24" spans="1:10" x14ac:dyDescent="0.25">
      <c r="A24" s="151"/>
      <c r="B24" s="151"/>
      <c r="C24" s="151"/>
      <c r="D24" s="151"/>
      <c r="E24" s="151" t="s">
        <v>920</v>
      </c>
      <c r="F24" s="151"/>
      <c r="G24" s="220">
        <v>3</v>
      </c>
      <c r="H24" s="221">
        <v>60</v>
      </c>
      <c r="I24" s="222">
        <f>ROUND(IF(H56=0, 0, H24/H56),5)</f>
        <v>5.9999999999999995E-4</v>
      </c>
      <c r="J24" s="221">
        <v>20</v>
      </c>
    </row>
    <row r="25" spans="1:10" x14ac:dyDescent="0.25">
      <c r="A25" s="151"/>
      <c r="B25" s="151"/>
      <c r="C25" s="151"/>
      <c r="D25" s="151"/>
      <c r="E25" s="151" t="s">
        <v>921</v>
      </c>
      <c r="F25" s="151"/>
      <c r="G25" s="220">
        <v>263.29000000000002</v>
      </c>
      <c r="H25" s="221">
        <v>19746.75</v>
      </c>
      <c r="I25" s="222">
        <f>ROUND(IF(H56=0, 0, H25/H56),5)</f>
        <v>0.19886000000000001</v>
      </c>
      <c r="J25" s="221">
        <v>75</v>
      </c>
    </row>
    <row r="26" spans="1:10" x14ac:dyDescent="0.25">
      <c r="A26" s="151"/>
      <c r="B26" s="151"/>
      <c r="C26" s="151"/>
      <c r="D26" s="151"/>
      <c r="E26" s="151" t="s">
        <v>922</v>
      </c>
      <c r="F26" s="151"/>
      <c r="G26" s="220">
        <v>276.25</v>
      </c>
      <c r="H26" s="221">
        <v>20718.75</v>
      </c>
      <c r="I26" s="222">
        <f>ROUND(IF(H56=0, 0, H26/H56),5)</f>
        <v>0.20865</v>
      </c>
      <c r="J26" s="221">
        <v>75</v>
      </c>
    </row>
    <row r="27" spans="1:10" x14ac:dyDescent="0.25">
      <c r="A27" s="151"/>
      <c r="B27" s="151"/>
      <c r="C27" s="151"/>
      <c r="D27" s="151"/>
      <c r="E27" s="151" t="s">
        <v>923</v>
      </c>
      <c r="F27" s="151"/>
      <c r="G27" s="220"/>
      <c r="H27" s="221"/>
      <c r="I27" s="222"/>
      <c r="J27" s="221"/>
    </row>
    <row r="28" spans="1:10" x14ac:dyDescent="0.25">
      <c r="A28" s="151"/>
      <c r="B28" s="151"/>
      <c r="C28" s="151"/>
      <c r="D28" s="151"/>
      <c r="E28" s="151"/>
      <c r="F28" s="151" t="s">
        <v>924</v>
      </c>
      <c r="G28" s="220">
        <v>6</v>
      </c>
      <c r="H28" s="221">
        <v>390</v>
      </c>
      <c r="I28" s="222">
        <f>ROUND(IF(H56=0, 0, H28/H56),5)</f>
        <v>3.9300000000000003E-3</v>
      </c>
      <c r="J28" s="221">
        <v>65</v>
      </c>
    </row>
    <row r="29" spans="1:10" x14ac:dyDescent="0.25">
      <c r="A29" s="151"/>
      <c r="B29" s="151"/>
      <c r="C29" s="151"/>
      <c r="D29" s="151"/>
      <c r="E29" s="151"/>
      <c r="F29" s="151" t="s">
        <v>925</v>
      </c>
      <c r="G29" s="220">
        <v>0</v>
      </c>
      <c r="H29" s="221">
        <v>0</v>
      </c>
      <c r="I29" s="222">
        <f>ROUND(IF(H56=0, 0, H29/H56),5)</f>
        <v>0</v>
      </c>
      <c r="J29" s="221">
        <v>0</v>
      </c>
    </row>
    <row r="30" spans="1:10" x14ac:dyDescent="0.25">
      <c r="A30" s="151"/>
      <c r="B30" s="151"/>
      <c r="C30" s="151"/>
      <c r="D30" s="151"/>
      <c r="E30" s="151"/>
      <c r="F30" s="151" t="s">
        <v>926</v>
      </c>
      <c r="G30" s="220">
        <v>0</v>
      </c>
      <c r="H30" s="221">
        <v>0</v>
      </c>
      <c r="I30" s="222">
        <f>ROUND(IF(H56=0, 0, H30/H56),5)</f>
        <v>0</v>
      </c>
      <c r="J30" s="221">
        <v>0</v>
      </c>
    </row>
    <row r="31" spans="1:10" x14ac:dyDescent="0.25">
      <c r="A31" s="151"/>
      <c r="B31" s="151"/>
      <c r="C31" s="151"/>
      <c r="D31" s="151"/>
      <c r="E31" s="151"/>
      <c r="F31" s="151" t="s">
        <v>927</v>
      </c>
      <c r="G31" s="220">
        <v>0</v>
      </c>
      <c r="H31" s="221">
        <v>0</v>
      </c>
      <c r="I31" s="222">
        <f>ROUND(IF(H56=0, 0, H31/H56),5)</f>
        <v>0</v>
      </c>
      <c r="J31" s="221">
        <v>0</v>
      </c>
    </row>
    <row r="32" spans="1:10" x14ac:dyDescent="0.25">
      <c r="A32" s="151"/>
      <c r="B32" s="151"/>
      <c r="C32" s="151"/>
      <c r="D32" s="151"/>
      <c r="E32" s="151"/>
      <c r="F32" s="151" t="s">
        <v>928</v>
      </c>
      <c r="G32" s="220">
        <v>0</v>
      </c>
      <c r="H32" s="221">
        <v>0</v>
      </c>
      <c r="I32" s="222">
        <f>ROUND(IF(H56=0, 0, H32/H56),5)</f>
        <v>0</v>
      </c>
      <c r="J32" s="221">
        <v>0</v>
      </c>
    </row>
    <row r="33" spans="1:10" x14ac:dyDescent="0.25">
      <c r="A33" s="151"/>
      <c r="B33" s="151"/>
      <c r="C33" s="151"/>
      <c r="D33" s="151"/>
      <c r="E33" s="151"/>
      <c r="F33" s="151" t="s">
        <v>929</v>
      </c>
      <c r="G33" s="220">
        <v>0</v>
      </c>
      <c r="H33" s="221">
        <v>0</v>
      </c>
      <c r="I33" s="222">
        <f>ROUND(IF(H56=0, 0, H33/H56),5)</f>
        <v>0</v>
      </c>
      <c r="J33" s="221">
        <v>0</v>
      </c>
    </row>
    <row r="34" spans="1:10" x14ac:dyDescent="0.25">
      <c r="A34" s="151"/>
      <c r="B34" s="151"/>
      <c r="C34" s="151"/>
      <c r="D34" s="151"/>
      <c r="E34" s="151"/>
      <c r="F34" s="151" t="s">
        <v>930</v>
      </c>
      <c r="G34" s="220">
        <v>0</v>
      </c>
      <c r="H34" s="221">
        <v>0</v>
      </c>
      <c r="I34" s="222">
        <f>ROUND(IF(H56=0, 0, H34/H56),5)</f>
        <v>0</v>
      </c>
      <c r="J34" s="221">
        <v>0</v>
      </c>
    </row>
    <row r="35" spans="1:10" x14ac:dyDescent="0.25">
      <c r="A35" s="151"/>
      <c r="B35" s="151"/>
      <c r="C35" s="151"/>
      <c r="D35" s="151"/>
      <c r="E35" s="151"/>
      <c r="F35" s="151" t="s">
        <v>931</v>
      </c>
      <c r="G35" s="220">
        <v>0</v>
      </c>
      <c r="H35" s="221">
        <v>0</v>
      </c>
      <c r="I35" s="222">
        <f>ROUND(IF(H56=0, 0, H35/H56),5)</f>
        <v>0</v>
      </c>
      <c r="J35" s="221">
        <v>0</v>
      </c>
    </row>
    <row r="36" spans="1:10" x14ac:dyDescent="0.25">
      <c r="A36" s="151"/>
      <c r="B36" s="151"/>
      <c r="C36" s="151"/>
      <c r="D36" s="151"/>
      <c r="E36" s="151"/>
      <c r="F36" s="151" t="s">
        <v>932</v>
      </c>
      <c r="G36" s="220">
        <v>0</v>
      </c>
      <c r="H36" s="221">
        <v>0</v>
      </c>
      <c r="I36" s="222">
        <f>ROUND(IF(H56=0, 0, H36/H56),5)</f>
        <v>0</v>
      </c>
      <c r="J36" s="221">
        <v>0</v>
      </c>
    </row>
    <row r="37" spans="1:10" x14ac:dyDescent="0.25">
      <c r="A37" s="151"/>
      <c r="B37" s="151"/>
      <c r="C37" s="151"/>
      <c r="D37" s="151"/>
      <c r="E37" s="151"/>
      <c r="F37" s="151" t="s">
        <v>933</v>
      </c>
      <c r="G37" s="220">
        <v>0</v>
      </c>
      <c r="H37" s="221">
        <v>0</v>
      </c>
      <c r="I37" s="222">
        <f>ROUND(IF(H56=0, 0, H37/H56),5)</f>
        <v>0</v>
      </c>
      <c r="J37" s="221">
        <v>0</v>
      </c>
    </row>
    <row r="38" spans="1:10" x14ac:dyDescent="0.25">
      <c r="A38" s="151"/>
      <c r="B38" s="151"/>
      <c r="C38" s="151"/>
      <c r="D38" s="151"/>
      <c r="E38" s="151"/>
      <c r="F38" s="151" t="s">
        <v>934</v>
      </c>
      <c r="G38" s="220">
        <v>0</v>
      </c>
      <c r="H38" s="221">
        <v>0</v>
      </c>
      <c r="I38" s="222">
        <f>ROUND(IF(H56=0, 0, H38/H56),5)</f>
        <v>0</v>
      </c>
      <c r="J38" s="221">
        <v>0</v>
      </c>
    </row>
    <row r="39" spans="1:10" ht="15.75" thickBot="1" x14ac:dyDescent="0.3">
      <c r="A39" s="151"/>
      <c r="B39" s="151"/>
      <c r="C39" s="151"/>
      <c r="D39" s="151"/>
      <c r="E39" s="151"/>
      <c r="F39" s="151" t="s">
        <v>935</v>
      </c>
      <c r="G39" s="223">
        <v>0</v>
      </c>
      <c r="H39" s="224">
        <v>0</v>
      </c>
      <c r="I39" s="225">
        <f>ROUND(IF(H56=0, 0, H39/H56),5)</f>
        <v>0</v>
      </c>
      <c r="J39" s="224">
        <v>0</v>
      </c>
    </row>
    <row r="40" spans="1:10" x14ac:dyDescent="0.25">
      <c r="A40" s="151"/>
      <c r="B40" s="151"/>
      <c r="C40" s="151"/>
      <c r="D40" s="151"/>
      <c r="E40" s="151" t="s">
        <v>936</v>
      </c>
      <c r="F40" s="151"/>
      <c r="G40" s="220">
        <f>ROUND(SUM(G27:G39),5)</f>
        <v>6</v>
      </c>
      <c r="H40" s="221">
        <f>ROUND(SUM(H27:H39),5)</f>
        <v>390</v>
      </c>
      <c r="I40" s="222">
        <f>ROUND(IF(H56=0, 0, H40/H56),5)</f>
        <v>3.9300000000000003E-3</v>
      </c>
      <c r="J40" s="221">
        <v>65</v>
      </c>
    </row>
    <row r="41" spans="1:10" x14ac:dyDescent="0.25">
      <c r="A41" s="151"/>
      <c r="B41" s="151"/>
      <c r="C41" s="151"/>
      <c r="D41" s="151"/>
      <c r="E41" s="151" t="s">
        <v>937</v>
      </c>
      <c r="F41" s="151"/>
      <c r="G41" s="220">
        <v>377.75</v>
      </c>
      <c r="H41" s="221">
        <v>30454.22</v>
      </c>
      <c r="I41" s="222">
        <f>ROUND(IF(H56=0, 0, H41/H56),5)</f>
        <v>0.30669000000000002</v>
      </c>
      <c r="J41" s="221">
        <v>80.62</v>
      </c>
    </row>
    <row r="42" spans="1:10" ht="15.75" thickBot="1" x14ac:dyDescent="0.3">
      <c r="A42" s="151"/>
      <c r="B42" s="151"/>
      <c r="C42" s="151"/>
      <c r="D42" s="151"/>
      <c r="E42" s="151" t="s">
        <v>938</v>
      </c>
      <c r="F42" s="151"/>
      <c r="G42" s="223">
        <v>0</v>
      </c>
      <c r="H42" s="224">
        <v>0</v>
      </c>
      <c r="I42" s="225">
        <f>ROUND(IF(H56=0, 0, H42/H56),5)</f>
        <v>0</v>
      </c>
      <c r="J42" s="224">
        <v>0</v>
      </c>
    </row>
    <row r="43" spans="1:10" x14ac:dyDescent="0.25">
      <c r="A43" s="151"/>
      <c r="B43" s="151"/>
      <c r="C43" s="151"/>
      <c r="D43" s="151" t="s">
        <v>939</v>
      </c>
      <c r="E43" s="151"/>
      <c r="F43" s="151"/>
      <c r="G43" s="220">
        <f>ROUND(SUM(G12:G26)+SUM(G40:G42),5)</f>
        <v>1021.88</v>
      </c>
      <c r="H43" s="221">
        <f>ROUND(SUM(H12:H26)+SUM(H40:H42),5)</f>
        <v>79067.460000000006</v>
      </c>
      <c r="I43" s="222">
        <f>ROUND(IF(H56=0, 0, H43/H56),5)</f>
        <v>0.79625000000000001</v>
      </c>
      <c r="J43" s="221">
        <v>77.37</v>
      </c>
    </row>
    <row r="44" spans="1:10" x14ac:dyDescent="0.25">
      <c r="A44" s="151"/>
      <c r="B44" s="151"/>
      <c r="C44" s="151"/>
      <c r="D44" s="151" t="s">
        <v>940</v>
      </c>
      <c r="E44" s="151"/>
      <c r="F44" s="151"/>
      <c r="G44" s="220">
        <v>0</v>
      </c>
      <c r="H44" s="221">
        <v>0</v>
      </c>
      <c r="I44" s="222">
        <f>ROUND(IF(H56=0, 0, H44/H56),5)</f>
        <v>0</v>
      </c>
      <c r="J44" s="221">
        <v>0</v>
      </c>
    </row>
    <row r="45" spans="1:10" x14ac:dyDescent="0.25">
      <c r="A45" s="151"/>
      <c r="B45" s="151"/>
      <c r="C45" s="151"/>
      <c r="D45" s="151" t="s">
        <v>941</v>
      </c>
      <c r="E45" s="151"/>
      <c r="F45" s="151"/>
      <c r="G45" s="220">
        <v>1</v>
      </c>
      <c r="H45" s="221">
        <v>1250</v>
      </c>
      <c r="I45" s="222">
        <f>ROUND(IF(H56=0, 0, H45/H56),5)</f>
        <v>1.259E-2</v>
      </c>
      <c r="J45" s="221">
        <v>1250</v>
      </c>
    </row>
    <row r="46" spans="1:10" x14ac:dyDescent="0.25">
      <c r="A46" s="151"/>
      <c r="B46" s="151"/>
      <c r="C46" s="151"/>
      <c r="D46" s="151" t="s">
        <v>942</v>
      </c>
      <c r="E46" s="151"/>
      <c r="F46" s="151"/>
      <c r="G46" s="220">
        <v>8</v>
      </c>
      <c r="H46" s="221">
        <v>12000</v>
      </c>
      <c r="I46" s="222">
        <f>ROUND(IF(H56=0, 0, H46/H56),5)</f>
        <v>0.12085</v>
      </c>
      <c r="J46" s="221">
        <v>1500</v>
      </c>
    </row>
    <row r="47" spans="1:10" x14ac:dyDescent="0.25">
      <c r="A47" s="151"/>
      <c r="B47" s="151"/>
      <c r="C47" s="151"/>
      <c r="D47" s="151" t="s">
        <v>943</v>
      </c>
      <c r="E47" s="151"/>
      <c r="F47" s="151"/>
      <c r="G47" s="220">
        <v>11</v>
      </c>
      <c r="H47" s="221">
        <v>725.89</v>
      </c>
      <c r="I47" s="222">
        <f>ROUND(IF(H56=0, 0, H47/H56),5)</f>
        <v>7.3099999999999997E-3</v>
      </c>
      <c r="J47" s="221">
        <v>65.989999999999995</v>
      </c>
    </row>
    <row r="48" spans="1:10" x14ac:dyDescent="0.25">
      <c r="A48" s="151"/>
      <c r="B48" s="151"/>
      <c r="C48" s="151"/>
      <c r="D48" s="151" t="s">
        <v>944</v>
      </c>
      <c r="E48" s="151"/>
      <c r="F48" s="151"/>
      <c r="G48" s="220">
        <v>0</v>
      </c>
      <c r="H48" s="221">
        <v>0</v>
      </c>
      <c r="I48" s="222">
        <f>ROUND(IF(H56=0, 0, H48/H56),5)</f>
        <v>0</v>
      </c>
      <c r="J48" s="221">
        <v>0</v>
      </c>
    </row>
    <row r="49" spans="1:10" x14ac:dyDescent="0.25">
      <c r="A49" s="151"/>
      <c r="B49" s="151"/>
      <c r="C49" s="151"/>
      <c r="D49" s="151" t="s">
        <v>945</v>
      </c>
      <c r="E49" s="151"/>
      <c r="F49" s="151"/>
      <c r="G49" s="220">
        <v>5</v>
      </c>
      <c r="H49" s="221">
        <v>256.92</v>
      </c>
      <c r="I49" s="222">
        <f>ROUND(IF(H56=0, 0, H49/H56),5)</f>
        <v>2.5899999999999999E-3</v>
      </c>
      <c r="J49" s="221">
        <v>51.38</v>
      </c>
    </row>
    <row r="50" spans="1:10" ht="15.75" thickBot="1" x14ac:dyDescent="0.3">
      <c r="A50" s="151"/>
      <c r="B50" s="151"/>
      <c r="C50" s="151"/>
      <c r="D50" s="151" t="s">
        <v>946</v>
      </c>
      <c r="E50" s="151"/>
      <c r="F50" s="151"/>
      <c r="G50" s="223">
        <v>0</v>
      </c>
      <c r="H50" s="224">
        <v>0</v>
      </c>
      <c r="I50" s="225">
        <f>ROUND(IF(H56=0, 0, H50/H56),5)</f>
        <v>0</v>
      </c>
      <c r="J50" s="224">
        <v>0</v>
      </c>
    </row>
    <row r="51" spans="1:10" x14ac:dyDescent="0.25">
      <c r="A51" s="151"/>
      <c r="B51" s="151"/>
      <c r="C51" s="151" t="s">
        <v>947</v>
      </c>
      <c r="D51" s="151"/>
      <c r="E51" s="151"/>
      <c r="F51" s="151"/>
      <c r="G51" s="220">
        <f>ROUND(G8+G11+SUM(G43:G50),5)</f>
        <v>1050.8800000000001</v>
      </c>
      <c r="H51" s="221">
        <f>ROUND(H8+H11+SUM(H43:H50),5)</f>
        <v>99300.27</v>
      </c>
      <c r="I51" s="222">
        <f>ROUND(IF(H56=0, 0, H51/H56),5)</f>
        <v>1</v>
      </c>
      <c r="J51" s="221">
        <v>94.49</v>
      </c>
    </row>
    <row r="52" spans="1:10" x14ac:dyDescent="0.25">
      <c r="A52" s="151"/>
      <c r="B52" s="151"/>
      <c r="C52" s="151" t="s">
        <v>948</v>
      </c>
      <c r="D52" s="151"/>
      <c r="E52" s="151"/>
      <c r="F52" s="151"/>
      <c r="G52" s="220"/>
      <c r="H52" s="221"/>
      <c r="I52" s="222"/>
      <c r="J52" s="221"/>
    </row>
    <row r="53" spans="1:10" ht="15.75" thickBot="1" x14ac:dyDescent="0.3">
      <c r="A53" s="151"/>
      <c r="B53" s="151"/>
      <c r="C53" s="151"/>
      <c r="D53" s="151" t="s">
        <v>949</v>
      </c>
      <c r="E53" s="151"/>
      <c r="F53" s="151"/>
      <c r="G53" s="220">
        <v>0</v>
      </c>
      <c r="H53" s="221">
        <v>0</v>
      </c>
      <c r="I53" s="222">
        <f>ROUND(IF(H56=0, 0, H53/H56),5)</f>
        <v>0</v>
      </c>
      <c r="J53" s="221">
        <v>0</v>
      </c>
    </row>
    <row r="54" spans="1:10" ht="15.75" thickBot="1" x14ac:dyDescent="0.3">
      <c r="A54" s="151"/>
      <c r="B54" s="151"/>
      <c r="C54" s="151" t="s">
        <v>950</v>
      </c>
      <c r="D54" s="151"/>
      <c r="E54" s="151"/>
      <c r="F54" s="151"/>
      <c r="G54" s="226">
        <f>ROUND(SUM(G52:G53),5)</f>
        <v>0</v>
      </c>
      <c r="H54" s="227">
        <f>ROUND(SUM(H52:H53),5)</f>
        <v>0</v>
      </c>
      <c r="I54" s="228">
        <f>ROUND(IF(H56=0, 0, H54/H56),5)</f>
        <v>0</v>
      </c>
      <c r="J54" s="227">
        <v>0</v>
      </c>
    </row>
    <row r="55" spans="1:10" ht="15.75" thickBot="1" x14ac:dyDescent="0.3">
      <c r="A55" s="151"/>
      <c r="B55" s="151" t="s">
        <v>951</v>
      </c>
      <c r="C55" s="151"/>
      <c r="D55" s="151"/>
      <c r="E55" s="151"/>
      <c r="F55" s="151"/>
      <c r="G55" s="226">
        <f>ROUND(G7+G51+G54,5)</f>
        <v>1050.8800000000001</v>
      </c>
      <c r="H55" s="227">
        <f>ROUND(H7+H51+H54,5)</f>
        <v>99300.27</v>
      </c>
      <c r="I55" s="228">
        <f>ROUND(IF(H56=0, 0, H55/H56),5)</f>
        <v>1</v>
      </c>
      <c r="J55" s="227">
        <v>94.49</v>
      </c>
    </row>
    <row r="56" spans="1:10" s="150" customFormat="1" ht="12" thickBot="1" x14ac:dyDescent="0.25">
      <c r="A56" s="151" t="s">
        <v>952</v>
      </c>
      <c r="B56" s="151"/>
      <c r="C56" s="151"/>
      <c r="D56" s="151"/>
      <c r="E56" s="151"/>
      <c r="F56" s="151"/>
      <c r="G56" s="229">
        <f>G55</f>
        <v>1050.8800000000001</v>
      </c>
      <c r="H56" s="230">
        <f>H55</f>
        <v>99300.27</v>
      </c>
      <c r="I56" s="231">
        <f>ROUND(IF(H56=0, 0, H56/H56),5)</f>
        <v>1</v>
      </c>
      <c r="J56" s="230">
        <v>94.49</v>
      </c>
    </row>
    <row r="57" spans="1:10" ht="15.75" thickTop="1" x14ac:dyDescent="0.25"/>
    <row r="59" spans="1:10" x14ac:dyDescent="0.25">
      <c r="H59" s="232">
        <f>(H51-H46)/6</f>
        <v>14550.045</v>
      </c>
    </row>
    <row r="60" spans="1:10" x14ac:dyDescent="0.25">
      <c r="H60" s="232">
        <f>H59*12+H46</f>
        <v>186600.54</v>
      </c>
    </row>
    <row r="62" spans="1:10" x14ac:dyDescent="0.25">
      <c r="H62" s="232">
        <f>H60/890</f>
        <v>209.66352808988765</v>
      </c>
    </row>
  </sheetData>
  <pageMargins left="0.7" right="0.7" top="0.75" bottom="0.75" header="0.1" footer="0.3"/>
  <pageSetup orientation="portrait" horizontalDpi="1200" verticalDpi="1200" r:id="rId1"/>
  <headerFooter>
    <oddFooter>&amp;R&amp;"Arial,Bold"&amp;8 Page &amp;P of &amp;N</oddFooter>
  </headerFooter>
  <drawing r:id="rId2"/>
  <legacyDrawing r:id="rId3"/>
  <controls>
    <mc:AlternateContent xmlns:mc="http://schemas.openxmlformats.org/markup-compatibility/2006">
      <mc:Choice Requires="x14">
        <control shapeId="19458" r:id="rId4" name="HEADER">
          <controlPr defaultSize="0" autoLine="0" autoPict="0" r:id="rId5">
            <anchor moveWithCells="1">
              <from>
                <xdr:col>0</xdr:col>
                <xdr:colOff>0</xdr:colOff>
                <xdr:row>0</xdr:row>
                <xdr:rowOff>0</xdr:rowOff>
              </from>
              <to>
                <xdr:col>4</xdr:col>
                <xdr:colOff>133350</xdr:colOff>
                <xdr:row>1</xdr:row>
                <xdr:rowOff>19050</xdr:rowOff>
              </to>
            </anchor>
          </controlPr>
        </control>
      </mc:Choice>
      <mc:Fallback>
        <control shapeId="19458" r:id="rId4" name="HEADER"/>
      </mc:Fallback>
    </mc:AlternateContent>
    <mc:AlternateContent xmlns:mc="http://schemas.openxmlformats.org/markup-compatibility/2006">
      <mc:Choice Requires="x14">
        <control shapeId="19457" r:id="rId6" name="FILTER">
          <controlPr defaultSize="0" autoLine="0" autoPict="0" r:id="rId7">
            <anchor moveWithCells="1">
              <from>
                <xdr:col>0</xdr:col>
                <xdr:colOff>0</xdr:colOff>
                <xdr:row>0</xdr:row>
                <xdr:rowOff>0</xdr:rowOff>
              </from>
              <to>
                <xdr:col>4</xdr:col>
                <xdr:colOff>133350</xdr:colOff>
                <xdr:row>1</xdr:row>
                <xdr:rowOff>19050</xdr:rowOff>
              </to>
            </anchor>
          </controlPr>
        </control>
      </mc:Choice>
      <mc:Fallback>
        <control shapeId="19457" r:id="rId6" name="FILTER"/>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D75F-02CF-4AE9-A1D8-82DCAD3429FE}">
  <dimension ref="A1:N10"/>
  <sheetViews>
    <sheetView zoomScale="75" zoomScaleNormal="75" workbookViewId="0">
      <selection activeCell="F25" sqref="F25"/>
    </sheetView>
  </sheetViews>
  <sheetFormatPr defaultRowHeight="15" x14ac:dyDescent="0.25"/>
  <cols>
    <col min="1" max="1" width="32.5703125" customWidth="1"/>
    <col min="2" max="2" width="10.42578125" bestFit="1" customWidth="1"/>
    <col min="3" max="3" width="9.42578125" bestFit="1" customWidth="1"/>
    <col min="4" max="5" width="11.5703125" bestFit="1" customWidth="1"/>
    <col min="6" max="10" width="10.42578125" bestFit="1" customWidth="1"/>
    <col min="11" max="11" width="9.42578125" bestFit="1" customWidth="1"/>
    <col min="12" max="12" width="10.42578125" bestFit="1" customWidth="1"/>
    <col min="13" max="13" width="9.42578125" bestFit="1" customWidth="1"/>
    <col min="14" max="14" width="11.5703125" bestFit="1" customWidth="1"/>
  </cols>
  <sheetData>
    <row r="1" spans="1:14" ht="19.5" thickBot="1" x14ac:dyDescent="0.4">
      <c r="A1" s="149"/>
      <c r="B1" s="318" t="s">
        <v>953</v>
      </c>
      <c r="C1" s="319"/>
      <c r="D1" s="319"/>
      <c r="E1" s="319"/>
      <c r="F1" s="319"/>
      <c r="G1" s="319"/>
      <c r="H1" s="320"/>
      <c r="I1" s="149"/>
      <c r="J1" s="149"/>
      <c r="K1" s="149"/>
      <c r="L1" s="149"/>
      <c r="M1" s="149"/>
      <c r="N1" s="149"/>
    </row>
    <row r="2" spans="1:14" ht="45" x14ac:dyDescent="0.25">
      <c r="A2" s="162" t="s">
        <v>954</v>
      </c>
      <c r="B2" s="163" t="s">
        <v>955</v>
      </c>
      <c r="C2" s="164" t="s">
        <v>956</v>
      </c>
      <c r="D2" s="164" t="s">
        <v>957</v>
      </c>
      <c r="E2" s="164" t="s">
        <v>958</v>
      </c>
      <c r="F2" s="164" t="s">
        <v>959</v>
      </c>
      <c r="G2" s="164" t="s">
        <v>960</v>
      </c>
      <c r="H2" s="165" t="s">
        <v>961</v>
      </c>
      <c r="I2" s="166" t="s">
        <v>962</v>
      </c>
      <c r="J2" s="164" t="s">
        <v>963</v>
      </c>
      <c r="K2" s="164" t="s">
        <v>964</v>
      </c>
      <c r="L2" s="164" t="s">
        <v>965</v>
      </c>
      <c r="M2" s="164" t="s">
        <v>966</v>
      </c>
      <c r="N2" s="165" t="s">
        <v>343</v>
      </c>
    </row>
    <row r="3" spans="1:14" x14ac:dyDescent="0.25">
      <c r="A3" s="167" t="s">
        <v>553</v>
      </c>
      <c r="B3" s="168">
        <v>12895</v>
      </c>
      <c r="C3" s="169">
        <v>970</v>
      </c>
      <c r="D3" s="169">
        <v>300</v>
      </c>
      <c r="E3" s="169">
        <v>3162</v>
      </c>
      <c r="F3" s="169">
        <v>5728</v>
      </c>
      <c r="G3" s="170" t="s">
        <v>967</v>
      </c>
      <c r="H3" s="171" t="s">
        <v>967</v>
      </c>
      <c r="I3" s="172">
        <v>12841</v>
      </c>
      <c r="J3" s="169">
        <v>8171</v>
      </c>
      <c r="K3" s="169">
        <v>5380</v>
      </c>
      <c r="L3" s="169">
        <v>6046.98</v>
      </c>
      <c r="M3" s="169">
        <v>1882.27</v>
      </c>
      <c r="N3" s="173">
        <v>57376.249999999993</v>
      </c>
    </row>
    <row r="6" spans="1:14" x14ac:dyDescent="0.25">
      <c r="A6" s="94" t="s">
        <v>311</v>
      </c>
      <c r="B6" s="157"/>
      <c r="C6" s="174"/>
      <c r="F6" t="s">
        <v>968</v>
      </c>
      <c r="G6" t="s">
        <v>969</v>
      </c>
      <c r="H6" t="s">
        <v>4</v>
      </c>
    </row>
    <row r="7" spans="1:14" x14ac:dyDescent="0.25">
      <c r="A7" s="7" t="s">
        <v>970</v>
      </c>
      <c r="B7" s="175">
        <v>890</v>
      </c>
      <c r="C7" s="92">
        <v>1</v>
      </c>
      <c r="D7" s="148">
        <f>C7*$N$3</f>
        <v>57376.249999999993</v>
      </c>
      <c r="E7" s="148">
        <f>ROUND(D7,-1)</f>
        <v>57380</v>
      </c>
      <c r="F7" s="148">
        <f t="shared" ref="F7" si="0">E7*0.32</f>
        <v>18361.600000000002</v>
      </c>
      <c r="G7" s="148">
        <f t="shared" ref="G7" si="1">E7*0.28</f>
        <v>16066.400000000001</v>
      </c>
      <c r="H7" s="148">
        <f t="shared" ref="H7" si="2">E7*0.4</f>
        <v>22952</v>
      </c>
      <c r="I7" t="b">
        <f t="shared" ref="I7" si="3">SUM(F7:H7)=E7</f>
        <v>1</v>
      </c>
    </row>
    <row r="8" spans="1:14" x14ac:dyDescent="0.25">
      <c r="A8" s="7"/>
      <c r="B8" s="175"/>
      <c r="C8" s="92"/>
      <c r="D8" s="148"/>
      <c r="E8" s="148"/>
      <c r="F8" s="148"/>
      <c r="G8" s="148"/>
      <c r="H8" s="148"/>
    </row>
    <row r="9" spans="1:14" x14ac:dyDescent="0.25">
      <c r="A9" s="94" t="s">
        <v>312</v>
      </c>
      <c r="B9" s="157"/>
      <c r="C9" s="174"/>
      <c r="D9" s="160" t="s">
        <v>971</v>
      </c>
      <c r="F9" t="s">
        <v>968</v>
      </c>
      <c r="G9" t="s">
        <v>969</v>
      </c>
      <c r="H9" t="s">
        <v>4</v>
      </c>
    </row>
    <row r="10" spans="1:14" x14ac:dyDescent="0.25">
      <c r="A10" s="7" t="s">
        <v>972</v>
      </c>
      <c r="B10" s="175">
        <v>1046</v>
      </c>
      <c r="C10" s="92">
        <v>1</v>
      </c>
      <c r="D10" s="148">
        <f>(D7*1.1)*C10</f>
        <v>63113.875</v>
      </c>
      <c r="E10" s="148">
        <f>ROUND(D10,1)</f>
        <v>63113.9</v>
      </c>
      <c r="F10" s="148">
        <f>E10*0.32</f>
        <v>20196.448</v>
      </c>
      <c r="G10" s="148">
        <f t="shared" ref="G10" si="4">E10*0.28</f>
        <v>17671.892000000003</v>
      </c>
      <c r="H10" s="148">
        <f t="shared" ref="H10" si="5">E10*0.4</f>
        <v>25245.56</v>
      </c>
      <c r="I10" t="b">
        <f t="shared" ref="I10" si="6">SUM(F10:H10)=E10</f>
        <v>1</v>
      </c>
    </row>
  </sheetData>
  <mergeCells count="1">
    <mergeCell ref="B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3531-EB8D-48CC-B828-DC77563F3000}">
  <dimension ref="A1"/>
  <sheetViews>
    <sheetView zoomScale="75" zoomScaleNormal="75" workbookViewId="0">
      <selection activeCell="F25" sqref="F25"/>
    </sheetView>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1422-2EFA-4D55-9A8B-6240B912292E}">
  <dimension ref="A3:H19"/>
  <sheetViews>
    <sheetView zoomScale="75" zoomScaleNormal="75" workbookViewId="0">
      <selection activeCell="F25" sqref="F25"/>
    </sheetView>
  </sheetViews>
  <sheetFormatPr defaultRowHeight="15" x14ac:dyDescent="0.25"/>
  <cols>
    <col min="1" max="1" width="11.7109375" customWidth="1"/>
    <col min="3" max="6" width="12.5703125" customWidth="1"/>
    <col min="7" max="7" width="3.7109375" customWidth="1"/>
    <col min="8" max="8" width="10.5703125" bestFit="1" customWidth="1"/>
  </cols>
  <sheetData>
    <row r="3" spans="1:8" ht="45" x14ac:dyDescent="0.25">
      <c r="A3" s="94" t="s">
        <v>311</v>
      </c>
      <c r="C3" s="136" t="s">
        <v>973</v>
      </c>
      <c r="D3" s="136" t="s">
        <v>974</v>
      </c>
      <c r="E3" s="233" t="s">
        <v>975</v>
      </c>
      <c r="F3" s="136" t="s">
        <v>976</v>
      </c>
    </row>
    <row r="4" spans="1:8" x14ac:dyDescent="0.25">
      <c r="B4" s="234" t="s">
        <v>977</v>
      </c>
      <c r="C4" s="136">
        <v>6134.62</v>
      </c>
      <c r="D4" s="136">
        <v>0</v>
      </c>
      <c r="E4" s="96">
        <v>3644.09</v>
      </c>
      <c r="F4" s="136">
        <v>64.27</v>
      </c>
      <c r="H4" s="235">
        <f>SUM(C4:G4)</f>
        <v>9842.98</v>
      </c>
    </row>
    <row r="5" spans="1:8" x14ac:dyDescent="0.25">
      <c r="B5" s="234" t="s">
        <v>978</v>
      </c>
      <c r="C5" s="136">
        <v>3619.28</v>
      </c>
      <c r="D5" s="136">
        <v>0</v>
      </c>
      <c r="E5" s="136">
        <v>3283.08</v>
      </c>
      <c r="F5" s="136">
        <v>154.68</v>
      </c>
      <c r="H5" s="235">
        <f>SUM(C5:G5)</f>
        <v>7057.0400000000009</v>
      </c>
    </row>
    <row r="6" spans="1:8" x14ac:dyDescent="0.25">
      <c r="B6" s="234" t="s">
        <v>979</v>
      </c>
      <c r="C6" s="136">
        <v>8741.9</v>
      </c>
      <c r="D6" s="136">
        <v>0</v>
      </c>
      <c r="E6" s="136">
        <v>4106.7700000000004</v>
      </c>
      <c r="F6" s="136">
        <v>425.91</v>
      </c>
      <c r="H6" s="235">
        <f t="shared" ref="H6:H15" si="0">SUM(C6:G6)</f>
        <v>13274.58</v>
      </c>
    </row>
    <row r="7" spans="1:8" x14ac:dyDescent="0.25">
      <c r="B7" s="234" t="s">
        <v>980</v>
      </c>
      <c r="C7" s="136">
        <v>8309.11</v>
      </c>
      <c r="D7" s="136">
        <v>0</v>
      </c>
      <c r="E7" s="136">
        <v>3768.86</v>
      </c>
      <c r="F7" s="136">
        <v>245.09</v>
      </c>
      <c r="H7" s="235">
        <f t="shared" si="0"/>
        <v>12323.060000000001</v>
      </c>
    </row>
    <row r="8" spans="1:8" x14ac:dyDescent="0.25">
      <c r="B8" s="234" t="s">
        <v>981</v>
      </c>
      <c r="C8" s="136">
        <v>6580.5</v>
      </c>
      <c r="D8" s="136">
        <v>0</v>
      </c>
      <c r="E8" s="136">
        <v>3614.31</v>
      </c>
      <c r="F8" s="136">
        <v>832.77</v>
      </c>
      <c r="H8" s="235">
        <f t="shared" si="0"/>
        <v>11027.58</v>
      </c>
    </row>
    <row r="9" spans="1:8" x14ac:dyDescent="0.25">
      <c r="A9" s="236" t="s">
        <v>982</v>
      </c>
      <c r="B9" s="234" t="s">
        <v>983</v>
      </c>
      <c r="C9" s="237">
        <f>AVERAGE(C4:C8)</f>
        <v>6677.0820000000003</v>
      </c>
      <c r="D9" s="136">
        <v>0</v>
      </c>
      <c r="E9" s="136">
        <v>3703.51</v>
      </c>
      <c r="F9" s="136">
        <v>425.92</v>
      </c>
      <c r="H9" s="235">
        <f t="shared" si="0"/>
        <v>10806.512000000001</v>
      </c>
    </row>
    <row r="10" spans="1:8" x14ac:dyDescent="0.25">
      <c r="B10" s="234" t="s">
        <v>984</v>
      </c>
      <c r="C10" s="136">
        <v>3647.24</v>
      </c>
      <c r="D10" s="136">
        <v>0</v>
      </c>
      <c r="E10" s="136">
        <v>2660.24</v>
      </c>
      <c r="F10" s="136">
        <v>380.71</v>
      </c>
      <c r="H10" s="235">
        <f t="shared" si="0"/>
        <v>6688.19</v>
      </c>
    </row>
    <row r="11" spans="1:8" x14ac:dyDescent="0.25">
      <c r="B11" s="234" t="s">
        <v>985</v>
      </c>
      <c r="C11" s="96">
        <v>5977.42</v>
      </c>
      <c r="D11" s="136">
        <v>0</v>
      </c>
      <c r="E11" s="96">
        <v>3289.98</v>
      </c>
      <c r="F11" s="96">
        <v>561.54</v>
      </c>
      <c r="G11" s="136"/>
      <c r="H11" s="235">
        <f t="shared" si="0"/>
        <v>9828.9399999999987</v>
      </c>
    </row>
    <row r="12" spans="1:8" x14ac:dyDescent="0.25">
      <c r="A12" s="236" t="s">
        <v>986</v>
      </c>
      <c r="B12" s="234" t="s">
        <v>987</v>
      </c>
      <c r="C12" s="237">
        <f>AVERAGE(C4:C11)</f>
        <v>6210.8940000000002</v>
      </c>
      <c r="D12" s="136"/>
      <c r="E12" s="237">
        <f>AVERAGE(E4:E11)</f>
        <v>3508.855</v>
      </c>
      <c r="F12" s="237">
        <f>AVERAGE(F4:F11)</f>
        <v>386.36124999999998</v>
      </c>
      <c r="H12" s="235">
        <f t="shared" si="0"/>
        <v>10106.11025</v>
      </c>
    </row>
    <row r="13" spans="1:8" x14ac:dyDescent="0.25">
      <c r="A13" s="236" t="s">
        <v>986</v>
      </c>
      <c r="B13" s="234" t="s">
        <v>988</v>
      </c>
      <c r="C13" s="237">
        <f>AVERAGE(C4:C11)</f>
        <v>6210.8940000000002</v>
      </c>
      <c r="D13" s="96"/>
      <c r="E13" s="237">
        <f>AVERAGE(E4:E11)</f>
        <v>3508.855</v>
      </c>
      <c r="F13" s="237">
        <f>AVERAGE(F4:F11)</f>
        <v>386.36124999999998</v>
      </c>
      <c r="H13" s="235">
        <f t="shared" si="0"/>
        <v>10106.11025</v>
      </c>
    </row>
    <row r="14" spans="1:8" x14ac:dyDescent="0.25">
      <c r="A14" s="236" t="s">
        <v>986</v>
      </c>
      <c r="B14" s="234" t="s">
        <v>989</v>
      </c>
      <c r="C14" s="237">
        <f>AVERAGE(C4:C11)</f>
        <v>6210.8940000000002</v>
      </c>
      <c r="D14" s="237"/>
      <c r="E14" s="237">
        <f>AVERAGE(E4:E11)</f>
        <v>3508.855</v>
      </c>
      <c r="F14" s="237">
        <f>AVERAGE(F4:F11)</f>
        <v>386.36124999999998</v>
      </c>
      <c r="G14" s="136"/>
      <c r="H14" s="235">
        <f t="shared" si="0"/>
        <v>10106.11025</v>
      </c>
    </row>
    <row r="15" spans="1:8" x14ac:dyDescent="0.25">
      <c r="A15" s="236" t="s">
        <v>986</v>
      </c>
      <c r="B15" s="234" t="s">
        <v>990</v>
      </c>
      <c r="C15" s="238">
        <f>AVERAGE(C4:C11)</f>
        <v>6210.8940000000002</v>
      </c>
      <c r="D15" s="238"/>
      <c r="E15" s="238">
        <f>AVERAGE(E4:E11)</f>
        <v>3508.855</v>
      </c>
      <c r="F15" s="238">
        <f>AVERAGE(F4:F11)</f>
        <v>386.36124999999998</v>
      </c>
      <c r="H15" s="235">
        <f t="shared" si="0"/>
        <v>10106.11025</v>
      </c>
    </row>
    <row r="16" spans="1:8" x14ac:dyDescent="0.25">
      <c r="C16" s="136">
        <f>SUM(C4:C15)</f>
        <v>74530.728000000003</v>
      </c>
      <c r="D16" s="136">
        <f t="shared" ref="D16:F16" si="1">SUM(D4:D15)</f>
        <v>0</v>
      </c>
      <c r="E16" s="136">
        <f t="shared" si="1"/>
        <v>42106.260000000009</v>
      </c>
      <c r="F16" s="136">
        <f t="shared" si="1"/>
        <v>4636.335</v>
      </c>
    </row>
    <row r="18" spans="1:6" x14ac:dyDescent="0.25">
      <c r="A18" s="161" t="s">
        <v>991</v>
      </c>
    </row>
    <row r="19" spans="1:6" x14ac:dyDescent="0.25">
      <c r="A19" s="161"/>
      <c r="C19" s="235"/>
      <c r="E19" s="235"/>
      <c r="F19" s="2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24-25</vt:lpstr>
      <vt:lpstr>25-26</vt:lpstr>
      <vt:lpstr>26-27</vt:lpstr>
      <vt:lpstr>27-28</vt:lpstr>
      <vt:lpstr>28-29</vt:lpstr>
      <vt:lpstr>5-Year</vt:lpstr>
      <vt:lpstr>School Economics (Lease)</vt:lpstr>
      <vt:lpstr>Avg</vt:lpstr>
      <vt:lpstr>Oct 1</vt:lpstr>
      <vt:lpstr>Funding</vt:lpstr>
      <vt:lpstr>Payroll</vt:lpstr>
      <vt:lpstr>Benefits</vt:lpstr>
      <vt:lpstr>Rent</vt:lpstr>
      <vt:lpstr>Start up note</vt:lpstr>
      <vt:lpstr>FFE</vt:lpstr>
      <vt:lpstr>SPED</vt:lpstr>
      <vt:lpstr>Ins.</vt:lpstr>
      <vt:lpstr>Food</vt:lpstr>
      <vt:lpstr>Utilities</vt:lpstr>
      <vt:lpstr>'24-25'!Print_Area</vt:lpstr>
      <vt:lpstr>'25-26'!Print_Area</vt:lpstr>
      <vt:lpstr>'26-27'!Print_Area</vt:lpstr>
      <vt:lpstr>'27-28'!Print_Area</vt:lpstr>
      <vt:lpstr>'28-29'!Print_Area</vt:lpstr>
      <vt:lpstr>'5-Year'!Print_Area</vt:lpstr>
      <vt:lpstr>Avg!Print_Area</vt:lpstr>
      <vt:lpstr>'Start up note'!Print_Area</vt:lpstr>
      <vt:lpstr>SPED!Print_Titles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Padron</dc:creator>
  <cp:keywords/>
  <dc:description/>
  <cp:lastModifiedBy>Teresa Potter</cp:lastModifiedBy>
  <cp:revision/>
  <dcterms:created xsi:type="dcterms:W3CDTF">2023-01-10T17:38:39Z</dcterms:created>
  <dcterms:modified xsi:type="dcterms:W3CDTF">2025-03-07T21:43:01Z</dcterms:modified>
  <cp:category/>
  <cp:contentStatus/>
</cp:coreProperties>
</file>