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Q  (Companies)\Organizations\Educational\Agencies\SPCSA\FY2425\Enrollment Reduction Agreement\"/>
    </mc:Choice>
  </mc:AlternateContent>
  <xr:revisionPtr revIDLastSave="0" documentId="13_ncr:1_{E125F02E-0D52-43A7-95AC-5CB6AD1E7230}" xr6:coauthVersionLast="47" xr6:coauthVersionMax="47" xr10:uidLastSave="{00000000-0000-0000-0000-000000000000}"/>
  <bookViews>
    <workbookView xWindow="360" yWindow="90" windowWidth="28365" windowHeight="1530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4" l="1"/>
  <c r="H28" i="4"/>
  <c r="F28" i="4"/>
  <c r="F21" i="4"/>
  <c r="F27" i="4"/>
  <c r="G27" i="4" s="1"/>
  <c r="H27" i="4" s="1"/>
  <c r="I27" i="4" s="1"/>
  <c r="J27" i="4" s="1"/>
  <c r="F26" i="4"/>
  <c r="G26" i="4" s="1"/>
  <c r="H26" i="4" s="1"/>
  <c r="I26" i="4" s="1"/>
  <c r="J26" i="4" s="1"/>
  <c r="J21" i="4"/>
  <c r="I21" i="4"/>
  <c r="H21" i="4"/>
  <c r="G21" i="4"/>
  <c r="I28" i="4" l="1"/>
  <c r="J28" i="4" s="1"/>
  <c r="G55" i="2"/>
  <c r="H55" i="2" s="1"/>
  <c r="I55" i="2" s="1"/>
  <c r="J55" i="2" s="1"/>
  <c r="G47" i="2"/>
  <c r="H47" i="2" s="1"/>
  <c r="I47" i="2" s="1"/>
  <c r="J47" i="2" s="1"/>
  <c r="E46" i="2"/>
  <c r="F46" i="2" s="1"/>
  <c r="G46" i="2" s="1"/>
  <c r="H46" i="2" s="1"/>
  <c r="I46" i="2" s="1"/>
  <c r="J46" i="2" s="1"/>
  <c r="G40" i="2"/>
  <c r="E39" i="2"/>
  <c r="F39" i="2" s="1"/>
  <c r="C27" i="2"/>
  <c r="C28" i="2"/>
  <c r="C81" i="2"/>
  <c r="C83" i="2"/>
  <c r="C49" i="2"/>
  <c r="G39" i="2" l="1"/>
  <c r="H39" i="2" s="1"/>
  <c r="F43" i="2"/>
  <c r="H40" i="2"/>
  <c r="I40" i="2" s="1"/>
  <c r="J40" i="2" s="1"/>
  <c r="I39" i="2"/>
  <c r="F57" i="2"/>
  <c r="D17" i="2"/>
  <c r="G43" i="2" l="1"/>
  <c r="H43" i="2"/>
  <c r="J39" i="2"/>
  <c r="J43" i="2" s="1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34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0" i="4"/>
  <c r="E137" i="2"/>
  <c r="E131" i="2"/>
  <c r="E136" i="2" s="1"/>
  <c r="E132" i="2"/>
  <c r="E138" i="2" l="1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<sst xmlns="http://schemas.openxmlformats.org/spreadsheetml/2006/main" count="304" uniqueCount="190">
  <si>
    <t>Nevada State Public Charter School Authority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</si>
  <si>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</si>
  <si>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</si>
  <si>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</si>
  <si>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</si>
  <si>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</si>
  <si>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</si>
  <si>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</si>
  <si>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</si>
  <si>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</si>
  <si>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</si>
  <si>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</si>
  <si>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</si>
  <si>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</si>
  <si>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</si>
  <si>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</si>
  <si>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</si>
  <si>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</si>
  <si>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</si>
  <si>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</si>
  <si>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</si>
  <si>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</si>
  <si>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</si>
  <si>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</si>
  <si>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</si>
  <si>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</si>
  <si>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</si>
  <si>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</si>
  <si>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</si>
  <si>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</si>
  <si>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</si>
  <si>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</si>
  <si>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</si>
  <si>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</si>
  <si>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</si>
  <si>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</si>
  <si>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</si>
  <si>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</si>
  <si>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</si>
  <si>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</si>
  <si>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</si>
  <si>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</si>
  <si>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</si>
  <si>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</si>
  <si>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</si>
  <si>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</si>
  <si>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</si>
  <si>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</si>
  <si>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</si>
  <si>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</si>
  <si>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</si>
  <si>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</si>
  <si>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</si>
  <si>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</si>
  <si>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</si>
  <si>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</si>
  <si>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</si>
  <si>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</si>
  <si>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</si>
  <si>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</si>
  <si>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</si>
  <si>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</si>
  <si>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</si>
  <si>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</si>
  <si>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</si>
  <si>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</si>
  <si>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</si>
  <si>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</si>
  <si>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</si>
  <si>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</si>
  <si>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</si>
  <si>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</si>
  <si>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</si>
  <si>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</si>
  <si>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</si>
  <si>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</si>
  <si>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</si>
  <si>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</si>
  <si>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</si>
  <si>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</si>
  <si>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</si>
  <si>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</si>
  <si>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</si>
  <si>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</si>
  <si>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</si>
  <si>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</si>
  <si>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</si>
  <si>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</si>
  <si>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</si>
  <si>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</si>
  <si>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</si>
  <si>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</si>
  <si>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</si>
  <si>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</si>
  <si>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</si>
  <si>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</si>
  <si>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</si>
  <si>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</si>
  <si>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</si>
  <si>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</si>
  <si>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</si>
  <si>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</si>
  <si>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</si>
  <si>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</si>
  <si>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</si>
  <si>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</si>
  <si>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</si>
  <si>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</si>
  <si>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</si>
  <si>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</si>
  <si>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</si>
  <si>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</si>
  <si>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</si>
  <si>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</si>
  <si>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</si>
  <si>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</si>
  <si>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</si>
  <si>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</si>
  <si>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</si>
  <si>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</si>
  <si>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</si>
  <si>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</si>
  <si>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</si>
  <si>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</si>
  <si>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</si>
  <si>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</si>
  <si>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</si>
  <si>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</si>
  <si>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</si>
  <si>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</si>
  <si>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</si>
  <si>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</si>
  <si>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</si>
  <si>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</si>
  <si>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</si>
  <si>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</si>
  <si>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</si>
  <si>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</si>
  <si>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</si>
  <si>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</si>
  <si>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</si>
  <si>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</si>
  <si>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</si>
  <si>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</si>
  <si>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</si>
  <si>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</si>
  <si>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</si>
  <si>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</si>
  <si>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</si>
  <si>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</si>
  <si>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</si>
  <si>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</si>
  <si>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</si>
  <si>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</si>
  <si>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</si>
  <si>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</si>
  <si>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</si>
  <si>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</si>
  <si>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</si>
  <si>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</si>
  <si>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</si>
  <si>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</si>
  <si>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</si>
  <si>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</si>
  <si>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</si>
  <si>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</si>
  <si>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</si>
  <si>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</si>
  <si>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</si>
  <si>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</si>
  <si>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</si>
  <si>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</si>
  <si>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</si>
  <si>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</si>
  <si>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</si>
  <si>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</si>
  <si>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</si>
  <si>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</si>
  <si>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</si>
  <si>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</si>
  <si>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</si>
  <si>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</si>
  <si>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</si>
  <si>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</si>
  <si>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</si>
  <si>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</si>
  <si>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</si>
  <si>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Nevada State High School- Flagship</t>
  </si>
  <si>
    <t>8475 S Eastern Ave, Suite 204, Las Vegas, NV 89123</t>
  </si>
  <si>
    <t>Nevada State High School- Meadowwood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</si>
</sst>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0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178" fontId="12" fillId="0" borderId="0" xfId="1" applyNumberFormat="1" applyFont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7" fillId="0" borderId="0" xfId="1" applyFont="1"/>
    <xf numFmtId="0" fontId="48" fillId="0" borderId="3" xfId="1" applyFont="1" applyBorder="1"/>
    <xf numFmtId="164" fontId="49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tabSelected="1" topLeftCell="A3" zoomScale="115" zoomScaleNormal="115" zoomScaleSheetLayoutView="100" workbookViewId="0">
      <selection activeCell="F28" sqref="F28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10" width="12.85546875" style="38" customWidth="1"/>
    <col min="11" max="11" width="2.42578125" style="38" customWidth="1"/>
    <col min="12" max="12" width="11.28515625" style="38" bestFit="1" customWidth="1"/>
    <col min="13" max="15" width="9.140625" style="38"/>
    <col min="16" max="19" width="9.5703125" style="38" customWidth="1"/>
    <col min="20" max="16384" width="9.140625" style="38"/>
  </cols>
  <sheetData>
    <row r="1" spans="1:18" ht="15.75" x14ac:dyDescent="0.25">
      <c r="A1" s="221" t="s">
        <v>182</v>
      </c>
      <c r="B1" s="222"/>
      <c r="C1" s="222"/>
      <c r="D1" s="222"/>
      <c r="F1" s="39" t="s">
        <v>188</v>
      </c>
      <c r="G1" s="39"/>
      <c r="H1" s="39"/>
      <c r="I1" s="39"/>
      <c r="J1" s="39"/>
    </row>
    <row r="2" spans="1:18" ht="15.75" x14ac:dyDescent="0.25">
      <c r="A2" s="156" t="s">
        <v>189</v>
      </c>
      <c r="B2" s="157"/>
      <c r="C2" s="157"/>
      <c r="D2" s="157"/>
      <c r="F2" s="42"/>
      <c r="G2" s="42"/>
      <c r="H2" s="42"/>
    </row>
    <row r="3" spans="1:18" x14ac:dyDescent="0.2">
      <c r="A3" s="43" t="s">
        <v>0</v>
      </c>
    </row>
    <row r="4" spans="1:18" x14ac:dyDescent="0.2">
      <c r="A4" s="44"/>
      <c r="I4" s="234"/>
    </row>
    <row r="5" spans="1:18" x14ac:dyDescent="0.2">
      <c r="A5" s="44"/>
      <c r="B5" s="218" t="s">
        <v>178</v>
      </c>
      <c r="I5" s="234"/>
    </row>
    <row r="6" spans="1:18" x14ac:dyDescent="0.2">
      <c r="A6" s="44"/>
      <c r="B6" s="218" t="s">
        <v>180</v>
      </c>
      <c r="I6" s="234"/>
    </row>
    <row r="7" spans="1:18" x14ac:dyDescent="0.2">
      <c r="A7" s="44"/>
      <c r="B7" s="218" t="s">
        <v>181</v>
      </c>
      <c r="I7" s="234"/>
    </row>
    <row r="8" spans="1:18" x14ac:dyDescent="0.2">
      <c r="A8" s="44"/>
      <c r="I8" s="234"/>
    </row>
    <row r="9" spans="1:18" ht="15.75" x14ac:dyDescent="0.25">
      <c r="A9" s="45"/>
      <c r="C9" s="177"/>
      <c r="D9" s="177"/>
      <c r="E9" s="178" t="s">
        <v>2</v>
      </c>
      <c r="F9" s="179" t="s">
        <v>3</v>
      </c>
      <c r="G9" s="180"/>
      <c r="H9" s="180"/>
      <c r="I9" s="180"/>
      <c r="J9" s="180"/>
      <c r="L9" s="235" t="s">
        <v>179</v>
      </c>
      <c r="M9" s="204"/>
      <c r="N9" s="204"/>
      <c r="O9" s="204"/>
      <c r="P9" s="204"/>
      <c r="Q9" s="204"/>
      <c r="R9" s="204"/>
    </row>
    <row r="10" spans="1:18" x14ac:dyDescent="0.2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37"/>
      <c r="M10" s="237"/>
      <c r="N10" s="237"/>
      <c r="O10" s="237"/>
      <c r="P10" s="237"/>
      <c r="Q10" s="237"/>
      <c r="R10" s="237"/>
    </row>
    <row r="11" spans="1:18" x14ac:dyDescent="0.2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37"/>
      <c r="M11" s="237"/>
      <c r="N11" s="237"/>
      <c r="O11" s="237"/>
      <c r="P11" s="237"/>
      <c r="Q11" s="237"/>
      <c r="R11" s="237"/>
    </row>
    <row r="12" spans="1:18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175" t="s">
        <v>4</v>
      </c>
      <c r="C13" s="50"/>
      <c r="D13" s="50"/>
      <c r="E13" s="50"/>
      <c r="F13" s="50"/>
      <c r="G13" s="50"/>
      <c r="H13" s="50"/>
      <c r="I13" s="50"/>
      <c r="J13" s="50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52" t="s">
        <v>5</v>
      </c>
      <c r="C14" s="53">
        <v>49</v>
      </c>
      <c r="D14" s="53">
        <v>31</v>
      </c>
      <c r="E14" s="53">
        <v>12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4" t="s">
        <v>6</v>
      </c>
      <c r="C15" s="55">
        <v>50</v>
      </c>
      <c r="D15" s="55">
        <v>33</v>
      </c>
      <c r="E15" s="53">
        <v>29</v>
      </c>
      <c r="F15" s="54">
        <v>30</v>
      </c>
      <c r="G15" s="54">
        <v>40</v>
      </c>
      <c r="H15" s="54">
        <v>50</v>
      </c>
      <c r="I15" s="54">
        <v>60</v>
      </c>
      <c r="J15" s="54">
        <v>70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6" t="s">
        <v>7</v>
      </c>
      <c r="C16" s="57">
        <f>IF(C14&gt;0,C14-C15,0)</f>
        <v>-1</v>
      </c>
      <c r="D16" s="57">
        <f t="shared" ref="D16:J16" si="1">IF(D14&gt;0,D14-D15,0)</f>
        <v>-2</v>
      </c>
      <c r="E16" s="57">
        <f t="shared" si="1"/>
        <v>-17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37"/>
      <c r="M16" s="237"/>
      <c r="N16" s="237"/>
      <c r="O16" s="237"/>
      <c r="P16" s="237"/>
      <c r="Q16" s="237"/>
      <c r="R16" s="237"/>
    </row>
    <row r="17" spans="1:20" x14ac:dyDescent="0.2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37"/>
      <c r="M17" s="237"/>
      <c r="N17" s="237"/>
      <c r="O17" s="237"/>
      <c r="P17" s="237"/>
      <c r="Q17" s="237"/>
      <c r="R17" s="237"/>
    </row>
    <row r="18" spans="1:20" x14ac:dyDescent="0.2">
      <c r="A18" s="46"/>
      <c r="B18" s="175" t="s">
        <v>8</v>
      </c>
      <c r="C18" s="50"/>
      <c r="D18" s="50"/>
      <c r="E18" s="50"/>
      <c r="F18" s="50"/>
      <c r="G18" s="50"/>
      <c r="H18" s="50"/>
      <c r="I18" s="50"/>
      <c r="J18" s="50"/>
      <c r="K18" s="42"/>
      <c r="L18" s="237"/>
      <c r="M18" s="237"/>
      <c r="N18" s="237"/>
      <c r="O18" s="237"/>
      <c r="P18" s="237"/>
      <c r="Q18" s="237"/>
      <c r="R18" s="237"/>
    </row>
    <row r="19" spans="1:20" x14ac:dyDescent="0.2">
      <c r="A19" s="46"/>
      <c r="B19" s="52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37"/>
      <c r="M19" s="237"/>
      <c r="N19" s="237"/>
      <c r="O19" s="237"/>
      <c r="P19" s="237"/>
      <c r="Q19" s="237"/>
      <c r="R19" s="237"/>
    </row>
    <row r="20" spans="1:20" x14ac:dyDescent="0.2">
      <c r="A20" s="46"/>
      <c r="B20" s="54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37"/>
      <c r="M20" s="237"/>
      <c r="N20" s="237"/>
      <c r="O20" s="237"/>
      <c r="P20" s="237"/>
      <c r="Q20" s="237"/>
      <c r="R20" s="237"/>
    </row>
    <row r="21" spans="1:20" x14ac:dyDescent="0.2">
      <c r="A21" s="46"/>
      <c r="B21" s="60" t="s">
        <v>9</v>
      </c>
      <c r="C21" s="185">
        <v>386467</v>
      </c>
      <c r="D21" s="185">
        <v>281092</v>
      </c>
      <c r="E21" s="185">
        <v>274313</v>
      </c>
      <c r="F21" s="185">
        <f>F15*9414*1</f>
        <v>282420</v>
      </c>
      <c r="G21" s="185">
        <f>G15*9414*1.03</f>
        <v>387856.8</v>
      </c>
      <c r="H21" s="185">
        <f>H15*9414*1.03</f>
        <v>484821</v>
      </c>
      <c r="I21" s="185">
        <f>I15*9414*1.03</f>
        <v>581785.20000000007</v>
      </c>
      <c r="J21" s="185">
        <f>J15*9414*1.03</f>
        <v>678749.4</v>
      </c>
      <c r="K21" s="42"/>
      <c r="L21" s="237"/>
      <c r="M21" s="237"/>
      <c r="N21" s="237"/>
      <c r="O21" s="237"/>
      <c r="P21" s="237"/>
      <c r="Q21" s="237"/>
      <c r="R21" s="237"/>
    </row>
    <row r="22" spans="1:20" x14ac:dyDescent="0.2">
      <c r="A22" s="46"/>
      <c r="B22" s="56" t="s">
        <v>9</v>
      </c>
      <c r="C22" s="82">
        <f>SUM(C19:C21)</f>
        <v>386467</v>
      </c>
      <c r="D22" s="82">
        <f>SUM(D19:D21)</f>
        <v>281092</v>
      </c>
      <c r="E22" s="82">
        <f t="shared" ref="E22:J22" si="2">SUM(E19:E21)</f>
        <v>274313</v>
      </c>
      <c r="F22" s="82">
        <f t="shared" si="2"/>
        <v>282420</v>
      </c>
      <c r="G22" s="82">
        <f t="shared" si="2"/>
        <v>387856.8</v>
      </c>
      <c r="H22" s="82">
        <f t="shared" si="2"/>
        <v>484821</v>
      </c>
      <c r="I22" s="82">
        <f t="shared" si="2"/>
        <v>581785.20000000007</v>
      </c>
      <c r="J22" s="82">
        <f t="shared" si="2"/>
        <v>678749.4</v>
      </c>
      <c r="K22" s="42"/>
      <c r="L22" s="237"/>
      <c r="M22" s="237"/>
      <c r="N22" s="237"/>
      <c r="O22" s="237"/>
      <c r="P22" s="237"/>
      <c r="Q22" s="237"/>
      <c r="R22" s="237"/>
      <c r="S22" s="181"/>
      <c r="T22" s="181"/>
    </row>
    <row r="23" spans="1:20" x14ac:dyDescent="0.2">
      <c r="A23" s="46"/>
      <c r="B23" s="191" t="s">
        <v>10</v>
      </c>
      <c r="C23" s="192">
        <f t="shared" ref="C23:E23" si="3">IF(C$14&gt;0,C22/C$14,C22/C$15)</f>
        <v>7887.0816326530612</v>
      </c>
      <c r="D23" s="192">
        <f t="shared" si="3"/>
        <v>9067.4838709677424</v>
      </c>
      <c r="E23" s="192">
        <f t="shared" si="3"/>
        <v>22859.416666666668</v>
      </c>
      <c r="F23" s="192">
        <f>IF(F$14&gt;0,F22/F$14,F22/F$15)</f>
        <v>9414</v>
      </c>
      <c r="G23" s="192">
        <f t="shared" ref="G23:J23" si="4">IF(G$14&gt;0,G22/G$14,G22/G$15)</f>
        <v>9696.42</v>
      </c>
      <c r="H23" s="192">
        <f t="shared" si="4"/>
        <v>9696.42</v>
      </c>
      <c r="I23" s="192">
        <f t="shared" si="4"/>
        <v>9696.4200000000019</v>
      </c>
      <c r="J23" s="192">
        <f t="shared" si="4"/>
        <v>9696.42</v>
      </c>
      <c r="K23" s="42"/>
      <c r="L23" s="237"/>
      <c r="M23" s="237"/>
      <c r="N23" s="237"/>
      <c r="O23" s="237"/>
      <c r="P23" s="237"/>
      <c r="Q23" s="237"/>
      <c r="R23" s="237"/>
    </row>
    <row r="24" spans="1:20" x14ac:dyDescent="0.2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37"/>
      <c r="M24" s="237"/>
      <c r="N24" s="237"/>
      <c r="O24" s="237"/>
      <c r="P24" s="237"/>
      <c r="Q24" s="237"/>
      <c r="R24" s="237"/>
    </row>
    <row r="25" spans="1:20" x14ac:dyDescent="0.2">
      <c r="A25" s="46"/>
      <c r="B25" s="175" t="s">
        <v>11</v>
      </c>
      <c r="C25" s="50"/>
      <c r="D25" s="50"/>
      <c r="E25" s="50"/>
      <c r="F25" s="50"/>
      <c r="G25" s="50"/>
      <c r="H25" s="50"/>
      <c r="I25" s="50"/>
      <c r="J25" s="50"/>
      <c r="K25" s="42"/>
      <c r="L25" s="237"/>
      <c r="M25" s="237"/>
      <c r="N25" s="237"/>
      <c r="O25" s="237"/>
      <c r="P25" s="237"/>
      <c r="Q25" s="237"/>
      <c r="R25" s="237"/>
    </row>
    <row r="26" spans="1:20" x14ac:dyDescent="0.2">
      <c r="A26" s="46"/>
      <c r="B26" s="62" t="s">
        <v>12</v>
      </c>
      <c r="C26" s="150">
        <v>59208</v>
      </c>
      <c r="D26" s="150">
        <v>83241</v>
      </c>
      <c r="E26" s="151">
        <v>66306</v>
      </c>
      <c r="F26" s="151">
        <f>E26*1.05</f>
        <v>69621.3</v>
      </c>
      <c r="G26" s="151">
        <f>F26*1.03</f>
        <v>71709.938999999998</v>
      </c>
      <c r="H26" s="151">
        <f>G26*1.03</f>
        <v>73861.237170000008</v>
      </c>
      <c r="I26" s="151">
        <f>H26*1.03</f>
        <v>76077.07428510001</v>
      </c>
      <c r="J26" s="151">
        <f>I26*1.03</f>
        <v>78359.386513653008</v>
      </c>
      <c r="K26" s="42"/>
      <c r="L26" s="237"/>
      <c r="M26" s="237"/>
      <c r="N26" s="237"/>
      <c r="O26" s="237"/>
      <c r="P26" s="237"/>
      <c r="Q26" s="237"/>
      <c r="R26" s="237"/>
      <c r="S26" s="46"/>
    </row>
    <row r="27" spans="1:20" x14ac:dyDescent="0.2">
      <c r="A27" s="46"/>
      <c r="B27" s="63" t="s">
        <v>13</v>
      </c>
      <c r="C27" s="182">
        <v>21781</v>
      </c>
      <c r="D27" s="182">
        <v>30181</v>
      </c>
      <c r="E27" s="182">
        <v>27667</v>
      </c>
      <c r="F27" s="151">
        <f>E27*1.05</f>
        <v>29050.350000000002</v>
      </c>
      <c r="G27" s="151">
        <f>F27*1.03</f>
        <v>29921.860500000003</v>
      </c>
      <c r="H27" s="151">
        <f>G27*1.03</f>
        <v>30819.516315000004</v>
      </c>
      <c r="I27" s="151">
        <f>H27*1.03</f>
        <v>31744.101804450005</v>
      </c>
      <c r="J27" s="151">
        <f>I27*1.03</f>
        <v>32696.424858583505</v>
      </c>
      <c r="K27" s="42"/>
      <c r="L27" s="237"/>
      <c r="M27" s="237"/>
      <c r="N27" s="237"/>
      <c r="O27" s="237"/>
      <c r="P27" s="237"/>
      <c r="Q27" s="237"/>
      <c r="R27" s="237"/>
      <c r="S27" s="46"/>
      <c r="T27" s="46"/>
    </row>
    <row r="28" spans="1:20" x14ac:dyDescent="0.2">
      <c r="A28" s="46"/>
      <c r="B28" s="64" t="s">
        <v>14</v>
      </c>
      <c r="C28" s="183">
        <v>288545</v>
      </c>
      <c r="D28" s="183">
        <v>268506</v>
      </c>
      <c r="E28" s="183">
        <v>177342</v>
      </c>
      <c r="F28" s="183">
        <f>268506/31*30</f>
        <v>259844.51612903227</v>
      </c>
      <c r="G28" s="151">
        <f>AVERAGE(F28,H28)</f>
        <v>282851.10806451616</v>
      </c>
      <c r="H28" s="151">
        <f>288545*1.06</f>
        <v>305857.7</v>
      </c>
      <c r="I28" s="151">
        <f>H28*1.03</f>
        <v>315033.43100000004</v>
      </c>
      <c r="J28" s="151">
        <f>I28*1.03</f>
        <v>324484.43393000006</v>
      </c>
      <c r="K28" s="42"/>
      <c r="L28" s="237"/>
      <c r="M28" s="237"/>
      <c r="N28" s="237"/>
      <c r="O28" s="237"/>
      <c r="P28" s="237"/>
      <c r="Q28" s="237"/>
      <c r="R28" s="237"/>
      <c r="S28" s="46"/>
      <c r="T28" s="46"/>
    </row>
    <row r="29" spans="1:20" x14ac:dyDescent="0.2">
      <c r="A29" s="46"/>
      <c r="B29" s="47" t="s">
        <v>15</v>
      </c>
      <c r="C29" s="72">
        <f>SUM(C26:C28)</f>
        <v>369534</v>
      </c>
      <c r="D29" s="72">
        <f>SUM(D26:D28)</f>
        <v>381928</v>
      </c>
      <c r="E29" s="72">
        <f t="shared" ref="E29:J29" si="5">SUM(E26:E28)</f>
        <v>271315</v>
      </c>
      <c r="F29" s="72">
        <f t="shared" si="5"/>
        <v>358516.16612903227</v>
      </c>
      <c r="G29" s="72">
        <f t="shared" si="5"/>
        <v>384482.90756451618</v>
      </c>
      <c r="H29" s="72">
        <f t="shared" si="5"/>
        <v>410538.45348500001</v>
      </c>
      <c r="I29" s="72">
        <f t="shared" si="5"/>
        <v>422854.60708955006</v>
      </c>
      <c r="J29" s="72">
        <f t="shared" si="5"/>
        <v>435540.24530223658</v>
      </c>
      <c r="K29" s="42"/>
      <c r="L29" s="237"/>
      <c r="M29" s="237"/>
      <c r="N29" s="237"/>
      <c r="O29" s="237"/>
      <c r="P29" s="237"/>
      <c r="Q29" s="237"/>
      <c r="R29" s="237"/>
    </row>
    <row r="30" spans="1:20" x14ac:dyDescent="0.2">
      <c r="A30" s="46"/>
      <c r="B30" s="191" t="s">
        <v>16</v>
      </c>
      <c r="C30" s="192">
        <f t="shared" ref="C30" si="6">IF(C$14&gt;0,C29/C$14,C29/C$15)</f>
        <v>7541.5102040816328</v>
      </c>
      <c r="D30" s="192">
        <f t="shared" ref="D30" si="7">IF(D$14&gt;0,D29/D$14,D29/D$15)</f>
        <v>12320.258064516129</v>
      </c>
      <c r="E30" s="192">
        <f t="shared" ref="E30" si="8">IF(E$14&gt;0,E29/E$14,E29/E$15)</f>
        <v>22609.583333333332</v>
      </c>
      <c r="F30" s="192">
        <f>IF(F$14&gt;0,F29/F$14,F29/F$15)</f>
        <v>11950.538870967743</v>
      </c>
      <c r="G30" s="192">
        <f t="shared" ref="G30" si="9">IF(G$14&gt;0,G29/G$14,G29/G$15)</f>
        <v>9612.0726891129052</v>
      </c>
      <c r="H30" s="192">
        <f t="shared" ref="H30" si="10">IF(H$14&gt;0,H29/H$14,H29/H$15)</f>
        <v>8210.7690696999998</v>
      </c>
      <c r="I30" s="192">
        <f t="shared" ref="I30" si="11">IF(I$14&gt;0,I29/I$14,I29/I$15)</f>
        <v>7047.5767848258347</v>
      </c>
      <c r="J30" s="192">
        <f t="shared" ref="J30" si="12">IF(J$14&gt;0,J29/J$14,J29/J$15)</f>
        <v>6222.0035043176658</v>
      </c>
      <c r="K30" s="42"/>
      <c r="L30" s="237"/>
      <c r="M30" s="237"/>
      <c r="N30" s="237"/>
      <c r="O30" s="237"/>
      <c r="P30" s="237"/>
      <c r="Q30" s="237"/>
      <c r="R30" s="237"/>
    </row>
    <row r="31" spans="1:20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37"/>
      <c r="M31" s="237"/>
      <c r="N31" s="237"/>
      <c r="O31" s="237"/>
      <c r="P31" s="237"/>
      <c r="Q31" s="237"/>
      <c r="R31" s="237"/>
    </row>
    <row r="32" spans="1:20" ht="13.5" thickBot="1" x14ac:dyDescent="0.25">
      <c r="A32" s="46"/>
      <c r="B32" s="187" t="s">
        <v>17</v>
      </c>
      <c r="C32" s="188">
        <f t="shared" ref="C32:J32" si="13">SUM(C19:C21)-C29</f>
        <v>16933</v>
      </c>
      <c r="D32" s="188">
        <f t="shared" si="13"/>
        <v>-100836</v>
      </c>
      <c r="E32" s="188">
        <f t="shared" si="13"/>
        <v>2998</v>
      </c>
      <c r="F32" s="188">
        <f t="shared" si="13"/>
        <v>-76096.166129032266</v>
      </c>
      <c r="G32" s="188">
        <f t="shared" si="13"/>
        <v>3373.8924354838091</v>
      </c>
      <c r="H32" s="188">
        <f t="shared" si="13"/>
        <v>74282.546514999995</v>
      </c>
      <c r="I32" s="188">
        <f t="shared" si="13"/>
        <v>158930.59291045001</v>
      </c>
      <c r="J32" s="188">
        <f t="shared" si="13"/>
        <v>243209.15469776344</v>
      </c>
      <c r="K32" s="42"/>
      <c r="L32" s="237"/>
      <c r="M32" s="237"/>
      <c r="N32" s="237"/>
      <c r="O32" s="237"/>
      <c r="P32" s="237"/>
      <c r="Q32" s="237"/>
      <c r="R32" s="237"/>
    </row>
    <row r="33" spans="1:18" ht="13.5" thickTop="1" x14ac:dyDescent="0.2">
      <c r="A33" s="46"/>
      <c r="B33" s="67" t="s">
        <v>18</v>
      </c>
      <c r="C33" s="47"/>
      <c r="D33" s="47"/>
      <c r="E33" s="47"/>
      <c r="F33" s="72">
        <f>+F32+E33</f>
        <v>-76096.166129032266</v>
      </c>
      <c r="G33" s="72">
        <f t="shared" ref="G33:J33" si="14">+G32+F33</f>
        <v>-72722.273693548457</v>
      </c>
      <c r="H33" s="72">
        <f t="shared" si="14"/>
        <v>1560.2728214515373</v>
      </c>
      <c r="I33" s="72">
        <f t="shared" si="14"/>
        <v>160490.86573190155</v>
      </c>
      <c r="J33" s="72">
        <f t="shared" si="14"/>
        <v>403700.02042966499</v>
      </c>
      <c r="K33" s="42"/>
      <c r="L33" s="237"/>
      <c r="M33" s="237"/>
      <c r="N33" s="237"/>
      <c r="O33" s="237"/>
      <c r="P33" s="237"/>
      <c r="Q33" s="237"/>
      <c r="R33" s="237"/>
    </row>
    <row r="34" spans="1:1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">
      <c r="A35" s="46"/>
      <c r="B35" s="49" t="s">
        <v>19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">
      <c r="A41" s="46"/>
      <c r="B41" s="47" t="s">
        <v>20</v>
      </c>
      <c r="C41" s="72">
        <f t="shared" ref="C41:J41" si="15">SUM(C36:C40)</f>
        <v>0</v>
      </c>
      <c r="D41" s="72">
        <f t="shared" si="15"/>
        <v>0</v>
      </c>
      <c r="E41" s="72">
        <f t="shared" si="15"/>
        <v>0</v>
      </c>
      <c r="F41" s="72">
        <f t="shared" si="15"/>
        <v>300000</v>
      </c>
      <c r="G41" s="72">
        <f t="shared" si="15"/>
        <v>310000</v>
      </c>
      <c r="H41" s="72">
        <f t="shared" si="15"/>
        <v>320000</v>
      </c>
      <c r="I41" s="72">
        <f t="shared" si="15"/>
        <v>330000</v>
      </c>
      <c r="J41" s="72">
        <f t="shared" si="15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">
      <c r="A42" s="46"/>
      <c r="B42" s="47" t="s">
        <v>21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">
      <c r="A44" s="46"/>
      <c r="B44" s="49" t="s">
        <v>22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">
      <c r="A45" s="46"/>
      <c r="B45" s="81" t="s">
        <v>23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">
      <c r="B46" s="67" t="s">
        <v>24</v>
      </c>
      <c r="C46" s="67"/>
      <c r="D46" s="67"/>
      <c r="E46" s="154">
        <f t="shared" ref="E46:J46" si="16">IFERROR(E41/E22,0)</f>
        <v>0</v>
      </c>
      <c r="F46" s="154">
        <f t="shared" si="16"/>
        <v>1.0622477161674102</v>
      </c>
      <c r="G46" s="154">
        <f t="shared" si="16"/>
        <v>0.79926405828130387</v>
      </c>
      <c r="H46" s="154">
        <f t="shared" si="16"/>
        <v>0.66003741587101217</v>
      </c>
      <c r="I46" s="154">
        <f t="shared" si="16"/>
        <v>0.567219654264151</v>
      </c>
      <c r="J46" s="154">
        <f t="shared" si="16"/>
        <v>0.50092125311639313</v>
      </c>
      <c r="K46" s="42"/>
      <c r="M46" s="46"/>
      <c r="N46" s="46"/>
      <c r="O46" s="46"/>
      <c r="P46" s="46"/>
      <c r="Q46" s="46"/>
      <c r="R46" s="46"/>
    </row>
    <row r="47" spans="1:18" hidden="1" x14ac:dyDescent="0.2">
      <c r="A47" s="46"/>
      <c r="B47" s="47" t="s">
        <v>25</v>
      </c>
      <c r="C47" s="73"/>
      <c r="D47" s="73">
        <f t="shared" ref="D47:J47" si="17">IFERROR(D41/C41-1,0)</f>
        <v>0</v>
      </c>
      <c r="E47" s="73">
        <f t="shared" si="17"/>
        <v>0</v>
      </c>
      <c r="F47" s="73">
        <f t="shared" si="17"/>
        <v>0</v>
      </c>
      <c r="G47" s="73">
        <f t="shared" si="17"/>
        <v>3.3333333333333437E-2</v>
      </c>
      <c r="H47" s="73">
        <f t="shared" si="17"/>
        <v>3.2258064516129004E-2</v>
      </c>
      <c r="I47" s="73">
        <f t="shared" si="17"/>
        <v>3.125E-2</v>
      </c>
      <c r="J47" s="73">
        <f t="shared" si="17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">
      <c r="A50" s="46"/>
      <c r="B50" s="47" t="str">
        <f>+B41</f>
        <v>Total Acquisition Payments</v>
      </c>
      <c r="C50" s="47">
        <f t="shared" ref="C50:J50" si="18">+C41</f>
        <v>0</v>
      </c>
      <c r="D50" s="47">
        <f t="shared" si="18"/>
        <v>0</v>
      </c>
      <c r="E50" s="47">
        <f t="shared" si="18"/>
        <v>0</v>
      </c>
      <c r="F50" s="47">
        <f t="shared" si="18"/>
        <v>300000</v>
      </c>
      <c r="G50" s="47">
        <f t="shared" si="18"/>
        <v>310000</v>
      </c>
      <c r="H50" s="47">
        <f t="shared" si="18"/>
        <v>320000</v>
      </c>
      <c r="I50" s="47">
        <f t="shared" si="18"/>
        <v>330000</v>
      </c>
      <c r="J50" s="47">
        <f t="shared" si="18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">
      <c r="A51" s="46"/>
      <c r="B51" s="56" t="s">
        <v>26</v>
      </c>
      <c r="C51" s="153">
        <f>IF(C50&gt;0,C49-C50,0)</f>
        <v>0</v>
      </c>
      <c r="D51" s="153">
        <f t="shared" ref="D51:J51" si="19">IF(D50&gt;0,D49-D50,0)</f>
        <v>0</v>
      </c>
      <c r="E51" s="153">
        <f t="shared" si="19"/>
        <v>0</v>
      </c>
      <c r="F51" s="153" t="e">
        <f t="shared" si="19"/>
        <v>#REF!</v>
      </c>
      <c r="G51" s="153" t="e">
        <f t="shared" si="19"/>
        <v>#REF!</v>
      </c>
      <c r="H51" s="153" t="e">
        <f t="shared" si="19"/>
        <v>#REF!</v>
      </c>
      <c r="I51" s="153" t="e">
        <f t="shared" si="19"/>
        <v>#REF!</v>
      </c>
      <c r="J51" s="153" t="e">
        <f t="shared" si="19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">
      <c r="A53" s="46"/>
      <c r="B53" s="47" t="s">
        <v>27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">
      <c r="A54" s="46"/>
      <c r="B54" s="47" t="s">
        <v>28</v>
      </c>
      <c r="C54" s="47"/>
      <c r="D54" s="47"/>
      <c r="E54" s="47">
        <f t="shared" ref="E54:J54" si="20">+E32-E41</f>
        <v>2998</v>
      </c>
      <c r="F54" s="47">
        <f t="shared" si="20"/>
        <v>-376096.16612903227</v>
      </c>
      <c r="G54" s="47">
        <f t="shared" si="20"/>
        <v>-306626.10756451619</v>
      </c>
      <c r="H54" s="47">
        <f t="shared" si="20"/>
        <v>-245717.45348500001</v>
      </c>
      <c r="I54" s="47">
        <f t="shared" si="20"/>
        <v>-171069.40708954999</v>
      </c>
      <c r="J54" s="47">
        <f t="shared" si="20"/>
        <v>-96790.845302236557</v>
      </c>
      <c r="K54" s="42"/>
      <c r="M54" s="46"/>
      <c r="N54" s="46"/>
      <c r="O54" s="46"/>
      <c r="P54" s="46"/>
      <c r="Q54" s="46"/>
      <c r="R54" s="46"/>
    </row>
    <row r="55" spans="1:18" hidden="1" x14ac:dyDescent="0.2">
      <c r="A55" s="46"/>
      <c r="B55" s="56" t="s">
        <v>29</v>
      </c>
      <c r="C55" s="56"/>
      <c r="D55" s="56"/>
      <c r="E55" s="82" t="e">
        <f>+E54-E53</f>
        <v>#REF!</v>
      </c>
      <c r="F55" s="82" t="e">
        <f t="shared" ref="F55:J55" si="21">+F54-F53</f>
        <v>#REF!</v>
      </c>
      <c r="G55" s="82" t="e">
        <f t="shared" si="21"/>
        <v>#REF!</v>
      </c>
      <c r="H55" s="82" t="e">
        <f t="shared" si="21"/>
        <v>#REF!</v>
      </c>
      <c r="I55" s="82" t="e">
        <f t="shared" si="21"/>
        <v>#REF!</v>
      </c>
      <c r="J55" s="82" t="e">
        <f t="shared" si="21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">
      <c r="A56" s="46"/>
      <c r="B56" s="67" t="s">
        <v>30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">
      <c r="A58" s="46"/>
      <c r="B58" s="47" t="s">
        <v>27</v>
      </c>
      <c r="C58" s="47"/>
      <c r="D58" s="47"/>
      <c r="E58" s="84" t="e">
        <f t="shared" ref="E58:J58" si="22">+E53</f>
        <v>#REF!</v>
      </c>
      <c r="F58" s="72" t="e">
        <f t="shared" si="22"/>
        <v>#REF!</v>
      </c>
      <c r="G58" s="72" t="e">
        <f t="shared" si="22"/>
        <v>#REF!</v>
      </c>
      <c r="H58" s="72" t="e">
        <f t="shared" si="22"/>
        <v>#REF!</v>
      </c>
      <c r="I58" s="72" t="e">
        <f t="shared" si="22"/>
        <v>#REF!</v>
      </c>
      <c r="J58" s="72" t="e">
        <f t="shared" si="22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">
      <c r="A59" s="46"/>
      <c r="B59" s="47" t="s">
        <v>31</v>
      </c>
      <c r="C59" s="47"/>
      <c r="D59" s="47"/>
      <c r="E59" s="85" t="e">
        <f t="shared" ref="E59:J59" si="23">+E32-E41-E45</f>
        <v>#REF!</v>
      </c>
      <c r="F59" s="85" t="e">
        <f t="shared" si="23"/>
        <v>#REF!</v>
      </c>
      <c r="G59" s="85" t="e">
        <f t="shared" si="23"/>
        <v>#REF!</v>
      </c>
      <c r="H59" s="85" t="e">
        <f t="shared" si="23"/>
        <v>#REF!</v>
      </c>
      <c r="I59" s="85" t="e">
        <f t="shared" si="23"/>
        <v>#REF!</v>
      </c>
      <c r="J59" s="85" t="e">
        <f t="shared" si="23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">
      <c r="A60" s="46"/>
      <c r="B60" s="56" t="s">
        <v>29</v>
      </c>
      <c r="C60" s="56"/>
      <c r="D60" s="56"/>
      <c r="E60" s="82" t="e">
        <f>+E59-E58</f>
        <v>#REF!</v>
      </c>
      <c r="F60" s="82" t="e">
        <f t="shared" ref="F60:J60" si="24">+F59-F58</f>
        <v>#REF!</v>
      </c>
      <c r="G60" s="82" t="e">
        <f t="shared" si="24"/>
        <v>#REF!</v>
      </c>
      <c r="H60" s="82" t="e">
        <f t="shared" si="24"/>
        <v>#REF!</v>
      </c>
      <c r="I60" s="82" t="e">
        <f t="shared" si="24"/>
        <v>#REF!</v>
      </c>
      <c r="J60" s="82" t="e">
        <f t="shared" si="24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">
      <c r="A62" s="46"/>
      <c r="B62" s="145" t="s">
        <v>32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opLeftCell="A45" zoomScale="145" zoomScaleNormal="145" zoomScaleSheetLayoutView="145" workbookViewId="0">
      <selection activeCell="F1" sqref="F1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3" width="11" style="38" hidden="1" customWidth="1"/>
    <col min="4" max="10" width="11" style="38" customWidth="1"/>
    <col min="11" max="11" width="1.7109375" style="38" customWidth="1"/>
    <col min="12" max="12" width="9.140625" style="38" customWidth="1"/>
    <col min="13" max="13" width="9.85546875" style="38" bestFit="1" customWidth="1"/>
    <col min="14" max="14" width="9.140625" style="38"/>
    <col min="15" max="17" width="10.28515625" style="38" bestFit="1" customWidth="1"/>
    <col min="18" max="16384" width="9.140625" style="38"/>
  </cols>
  <sheetData>
    <row r="1" spans="1:18" ht="15.75" x14ac:dyDescent="0.25">
      <c r="A1" s="221" t="s">
        <v>183</v>
      </c>
      <c r="B1" s="222"/>
      <c r="C1" s="222"/>
      <c r="D1" s="222"/>
      <c r="E1" s="222"/>
      <c r="F1" s="39" t="s">
        <v>188</v>
      </c>
      <c r="G1" s="39"/>
      <c r="H1" s="39"/>
      <c r="I1" s="39"/>
      <c r="J1" s="39"/>
    </row>
    <row r="2" spans="1:18" ht="15.75" x14ac:dyDescent="0.25">
      <c r="A2" s="156" t="s">
        <v>187</v>
      </c>
      <c r="B2" s="157"/>
      <c r="C2" s="157"/>
      <c r="D2" s="157"/>
      <c r="E2" s="157"/>
      <c r="F2" s="42"/>
      <c r="G2" s="42"/>
      <c r="H2" s="42"/>
    </row>
    <row r="3" spans="1:18" x14ac:dyDescent="0.2">
      <c r="A3" s="43" t="s">
        <v>0</v>
      </c>
    </row>
    <row r="4" spans="1:18" x14ac:dyDescent="0.2">
      <c r="A4" s="44"/>
      <c r="I4" s="234"/>
    </row>
    <row r="5" spans="1:18" x14ac:dyDescent="0.2">
      <c r="A5" s="44"/>
      <c r="B5" s="218" t="s">
        <v>186</v>
      </c>
      <c r="I5" s="234"/>
    </row>
    <row r="6" spans="1:18" x14ac:dyDescent="0.2">
      <c r="A6" s="44"/>
      <c r="B6" s="218" t="s">
        <v>185</v>
      </c>
      <c r="I6" s="234"/>
    </row>
    <row r="7" spans="1:18" x14ac:dyDescent="0.2">
      <c r="A7" s="44"/>
      <c r="B7" s="236" t="s">
        <v>184</v>
      </c>
      <c r="I7" s="234"/>
    </row>
    <row r="8" spans="1:18" x14ac:dyDescent="0.2">
      <c r="A8" s="44"/>
      <c r="B8" s="236"/>
      <c r="I8" s="234"/>
    </row>
    <row r="9" spans="1:18" x14ac:dyDescent="0.2">
      <c r="A9" s="44"/>
      <c r="I9" s="234"/>
    </row>
    <row r="10" spans="1:18" ht="15.75" x14ac:dyDescent="0.25">
      <c r="A10" s="45"/>
      <c r="C10" s="177"/>
      <c r="D10" s="177"/>
      <c r="E10" s="178" t="s">
        <v>2</v>
      </c>
      <c r="F10" s="179" t="s">
        <v>3</v>
      </c>
      <c r="G10" s="180"/>
      <c r="H10" s="180"/>
      <c r="I10" s="180"/>
      <c r="J10" s="180"/>
      <c r="L10" s="235" t="s">
        <v>179</v>
      </c>
      <c r="M10" s="204"/>
      <c r="N10" s="204"/>
      <c r="O10" s="204"/>
      <c r="P10" s="204"/>
      <c r="Q10" s="204"/>
      <c r="R10" s="204"/>
    </row>
    <row r="11" spans="1:18" x14ac:dyDescent="0.2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38"/>
      <c r="M11" s="238"/>
      <c r="N11" s="238"/>
      <c r="O11" s="238"/>
      <c r="P11" s="238"/>
      <c r="Q11" s="238"/>
      <c r="R11" s="238"/>
    </row>
    <row r="12" spans="1:18" x14ac:dyDescent="0.2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175" t="s">
        <v>33</v>
      </c>
      <c r="C14" s="50"/>
      <c r="D14" s="50"/>
      <c r="E14" s="50"/>
      <c r="F14" s="50"/>
      <c r="G14" s="50"/>
      <c r="H14" s="50"/>
      <c r="I14" s="50"/>
      <c r="J14" s="50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2" t="s">
        <v>5</v>
      </c>
      <c r="C15" s="53">
        <v>198</v>
      </c>
      <c r="D15" s="53"/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4" t="s">
        <v>6</v>
      </c>
      <c r="C16" s="55">
        <v>198</v>
      </c>
      <c r="D16" s="55"/>
      <c r="E16" s="55"/>
      <c r="F16" s="54"/>
      <c r="G16" s="54"/>
      <c r="H16" s="54"/>
      <c r="I16" s="54"/>
      <c r="J16" s="54"/>
      <c r="K16" s="42"/>
      <c r="L16" s="237"/>
      <c r="M16" s="237"/>
      <c r="N16" s="237"/>
      <c r="O16" s="237"/>
      <c r="P16" s="237"/>
      <c r="Q16" s="237"/>
      <c r="R16" s="237"/>
    </row>
    <row r="17" spans="1:18" x14ac:dyDescent="0.2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37"/>
      <c r="M17" s="237"/>
      <c r="N17" s="237"/>
      <c r="O17" s="237"/>
      <c r="P17" s="237"/>
      <c r="Q17" s="237"/>
      <c r="R17" s="237"/>
    </row>
    <row r="18" spans="1:18" x14ac:dyDescent="0.2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37"/>
      <c r="M18" s="237"/>
      <c r="N18" s="237"/>
      <c r="O18" s="237"/>
      <c r="P18" s="237"/>
      <c r="Q18" s="237"/>
      <c r="R18" s="237"/>
    </row>
    <row r="19" spans="1:18" x14ac:dyDescent="0.2">
      <c r="A19" s="46"/>
      <c r="B19" s="175" t="s">
        <v>34</v>
      </c>
      <c r="C19" s="50"/>
      <c r="D19" s="50"/>
      <c r="E19" s="50"/>
      <c r="F19" s="50"/>
      <c r="G19" s="50"/>
      <c r="H19" s="50"/>
      <c r="I19" s="50"/>
      <c r="J19" s="50"/>
      <c r="K19" s="42"/>
      <c r="L19" s="237"/>
      <c r="M19" s="237"/>
      <c r="N19" s="237"/>
      <c r="O19" s="237"/>
      <c r="P19" s="237"/>
      <c r="Q19" s="237"/>
      <c r="R19" s="237"/>
    </row>
    <row r="20" spans="1:18" x14ac:dyDescent="0.2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37"/>
      <c r="M20" s="237"/>
      <c r="N20" s="237"/>
      <c r="O20" s="237"/>
      <c r="P20" s="237"/>
      <c r="Q20" s="237"/>
      <c r="R20" s="237"/>
    </row>
    <row r="21" spans="1:18" x14ac:dyDescent="0.2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37"/>
      <c r="M21" s="237"/>
      <c r="N21" s="237"/>
      <c r="O21" s="237"/>
      <c r="P21" s="237"/>
      <c r="Q21" s="237"/>
      <c r="R21" s="237"/>
    </row>
    <row r="22" spans="1:18" x14ac:dyDescent="0.2">
      <c r="A22" s="46"/>
      <c r="B22" s="60" t="s">
        <v>35</v>
      </c>
      <c r="C22" s="149">
        <f>General!C21</f>
        <v>386467</v>
      </c>
      <c r="D22" s="149">
        <v>2461504</v>
      </c>
      <c r="E22" s="149">
        <v>2292937</v>
      </c>
      <c r="F22" s="149">
        <v>2341293</v>
      </c>
      <c r="G22" s="149">
        <v>4124838</v>
      </c>
      <c r="H22" s="149">
        <v>4269207</v>
      </c>
      <c r="I22" s="149">
        <v>4418630</v>
      </c>
      <c r="J22" s="149">
        <v>4573282</v>
      </c>
      <c r="K22" s="42"/>
      <c r="L22" s="237"/>
      <c r="M22" s="237"/>
      <c r="N22" s="237"/>
      <c r="O22" s="237"/>
      <c r="P22" s="237"/>
      <c r="Q22" s="237"/>
      <c r="R22" s="237"/>
    </row>
    <row r="23" spans="1:18" x14ac:dyDescent="0.2">
      <c r="A23" s="46"/>
      <c r="B23" s="56" t="s">
        <v>9</v>
      </c>
      <c r="C23" s="56">
        <f>SUM(C20:C22)</f>
        <v>386467</v>
      </c>
      <c r="D23" s="56">
        <f t="shared" ref="D23:J23" si="2">SUM(D20:D22)</f>
        <v>2461504</v>
      </c>
      <c r="E23" s="56">
        <f t="shared" si="2"/>
        <v>2292937</v>
      </c>
      <c r="F23" s="56">
        <f t="shared" si="2"/>
        <v>2341293</v>
      </c>
      <c r="G23" s="56">
        <f t="shared" si="2"/>
        <v>4124838</v>
      </c>
      <c r="H23" s="56">
        <f t="shared" si="2"/>
        <v>4269207</v>
      </c>
      <c r="I23" s="56">
        <f t="shared" si="2"/>
        <v>4418630</v>
      </c>
      <c r="J23" s="56">
        <f t="shared" si="2"/>
        <v>4573282</v>
      </c>
      <c r="K23" s="42"/>
      <c r="L23" s="237"/>
      <c r="M23" s="237"/>
      <c r="N23" s="237"/>
      <c r="O23" s="237"/>
      <c r="P23" s="237"/>
      <c r="Q23" s="237"/>
      <c r="R23" s="237"/>
    </row>
    <row r="24" spans="1:18" x14ac:dyDescent="0.2">
      <c r="A24" s="46"/>
      <c r="B24" s="191" t="s">
        <v>10</v>
      </c>
      <c r="C24" s="192">
        <f>IF(C$15&gt;0,C23/C$15,C23/C$16)</f>
        <v>1951.8535353535353</v>
      </c>
      <c r="D24" s="192" t="e">
        <f t="shared" ref="D24:E24" si="3">IF(D$15&gt;0,D23/D$15,D23/D$16)</f>
        <v>#DIV/0!</v>
      </c>
      <c r="E24" s="192" t="e">
        <f t="shared" si="3"/>
        <v>#DIV/0!</v>
      </c>
      <c r="F24" s="192" t="e">
        <f>IF(F$15&gt;0,F23/F$15,F23/F$16)</f>
        <v>#DIV/0!</v>
      </c>
      <c r="G24" s="192" t="e">
        <f t="shared" ref="G24:J24" si="4">IF(G$15&gt;0,G23/G$15,G23/G$16)</f>
        <v>#DIV/0!</v>
      </c>
      <c r="H24" s="192" t="e">
        <f t="shared" si="4"/>
        <v>#DIV/0!</v>
      </c>
      <c r="I24" s="192" t="e">
        <f t="shared" si="4"/>
        <v>#DIV/0!</v>
      </c>
      <c r="J24" s="192" t="e">
        <f t="shared" si="4"/>
        <v>#DIV/0!</v>
      </c>
      <c r="K24" s="42"/>
      <c r="L24" s="237"/>
      <c r="M24" s="237"/>
      <c r="N24" s="237"/>
      <c r="O24" s="237"/>
      <c r="P24" s="237"/>
      <c r="Q24" s="237"/>
      <c r="R24" s="237"/>
    </row>
    <row r="25" spans="1:1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37"/>
      <c r="M25" s="237"/>
      <c r="N25" s="237"/>
      <c r="O25" s="237"/>
      <c r="P25" s="237"/>
      <c r="Q25" s="237"/>
      <c r="R25" s="237"/>
    </row>
    <row r="26" spans="1:18" x14ac:dyDescent="0.2">
      <c r="A26" s="46"/>
      <c r="B26" s="175" t="s">
        <v>36</v>
      </c>
      <c r="C26" s="50"/>
      <c r="D26" s="50"/>
      <c r="E26" s="50"/>
      <c r="F26" s="50"/>
      <c r="G26" s="50"/>
      <c r="H26" s="50"/>
      <c r="I26" s="50"/>
      <c r="J26" s="50"/>
      <c r="K26" s="42"/>
      <c r="L26" s="237"/>
      <c r="M26" s="237"/>
      <c r="N26" s="237"/>
      <c r="O26" s="237"/>
      <c r="P26" s="237"/>
      <c r="Q26" s="237"/>
      <c r="R26" s="237"/>
    </row>
    <row r="27" spans="1:18" x14ac:dyDescent="0.2">
      <c r="A27" s="46"/>
      <c r="B27" s="62"/>
      <c r="C27" s="150">
        <f>General!C26</f>
        <v>59208</v>
      </c>
      <c r="D27" s="150"/>
      <c r="E27" s="151"/>
      <c r="F27" s="151"/>
      <c r="G27" s="151"/>
      <c r="H27" s="151"/>
      <c r="I27" s="151"/>
      <c r="J27" s="151"/>
      <c r="K27" s="42"/>
      <c r="L27" s="237"/>
      <c r="M27" s="237"/>
      <c r="N27" s="237"/>
      <c r="O27" s="237"/>
      <c r="P27" s="237"/>
      <c r="Q27" s="237"/>
      <c r="R27" s="237"/>
    </row>
    <row r="28" spans="1:18" x14ac:dyDescent="0.2">
      <c r="A28" s="46"/>
      <c r="B28" s="63"/>
      <c r="C28" s="182">
        <f>General!C27</f>
        <v>21781</v>
      </c>
      <c r="D28" s="182"/>
      <c r="E28" s="182"/>
      <c r="F28" s="182"/>
      <c r="G28" s="182"/>
      <c r="H28" s="182"/>
      <c r="I28" s="182"/>
      <c r="J28" s="182"/>
      <c r="K28" s="42"/>
      <c r="L28" s="237"/>
      <c r="M28" s="237"/>
      <c r="N28" s="237"/>
      <c r="O28" s="237"/>
      <c r="P28" s="237"/>
      <c r="Q28" s="237"/>
      <c r="R28" s="237"/>
    </row>
    <row r="29" spans="1:18" x14ac:dyDescent="0.2">
      <c r="A29" s="46"/>
      <c r="B29" s="64" t="s">
        <v>37</v>
      </c>
      <c r="C29" s="183">
        <f>General!C28</f>
        <v>288545</v>
      </c>
      <c r="D29" s="183">
        <v>2215353.6</v>
      </c>
      <c r="E29" s="183">
        <v>2063643.3</v>
      </c>
      <c r="F29" s="183">
        <v>2107163.7000000002</v>
      </c>
      <c r="G29" s="183">
        <v>3712354.2</v>
      </c>
      <c r="H29" s="183">
        <v>3842286.3000000003</v>
      </c>
      <c r="I29" s="183">
        <v>3976767</v>
      </c>
      <c r="J29" s="183">
        <v>4115953.8000000003</v>
      </c>
      <c r="K29" s="42"/>
      <c r="L29" s="237"/>
      <c r="M29" s="237"/>
      <c r="N29" s="237"/>
      <c r="O29" s="237"/>
      <c r="P29" s="237"/>
      <c r="Q29" s="237"/>
      <c r="R29" s="237"/>
    </row>
    <row r="30" spans="1:18" x14ac:dyDescent="0.2">
      <c r="A30" s="46"/>
      <c r="B30" s="47" t="s">
        <v>15</v>
      </c>
      <c r="C30" s="72">
        <f>SUM(C27:C29)</f>
        <v>369534</v>
      </c>
      <c r="D30" s="72">
        <f>SUM(D27:D29)</f>
        <v>2215353.6</v>
      </c>
      <c r="E30" s="72">
        <f t="shared" ref="E30:J30" si="5">SUM(E27:E29)</f>
        <v>2063643.3</v>
      </c>
      <c r="F30" s="72">
        <f t="shared" si="5"/>
        <v>2107163.7000000002</v>
      </c>
      <c r="G30" s="72">
        <f t="shared" si="5"/>
        <v>3712354.2</v>
      </c>
      <c r="H30" s="72">
        <f t="shared" si="5"/>
        <v>3842286.3000000003</v>
      </c>
      <c r="I30" s="72">
        <f t="shared" si="5"/>
        <v>3976767</v>
      </c>
      <c r="J30" s="72">
        <f t="shared" si="5"/>
        <v>4115953.8000000003</v>
      </c>
      <c r="K30" s="42"/>
      <c r="L30" s="237"/>
      <c r="M30" s="237"/>
      <c r="N30" s="237"/>
      <c r="O30" s="237"/>
      <c r="P30" s="237"/>
      <c r="Q30" s="237"/>
      <c r="R30" s="237"/>
    </row>
    <row r="31" spans="1:18" x14ac:dyDescent="0.2">
      <c r="A31" s="46"/>
      <c r="B31" s="191" t="s">
        <v>16</v>
      </c>
      <c r="C31" s="192">
        <f t="shared" ref="C31:E31" si="6">IF(C$15&gt;0,C30/C$15,C30/C$16)</f>
        <v>1866.3333333333333</v>
      </c>
      <c r="D31" s="192" t="e">
        <f t="shared" si="6"/>
        <v>#DIV/0!</v>
      </c>
      <c r="E31" s="192" t="e">
        <f t="shared" si="6"/>
        <v>#DIV/0!</v>
      </c>
      <c r="F31" s="192" t="e">
        <f>IF(F$15&gt;0,F30/F$15,F30/F$16)</f>
        <v>#DIV/0!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37"/>
      <c r="M31" s="237"/>
      <c r="N31" s="237"/>
      <c r="O31" s="237"/>
      <c r="P31" s="237"/>
      <c r="Q31" s="237"/>
      <c r="R31" s="237"/>
    </row>
    <row r="32" spans="1:18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37"/>
      <c r="M32" s="237"/>
      <c r="N32" s="237"/>
      <c r="O32" s="237"/>
      <c r="P32" s="237"/>
      <c r="Q32" s="237"/>
      <c r="R32" s="237"/>
    </row>
    <row r="33" spans="1:18" ht="13.5" thickBot="1" x14ac:dyDescent="0.25">
      <c r="A33" s="46"/>
      <c r="B33" s="187" t="s">
        <v>17</v>
      </c>
      <c r="C33" s="66">
        <f t="shared" ref="C33:J33" si="8">SUM(C20:C22)-C30</f>
        <v>16933</v>
      </c>
      <c r="D33" s="66">
        <f t="shared" si="8"/>
        <v>246150.39999999991</v>
      </c>
      <c r="E33" s="66">
        <f t="shared" si="8"/>
        <v>229293.69999999995</v>
      </c>
      <c r="F33" s="66">
        <f t="shared" si="8"/>
        <v>234129.29999999981</v>
      </c>
      <c r="G33" s="66">
        <f t="shared" si="8"/>
        <v>412483.79999999981</v>
      </c>
      <c r="H33" s="66">
        <f t="shared" si="8"/>
        <v>426920.69999999972</v>
      </c>
      <c r="I33" s="66">
        <f t="shared" si="8"/>
        <v>441863</v>
      </c>
      <c r="J33" s="66">
        <f t="shared" si="8"/>
        <v>457328.19999999972</v>
      </c>
      <c r="K33" s="42"/>
      <c r="L33" s="237"/>
      <c r="M33" s="237"/>
      <c r="N33" s="237"/>
      <c r="O33" s="237"/>
      <c r="P33" s="237"/>
      <c r="Q33" s="237"/>
      <c r="R33" s="237"/>
    </row>
    <row r="34" spans="1:18" ht="13.5" thickTop="1" x14ac:dyDescent="0.2">
      <c r="A34" s="46"/>
      <c r="B34" s="67" t="s">
        <v>18</v>
      </c>
      <c r="C34" s="47"/>
      <c r="D34" s="47"/>
      <c r="E34" s="47"/>
      <c r="F34" s="72">
        <f>+F33+E34</f>
        <v>234129.29999999981</v>
      </c>
      <c r="G34" s="72">
        <f t="shared" ref="G34:J34" si="9">+G33+F34</f>
        <v>646613.09999999963</v>
      </c>
      <c r="H34" s="72">
        <f t="shared" si="9"/>
        <v>1073533.7999999993</v>
      </c>
      <c r="I34" s="72">
        <f t="shared" si="9"/>
        <v>1515396.7999999993</v>
      </c>
      <c r="J34" s="72">
        <f t="shared" si="9"/>
        <v>1972724.9999999991</v>
      </c>
      <c r="K34" s="42"/>
      <c r="L34" s="237"/>
      <c r="M34" s="237"/>
      <c r="N34" s="237"/>
      <c r="O34" s="237"/>
      <c r="P34" s="237"/>
      <c r="Q34" s="237"/>
      <c r="R34" s="237"/>
    </row>
    <row r="35" spans="1:18" x14ac:dyDescent="0.2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37"/>
      <c r="M35" s="237"/>
      <c r="N35" s="237"/>
      <c r="O35" s="237"/>
      <c r="P35" s="237"/>
      <c r="Q35" s="237"/>
      <c r="R35" s="237"/>
    </row>
    <row r="36" spans="1:18" ht="15.75" x14ac:dyDescent="0.25">
      <c r="A36" s="46"/>
      <c r="B36" s="163" t="s">
        <v>38</v>
      </c>
      <c r="C36" s="47"/>
      <c r="D36" s="47"/>
      <c r="E36" s="47"/>
      <c r="F36" s="232" t="s">
        <v>39</v>
      </c>
      <c r="G36" s="47"/>
      <c r="H36" s="47"/>
      <c r="I36" s="47"/>
      <c r="J36" s="47"/>
      <c r="K36" s="42"/>
      <c r="L36" s="237"/>
      <c r="M36" s="237"/>
      <c r="N36" s="237"/>
      <c r="O36" s="237"/>
      <c r="P36" s="237"/>
      <c r="Q36" s="237"/>
      <c r="R36" s="237"/>
    </row>
    <row r="37" spans="1:18" x14ac:dyDescent="0.2">
      <c r="A37" s="46"/>
      <c r="B37" s="47"/>
      <c r="C37" s="68"/>
      <c r="D37" s="68"/>
      <c r="E37" s="68"/>
      <c r="F37" s="193" t="s">
        <v>40</v>
      </c>
      <c r="G37" s="194">
        <v>2</v>
      </c>
      <c r="H37" s="194">
        <v>3</v>
      </c>
      <c r="I37" s="194">
        <v>4</v>
      </c>
      <c r="J37" s="194">
        <v>5</v>
      </c>
      <c r="K37" s="42"/>
      <c r="L37" s="237"/>
      <c r="M37" s="237"/>
      <c r="N37" s="237"/>
      <c r="O37" s="237"/>
      <c r="P37" s="237"/>
      <c r="Q37" s="237"/>
      <c r="R37" s="237"/>
    </row>
    <row r="38" spans="1:18" x14ac:dyDescent="0.2">
      <c r="A38" s="46"/>
      <c r="B38" s="175" t="s">
        <v>41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37"/>
      <c r="M38" s="237"/>
      <c r="N38" s="237"/>
      <c r="O38" s="237"/>
      <c r="P38" s="237"/>
      <c r="Q38" s="237"/>
      <c r="R38" s="237"/>
    </row>
    <row r="39" spans="1:18" x14ac:dyDescent="0.2">
      <c r="A39" s="46"/>
      <c r="B39" s="71" t="s">
        <v>42</v>
      </c>
      <c r="C39" s="167">
        <v>11000</v>
      </c>
      <c r="D39" s="167">
        <v>10000</v>
      </c>
      <c r="E39" s="167">
        <f>+D39</f>
        <v>10000</v>
      </c>
      <c r="F39" s="167">
        <f t="shared" ref="F39:J39" si="14">+E39</f>
        <v>10000</v>
      </c>
      <c r="G39" s="167">
        <f t="shared" si="14"/>
        <v>10000</v>
      </c>
      <c r="H39" s="167">
        <f t="shared" si="14"/>
        <v>10000</v>
      </c>
      <c r="I39" s="167">
        <f t="shared" si="14"/>
        <v>10000</v>
      </c>
      <c r="J39" s="167">
        <f t="shared" si="14"/>
        <v>10000</v>
      </c>
      <c r="K39" s="42"/>
      <c r="L39" s="237"/>
      <c r="M39" s="237"/>
      <c r="N39" s="237"/>
      <c r="O39" s="237"/>
      <c r="P39" s="237"/>
      <c r="Q39" s="237"/>
      <c r="R39" s="237"/>
    </row>
    <row r="40" spans="1:18" x14ac:dyDescent="0.2">
      <c r="A40" s="46"/>
      <c r="B40" s="63" t="s">
        <v>43</v>
      </c>
      <c r="C40" s="168"/>
      <c r="D40" s="168"/>
      <c r="E40" s="168"/>
      <c r="F40" s="168">
        <v>20000</v>
      </c>
      <c r="G40" s="168">
        <f>+F40</f>
        <v>20000</v>
      </c>
      <c r="H40" s="168">
        <f>+G40</f>
        <v>20000</v>
      </c>
      <c r="I40" s="168">
        <f>+H40</f>
        <v>20000</v>
      </c>
      <c r="J40" s="168">
        <f>+I40</f>
        <v>20000</v>
      </c>
      <c r="K40" s="42"/>
      <c r="L40" s="237"/>
      <c r="M40" s="237"/>
      <c r="N40" s="237"/>
      <c r="O40" s="237"/>
      <c r="P40" s="237"/>
      <c r="Q40" s="237"/>
      <c r="R40" s="237"/>
    </row>
    <row r="41" spans="1:18" x14ac:dyDescent="0.2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37"/>
      <c r="M41" s="237"/>
      <c r="N41" s="237"/>
      <c r="O41" s="237"/>
      <c r="P41" s="237"/>
      <c r="Q41" s="237"/>
      <c r="R41" s="237"/>
    </row>
    <row r="42" spans="1:18" x14ac:dyDescent="0.2">
      <c r="A42" s="46"/>
      <c r="B42" s="47" t="s">
        <v>44</v>
      </c>
      <c r="C42" s="72"/>
      <c r="D42" s="72"/>
      <c r="E42" s="72"/>
      <c r="F42" s="47">
        <f>+F40-F39</f>
        <v>10000</v>
      </c>
      <c r="G42" s="47">
        <f t="shared" ref="G42:J42" si="15">+G40-G39</f>
        <v>10000</v>
      </c>
      <c r="H42" s="47">
        <f t="shared" si="15"/>
        <v>10000</v>
      </c>
      <c r="I42" s="47">
        <f t="shared" si="15"/>
        <v>10000</v>
      </c>
      <c r="J42" s="47">
        <f t="shared" si="15"/>
        <v>10000</v>
      </c>
      <c r="K42" s="42"/>
      <c r="L42" s="237"/>
      <c r="M42" s="237"/>
      <c r="N42" s="237"/>
      <c r="O42" s="237"/>
      <c r="P42" s="237"/>
      <c r="Q42" s="237"/>
      <c r="R42" s="237"/>
    </row>
    <row r="43" spans="1:18" x14ac:dyDescent="0.2">
      <c r="A43" s="46"/>
      <c r="B43" s="47" t="s">
        <v>45</v>
      </c>
      <c r="C43" s="72"/>
      <c r="D43" s="72"/>
      <c r="E43" s="72"/>
      <c r="F43" s="228">
        <f>+F40/F39</f>
        <v>2</v>
      </c>
      <c r="G43" s="228">
        <f t="shared" ref="G43:J43" si="16">+G40/G39</f>
        <v>2</v>
      </c>
      <c r="H43" s="228">
        <f t="shared" si="16"/>
        <v>2</v>
      </c>
      <c r="I43" s="228">
        <f t="shared" si="16"/>
        <v>2</v>
      </c>
      <c r="J43" s="228">
        <f t="shared" si="16"/>
        <v>2</v>
      </c>
      <c r="K43" s="42"/>
      <c r="L43" s="237"/>
      <c r="M43" s="237"/>
      <c r="N43" s="237"/>
      <c r="O43" s="237"/>
      <c r="P43" s="237"/>
      <c r="Q43" s="237"/>
      <c r="R43" s="237"/>
    </row>
    <row r="44" spans="1:18" ht="12.75" customHeight="1" x14ac:dyDescent="0.25">
      <c r="A44" s="46"/>
      <c r="B44" s="163"/>
      <c r="C44" s="68"/>
      <c r="D44" s="68"/>
      <c r="E44" s="68"/>
      <c r="F44" s="69" t="s">
        <v>46</v>
      </c>
      <c r="G44" s="48">
        <v>2</v>
      </c>
      <c r="H44" s="48">
        <v>3</v>
      </c>
      <c r="I44" s="48">
        <v>4</v>
      </c>
      <c r="J44" s="48">
        <v>5</v>
      </c>
      <c r="K44" s="42"/>
      <c r="L44" s="237"/>
      <c r="M44" s="237"/>
      <c r="N44" s="237"/>
      <c r="O44" s="237"/>
      <c r="P44" s="237"/>
      <c r="Q44" s="237"/>
      <c r="R44" s="237"/>
    </row>
    <row r="45" spans="1:18" x14ac:dyDescent="0.2">
      <c r="A45" s="46"/>
      <c r="B45" s="175" t="s">
        <v>47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37"/>
      <c r="M45" s="237"/>
      <c r="N45" s="237"/>
      <c r="O45" s="237"/>
      <c r="P45" s="237"/>
      <c r="Q45" s="237"/>
      <c r="R45" s="237"/>
    </row>
    <row r="46" spans="1:18" x14ac:dyDescent="0.2">
      <c r="A46" s="46"/>
      <c r="B46" s="164" t="str">
        <f>+B39</f>
        <v>Current facility leased</v>
      </c>
      <c r="C46" s="169">
        <v>123827</v>
      </c>
      <c r="D46" s="169">
        <v>200000</v>
      </c>
      <c r="E46" s="169">
        <f>+D46*1.03</f>
        <v>206000</v>
      </c>
      <c r="F46" s="169">
        <f>+E46*1.03</f>
        <v>212180</v>
      </c>
      <c r="G46" s="169">
        <f t="shared" ref="G46:J46" si="18">+F46*1.03</f>
        <v>218545.4</v>
      </c>
      <c r="H46" s="169">
        <f t="shared" si="18"/>
        <v>225101.76199999999</v>
      </c>
      <c r="I46" s="169">
        <f t="shared" si="18"/>
        <v>231854.81485999998</v>
      </c>
      <c r="J46" s="169">
        <f t="shared" si="18"/>
        <v>238810.4593058</v>
      </c>
      <c r="K46" s="42"/>
      <c r="L46" s="237"/>
      <c r="M46" s="237"/>
      <c r="N46" s="237"/>
      <c r="O46" s="237"/>
      <c r="P46" s="237"/>
      <c r="Q46" s="237"/>
      <c r="R46" s="237"/>
    </row>
    <row r="47" spans="1:18" x14ac:dyDescent="0.2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200000</v>
      </c>
      <c r="G47" s="171">
        <f>+F47</f>
        <v>200000</v>
      </c>
      <c r="H47" s="171">
        <f t="shared" ref="H47:J47" si="19">+G47</f>
        <v>200000</v>
      </c>
      <c r="I47" s="171">
        <f t="shared" si="19"/>
        <v>200000</v>
      </c>
      <c r="J47" s="171">
        <f t="shared" si="19"/>
        <v>200000</v>
      </c>
      <c r="K47" s="42"/>
      <c r="L47" s="237"/>
      <c r="M47" s="237"/>
      <c r="N47" s="237"/>
      <c r="O47" s="237"/>
      <c r="P47" s="237"/>
      <c r="Q47" s="237"/>
      <c r="R47" s="237"/>
    </row>
    <row r="48" spans="1:18" x14ac:dyDescent="0.2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37"/>
      <c r="M48" s="237"/>
      <c r="N48" s="237"/>
      <c r="O48" s="237"/>
      <c r="P48" s="237"/>
      <c r="Q48" s="237"/>
      <c r="R48" s="237"/>
    </row>
    <row r="49" spans="1:20" x14ac:dyDescent="0.2">
      <c r="A49" s="46"/>
      <c r="B49" s="67" t="s">
        <v>48</v>
      </c>
      <c r="C49" s="159">
        <f>IF(C47&gt;0,C46-C47,0)</f>
        <v>0</v>
      </c>
      <c r="D49" s="159">
        <f t="shared" ref="D49:J49" si="20">IF(D47&gt;0,D46-D47,0)</f>
        <v>0</v>
      </c>
      <c r="E49" s="159">
        <f t="shared" si="20"/>
        <v>0</v>
      </c>
      <c r="F49" s="159">
        <f>IF(F47&gt;0,F46-F47,0)</f>
        <v>12180</v>
      </c>
      <c r="G49" s="159">
        <f t="shared" si="20"/>
        <v>18545.399999999994</v>
      </c>
      <c r="H49" s="159">
        <f t="shared" si="20"/>
        <v>25101.761999999988</v>
      </c>
      <c r="I49" s="159">
        <f t="shared" si="20"/>
        <v>31854.814859999984</v>
      </c>
      <c r="J49" s="159">
        <f t="shared" si="20"/>
        <v>38810.459305800003</v>
      </c>
      <c r="K49" s="42"/>
      <c r="L49" s="237"/>
      <c r="M49" s="237"/>
      <c r="N49" s="237"/>
      <c r="O49" s="237"/>
      <c r="P49" s="237"/>
      <c r="Q49" s="237"/>
      <c r="R49" s="237"/>
    </row>
    <row r="50" spans="1:20" x14ac:dyDescent="0.2">
      <c r="A50" s="46"/>
      <c r="B50" s="67" t="s">
        <v>49</v>
      </c>
      <c r="C50" s="159"/>
      <c r="D50" s="159"/>
      <c r="E50" s="159"/>
      <c r="F50" s="159">
        <f>+E50+F49</f>
        <v>12180</v>
      </c>
      <c r="G50" s="159">
        <f t="shared" ref="G50:J50" si="21">+F50+G49</f>
        <v>30725.399999999994</v>
      </c>
      <c r="H50" s="159">
        <f t="shared" si="21"/>
        <v>55827.161999999982</v>
      </c>
      <c r="I50" s="159">
        <f t="shared" si="21"/>
        <v>87681.976859999966</v>
      </c>
      <c r="J50" s="159">
        <f t="shared" si="21"/>
        <v>126492.43616579997</v>
      </c>
      <c r="K50" s="42"/>
      <c r="L50" s="237"/>
      <c r="M50" s="237"/>
      <c r="N50" s="237"/>
      <c r="O50" s="237"/>
      <c r="P50" s="237"/>
      <c r="Q50" s="237"/>
      <c r="R50" s="237"/>
    </row>
    <row r="51" spans="1:20" x14ac:dyDescent="0.2">
      <c r="A51" s="46"/>
      <c r="B51" s="229" t="s">
        <v>50</v>
      </c>
      <c r="C51" s="72"/>
      <c r="D51" s="72"/>
      <c r="E51" s="72"/>
      <c r="F51" s="72"/>
      <c r="G51" s="72"/>
      <c r="H51" s="72"/>
      <c r="I51" s="72"/>
      <c r="J51" s="72"/>
      <c r="K51" s="42"/>
      <c r="L51" s="237"/>
      <c r="M51" s="237"/>
      <c r="N51" s="237"/>
      <c r="O51" s="237"/>
      <c r="P51" s="237"/>
      <c r="Q51" s="237"/>
      <c r="R51" s="237"/>
    </row>
    <row r="52" spans="1:20" ht="15.75" x14ac:dyDescent="0.25">
      <c r="A52" s="46"/>
      <c r="B52" s="163"/>
      <c r="C52" s="68"/>
      <c r="D52" s="68"/>
      <c r="E52" s="68"/>
      <c r="F52" s="69" t="s">
        <v>46</v>
      </c>
      <c r="G52" s="48">
        <v>2</v>
      </c>
      <c r="H52" s="48">
        <v>3</v>
      </c>
      <c r="I52" s="48">
        <v>4</v>
      </c>
      <c r="J52" s="48">
        <v>5</v>
      </c>
      <c r="K52" s="42"/>
      <c r="L52" s="237"/>
      <c r="M52" s="237"/>
      <c r="N52" s="237"/>
      <c r="O52" s="237"/>
      <c r="P52" s="237"/>
      <c r="Q52" s="237"/>
      <c r="R52" s="237"/>
    </row>
    <row r="53" spans="1:20" x14ac:dyDescent="0.2">
      <c r="A53" s="46"/>
      <c r="B53" s="175" t="s">
        <v>51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2">1+F53</f>
        <v>2027</v>
      </c>
      <c r="H53" s="50">
        <f t="shared" ref="H53" si="23">1+G53</f>
        <v>2028</v>
      </c>
      <c r="I53" s="50">
        <f t="shared" ref="I53" si="24">1+H53</f>
        <v>2029</v>
      </c>
      <c r="J53" s="50">
        <f t="shared" ref="J53" si="25">1+I53</f>
        <v>2030</v>
      </c>
      <c r="K53" s="42"/>
      <c r="L53" s="237"/>
      <c r="M53" s="237"/>
      <c r="N53" s="237"/>
      <c r="O53" s="237"/>
      <c r="P53" s="237"/>
      <c r="Q53" s="237"/>
      <c r="R53" s="237"/>
    </row>
    <row r="54" spans="1:20" x14ac:dyDescent="0.2">
      <c r="A54" s="46"/>
      <c r="B54" s="164" t="str">
        <f>+B46</f>
        <v>Current facility leased</v>
      </c>
      <c r="C54" s="169">
        <f>24+35269+1375+3163+5920</f>
        <v>45751</v>
      </c>
      <c r="D54" s="169">
        <v>16257.599999999999</v>
      </c>
      <c r="E54" s="169">
        <v>20749.8</v>
      </c>
      <c r="F54" s="169">
        <v>21408.6</v>
      </c>
      <c r="G54" s="169">
        <v>21706.2</v>
      </c>
      <c r="H54" s="169">
        <v>22140.6</v>
      </c>
      <c r="I54" s="169">
        <v>22804.799999999999</v>
      </c>
      <c r="J54" s="169">
        <v>23488.799999999999</v>
      </c>
      <c r="K54" s="42"/>
      <c r="L54" s="237"/>
      <c r="M54" s="237"/>
      <c r="N54" s="237"/>
      <c r="O54" s="237"/>
      <c r="P54" s="237"/>
      <c r="Q54" s="237"/>
      <c r="R54" s="237"/>
      <c r="S54" s="233"/>
      <c r="T54" s="233"/>
    </row>
    <row r="55" spans="1:20" x14ac:dyDescent="0.2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>
        <v>13200</v>
      </c>
      <c r="G55" s="171">
        <f>+F55*1.03</f>
        <v>13596</v>
      </c>
      <c r="H55" s="171">
        <f>+G55*1.03</f>
        <v>14003.880000000001</v>
      </c>
      <c r="I55" s="171">
        <f t="shared" ref="I55:J55" si="26">+H55*1.03</f>
        <v>14423.996400000002</v>
      </c>
      <c r="J55" s="171">
        <f t="shared" si="26"/>
        <v>14856.716292000003</v>
      </c>
      <c r="K55" s="42"/>
      <c r="L55" s="237"/>
      <c r="M55" s="237"/>
      <c r="N55" s="237"/>
      <c r="O55" s="237"/>
      <c r="P55" s="237"/>
      <c r="Q55" s="237"/>
      <c r="R55" s="237"/>
      <c r="S55" s="233"/>
      <c r="T55" s="233"/>
    </row>
    <row r="56" spans="1:20" x14ac:dyDescent="0.2">
      <c r="A56" s="46"/>
      <c r="B56" s="166" t="s">
        <v>52</v>
      </c>
      <c r="C56" s="172">
        <v>0</v>
      </c>
      <c r="D56" s="172">
        <v>0</v>
      </c>
      <c r="E56" s="172">
        <v>0</v>
      </c>
      <c r="F56" s="172">
        <v>360</v>
      </c>
      <c r="G56" s="172">
        <v>370.8</v>
      </c>
      <c r="H56" s="172">
        <v>381.92399999999998</v>
      </c>
      <c r="I56" s="172">
        <v>393.38172000000003</v>
      </c>
      <c r="J56" s="172">
        <v>405.18317159999998</v>
      </c>
      <c r="K56" s="42"/>
      <c r="L56" s="237"/>
      <c r="M56" s="237"/>
      <c r="N56" s="237"/>
      <c r="O56" s="237"/>
      <c r="P56" s="237"/>
      <c r="Q56" s="237"/>
      <c r="R56" s="237"/>
      <c r="S56" s="233"/>
      <c r="T56" s="233"/>
    </row>
    <row r="57" spans="1:20" x14ac:dyDescent="0.2">
      <c r="A57" s="46"/>
      <c r="B57" s="67" t="s">
        <v>53</v>
      </c>
      <c r="C57" s="159">
        <f>IF(C55&gt;0,C54-(C55+C56),0)</f>
        <v>0</v>
      </c>
      <c r="D57" s="159">
        <f t="shared" ref="D57:J57" si="27">IF(D55&gt;0,D54-(D55+D56),0)</f>
        <v>0</v>
      </c>
      <c r="E57" s="159">
        <f t="shared" si="27"/>
        <v>0</v>
      </c>
      <c r="F57" s="159">
        <f>IF(F55&gt;0,F54-(F55+F56),0)</f>
        <v>7848.5999999999985</v>
      </c>
      <c r="G57" s="159">
        <f t="shared" si="27"/>
        <v>7739.4000000000015</v>
      </c>
      <c r="H57" s="159">
        <f t="shared" si="27"/>
        <v>7754.7959999999985</v>
      </c>
      <c r="I57" s="159">
        <f t="shared" si="27"/>
        <v>7987.4218799999981</v>
      </c>
      <c r="J57" s="159">
        <f t="shared" si="27"/>
        <v>8226.9005363999968</v>
      </c>
      <c r="K57" s="42"/>
      <c r="L57" s="237"/>
      <c r="M57" s="237"/>
      <c r="N57" s="237"/>
      <c r="O57" s="237"/>
      <c r="P57" s="237"/>
      <c r="Q57" s="237"/>
      <c r="R57" s="237"/>
    </row>
    <row r="58" spans="1:20" x14ac:dyDescent="0.2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37"/>
      <c r="M58" s="237"/>
      <c r="N58" s="237"/>
      <c r="O58" s="237"/>
      <c r="P58" s="237"/>
      <c r="Q58" s="237"/>
      <c r="R58" s="237"/>
    </row>
    <row r="59" spans="1:20" x14ac:dyDescent="0.2">
      <c r="A59" s="46"/>
      <c r="B59" s="173" t="s">
        <v>54</v>
      </c>
      <c r="C59" s="174">
        <f t="shared" ref="C59:E59" si="28">+C49+C57</f>
        <v>0</v>
      </c>
      <c r="D59" s="174">
        <f t="shared" si="28"/>
        <v>0</v>
      </c>
      <c r="E59" s="174">
        <f t="shared" si="28"/>
        <v>0</v>
      </c>
      <c r="F59" s="174">
        <f>+F49+F57</f>
        <v>20028.599999999999</v>
      </c>
      <c r="G59" s="174">
        <f>+G49+G57</f>
        <v>26284.799999999996</v>
      </c>
      <c r="H59" s="174">
        <f t="shared" ref="H59:J59" si="29">+H49+H57</f>
        <v>32856.55799999999</v>
      </c>
      <c r="I59" s="174">
        <f t="shared" si="29"/>
        <v>39842.236739999978</v>
      </c>
      <c r="J59" s="174">
        <f t="shared" si="29"/>
        <v>47037.3598422</v>
      </c>
      <c r="K59" s="42"/>
      <c r="L59" s="237"/>
      <c r="M59" s="237"/>
      <c r="N59" s="237"/>
      <c r="O59" s="237"/>
      <c r="P59" s="237"/>
      <c r="Q59" s="237"/>
      <c r="R59" s="237"/>
    </row>
    <row r="60" spans="1:20" ht="13.5" thickBot="1" x14ac:dyDescent="0.25">
      <c r="A60" s="46"/>
      <c r="B60" s="187" t="s">
        <v>49</v>
      </c>
      <c r="C60" s="188"/>
      <c r="D60" s="188"/>
      <c r="E60" s="188"/>
      <c r="F60" s="188">
        <f>+E60+F59</f>
        <v>20028.599999999999</v>
      </c>
      <c r="G60" s="188">
        <f t="shared" ref="G60" si="30">+F60+G59</f>
        <v>46313.399999999994</v>
      </c>
      <c r="H60" s="188">
        <f t="shared" ref="H60" si="31">+G60+H59</f>
        <v>79169.957999999984</v>
      </c>
      <c r="I60" s="188">
        <f t="shared" ref="I60" si="32">+H60+I59</f>
        <v>119012.19473999996</v>
      </c>
      <c r="J60" s="188">
        <f t="shared" ref="J60" si="33">+I60+J59</f>
        <v>166049.55458219995</v>
      </c>
      <c r="K60" s="42"/>
      <c r="L60" s="237"/>
      <c r="M60" s="237"/>
      <c r="N60" s="237"/>
      <c r="O60" s="237"/>
      <c r="P60" s="237"/>
      <c r="Q60" s="237"/>
      <c r="R60" s="237"/>
    </row>
    <row r="61" spans="1:20" ht="13.5" thickTop="1" x14ac:dyDescent="0.2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37"/>
      <c r="M61" s="237"/>
      <c r="N61" s="237"/>
      <c r="O61" s="237"/>
      <c r="P61" s="237"/>
      <c r="Q61" s="237"/>
      <c r="R61" s="237"/>
    </row>
    <row r="62" spans="1:20" ht="15.75" x14ac:dyDescent="0.25">
      <c r="A62" s="46"/>
      <c r="B62" s="163"/>
      <c r="C62" s="68"/>
      <c r="D62" s="68"/>
      <c r="E62" s="68"/>
      <c r="F62" s="69" t="s">
        <v>46</v>
      </c>
      <c r="G62" s="48">
        <v>2</v>
      </c>
      <c r="H62" s="48">
        <v>3</v>
      </c>
      <c r="I62" s="48">
        <v>4</v>
      </c>
      <c r="J62" s="48">
        <v>5</v>
      </c>
      <c r="K62" s="42"/>
      <c r="L62" s="237"/>
      <c r="M62" s="237"/>
      <c r="N62" s="237"/>
      <c r="O62" s="237"/>
      <c r="P62" s="237"/>
      <c r="Q62" s="237"/>
      <c r="R62" s="237"/>
    </row>
    <row r="63" spans="1:20" x14ac:dyDescent="0.2">
      <c r="A63" s="46"/>
      <c r="B63" s="175" t="s">
        <v>55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4">1+F63</f>
        <v>2027</v>
      </c>
      <c r="H63" s="50">
        <f t="shared" ref="H63" si="35">1+G63</f>
        <v>2028</v>
      </c>
      <c r="I63" s="50">
        <f t="shared" ref="I63" si="36">1+H63</f>
        <v>2029</v>
      </c>
      <c r="J63" s="50">
        <f t="shared" ref="J63" si="37">1+I63</f>
        <v>2030</v>
      </c>
      <c r="K63" s="42"/>
      <c r="L63" s="237"/>
      <c r="M63" s="237"/>
      <c r="N63" s="237"/>
      <c r="O63" s="237"/>
      <c r="P63" s="237"/>
      <c r="Q63" s="237"/>
      <c r="R63" s="237"/>
    </row>
    <row r="64" spans="1:20" x14ac:dyDescent="0.2">
      <c r="A64" s="46"/>
      <c r="B64" s="164" t="s">
        <v>56</v>
      </c>
      <c r="C64" s="169"/>
      <c r="D64" s="169"/>
      <c r="E64" s="169"/>
      <c r="F64" s="169"/>
      <c r="G64" s="169"/>
      <c r="H64" s="169"/>
      <c r="I64" s="169"/>
      <c r="J64" s="169"/>
      <c r="K64" s="42"/>
      <c r="L64" s="237"/>
      <c r="M64" s="237"/>
      <c r="N64" s="237"/>
      <c r="O64" s="237"/>
      <c r="P64" s="237"/>
      <c r="Q64" s="237"/>
      <c r="R64" s="237"/>
    </row>
    <row r="65" spans="1:18" x14ac:dyDescent="0.2">
      <c r="A65" s="46"/>
      <c r="B65" s="165" t="s">
        <v>57</v>
      </c>
      <c r="C65" s="170"/>
      <c r="D65" s="170"/>
      <c r="E65" s="170"/>
      <c r="F65" s="171"/>
      <c r="G65" s="171"/>
      <c r="H65" s="171"/>
      <c r="I65" s="171"/>
      <c r="J65" s="171"/>
      <c r="K65" s="42"/>
      <c r="L65" s="237"/>
      <c r="M65" s="237"/>
      <c r="N65" s="237"/>
      <c r="O65" s="237"/>
      <c r="P65" s="237"/>
      <c r="Q65" s="237"/>
      <c r="R65" s="237"/>
    </row>
    <row r="66" spans="1:18" x14ac:dyDescent="0.2">
      <c r="A66" s="46"/>
      <c r="B66" s="165" t="s">
        <v>58</v>
      </c>
      <c r="C66" s="226"/>
      <c r="D66" s="226"/>
      <c r="E66" s="226"/>
      <c r="F66" s="227"/>
      <c r="G66" s="227"/>
      <c r="H66" s="227"/>
      <c r="I66" s="227"/>
      <c r="J66" s="227"/>
      <c r="K66" s="42"/>
      <c r="L66" s="237"/>
      <c r="M66" s="237"/>
      <c r="N66" s="237"/>
      <c r="O66" s="237"/>
      <c r="P66" s="237"/>
      <c r="Q66" s="237"/>
      <c r="R66" s="237"/>
    </row>
    <row r="67" spans="1:18" x14ac:dyDescent="0.2">
      <c r="A67" s="46"/>
      <c r="B67" s="166" t="s">
        <v>59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37"/>
      <c r="M67" s="237"/>
      <c r="N67" s="237"/>
      <c r="O67" s="237"/>
      <c r="P67" s="237"/>
      <c r="Q67" s="237"/>
      <c r="R67" s="237"/>
    </row>
    <row r="68" spans="1:18" x14ac:dyDescent="0.2">
      <c r="A68" s="46"/>
      <c r="B68" s="67" t="s">
        <v>60</v>
      </c>
      <c r="C68" s="159">
        <f>+C64-C65-C66-C67</f>
        <v>0</v>
      </c>
      <c r="D68" s="159">
        <f t="shared" ref="D68:J68" si="38">+D64-D65-D66-D67</f>
        <v>0</v>
      </c>
      <c r="E68" s="159">
        <f t="shared" si="38"/>
        <v>0</v>
      </c>
      <c r="F68" s="159">
        <f t="shared" si="38"/>
        <v>0</v>
      </c>
      <c r="G68" s="159">
        <f t="shared" si="38"/>
        <v>0</v>
      </c>
      <c r="H68" s="159">
        <f t="shared" si="38"/>
        <v>0</v>
      </c>
      <c r="I68" s="159">
        <f t="shared" si="38"/>
        <v>0</v>
      </c>
      <c r="J68" s="159">
        <f t="shared" si="38"/>
        <v>0</v>
      </c>
      <c r="K68" s="42"/>
      <c r="L68" s="237"/>
      <c r="M68" s="237"/>
      <c r="N68" s="237"/>
      <c r="O68" s="237"/>
      <c r="P68" s="237"/>
      <c r="Q68" s="237"/>
      <c r="R68" s="237"/>
    </row>
    <row r="69" spans="1:18" x14ac:dyDescent="0.2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37"/>
      <c r="M69" s="237"/>
      <c r="N69" s="237"/>
      <c r="O69" s="237"/>
      <c r="P69" s="237"/>
      <c r="Q69" s="237"/>
      <c r="R69" s="237"/>
    </row>
    <row r="70" spans="1:18" x14ac:dyDescent="0.2">
      <c r="A70" s="46"/>
      <c r="B70" s="47"/>
      <c r="C70" s="68"/>
      <c r="D70" s="68"/>
      <c r="E70" s="68"/>
      <c r="F70" s="193" t="s">
        <v>40</v>
      </c>
      <c r="G70" s="194">
        <v>2</v>
      </c>
      <c r="H70" s="194">
        <v>3</v>
      </c>
      <c r="I70" s="194">
        <v>4</v>
      </c>
      <c r="J70" s="194">
        <v>5</v>
      </c>
      <c r="K70" s="42"/>
      <c r="L70" s="237"/>
      <c r="M70" s="237"/>
      <c r="N70" s="237"/>
      <c r="O70" s="237"/>
      <c r="P70" s="237"/>
      <c r="Q70" s="237"/>
      <c r="R70" s="237"/>
    </row>
    <row r="71" spans="1:18" x14ac:dyDescent="0.2">
      <c r="A71" s="46"/>
      <c r="B71" s="49" t="s">
        <v>61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9">1+F71</f>
        <v>2027</v>
      </c>
      <c r="H71" s="50">
        <f t="shared" ref="H71" si="40">1+G71</f>
        <v>2028</v>
      </c>
      <c r="I71" s="50">
        <f t="shared" ref="I71" si="41">1+H71</f>
        <v>2029</v>
      </c>
      <c r="J71" s="50">
        <f t="shared" ref="J71" si="42">1+I71</f>
        <v>2030</v>
      </c>
      <c r="K71" s="42"/>
      <c r="L71" s="237"/>
      <c r="M71" s="237"/>
      <c r="N71" s="237"/>
      <c r="O71" s="237"/>
      <c r="P71" s="237"/>
      <c r="Q71" s="237"/>
      <c r="R71" s="237"/>
    </row>
    <row r="72" spans="1:18" x14ac:dyDescent="0.2">
      <c r="A72" s="46"/>
      <c r="B72" s="230" t="s">
        <v>62</v>
      </c>
      <c r="C72" s="231">
        <f t="shared" ref="C72:J72" si="43">IFERROR(C46/C$39/12,0)</f>
        <v>0.93808333333333327</v>
      </c>
      <c r="D72" s="231">
        <f t="shared" si="43"/>
        <v>1.6666666666666667</v>
      </c>
      <c r="E72" s="231">
        <f t="shared" si="43"/>
        <v>1.7166666666666668</v>
      </c>
      <c r="F72" s="231">
        <f>IFERROR(F46/F$39/12,0)</f>
        <v>1.7681666666666667</v>
      </c>
      <c r="G72" s="231">
        <f t="shared" si="43"/>
        <v>1.8212116666666667</v>
      </c>
      <c r="H72" s="231">
        <f t="shared" si="43"/>
        <v>1.8758480166666667</v>
      </c>
      <c r="I72" s="231">
        <f t="shared" si="43"/>
        <v>1.9321234571666663</v>
      </c>
      <c r="J72" s="231">
        <f t="shared" si="43"/>
        <v>1.9900871608816668</v>
      </c>
      <c r="K72" s="42"/>
      <c r="L72" s="237"/>
      <c r="M72" s="237"/>
      <c r="N72" s="237"/>
      <c r="O72" s="237"/>
      <c r="P72" s="237"/>
      <c r="Q72" s="237"/>
      <c r="R72" s="237"/>
    </row>
    <row r="73" spans="1:18" x14ac:dyDescent="0.2">
      <c r="A73" s="46"/>
      <c r="B73" s="230" t="s">
        <v>63</v>
      </c>
      <c r="C73" s="231">
        <f t="shared" ref="C73:E73" si="44">IFERROR(C47/C40/12,0)</f>
        <v>0</v>
      </c>
      <c r="D73" s="231">
        <f t="shared" si="44"/>
        <v>0</v>
      </c>
      <c r="E73" s="231">
        <f t="shared" si="44"/>
        <v>0</v>
      </c>
      <c r="F73" s="231">
        <f>IFERROR(F47/F40/12,0)</f>
        <v>0.83333333333333337</v>
      </c>
      <c r="G73" s="231">
        <f t="shared" ref="G73:J73" si="45">IFERROR(G47/G40/12,0)</f>
        <v>0.83333333333333337</v>
      </c>
      <c r="H73" s="231">
        <f t="shared" si="45"/>
        <v>0.83333333333333337</v>
      </c>
      <c r="I73" s="231">
        <f t="shared" si="45"/>
        <v>0.83333333333333337</v>
      </c>
      <c r="J73" s="231">
        <f t="shared" si="45"/>
        <v>0.83333333333333337</v>
      </c>
      <c r="K73" s="42"/>
      <c r="L73" s="237"/>
      <c r="M73" s="237"/>
      <c r="N73" s="237"/>
      <c r="O73" s="237"/>
      <c r="P73" s="237"/>
      <c r="Q73" s="237"/>
      <c r="R73" s="237"/>
    </row>
    <row r="74" spans="1:18" x14ac:dyDescent="0.2">
      <c r="A74" s="46"/>
      <c r="B74" s="47" t="s">
        <v>64</v>
      </c>
      <c r="C74" s="155">
        <f>+C72*12</f>
        <v>11.257</v>
      </c>
      <c r="D74" s="155">
        <f t="shared" ref="D74:J74" si="46">+D72*12</f>
        <v>20</v>
      </c>
      <c r="E74" s="155">
        <f t="shared" si="46"/>
        <v>20.6</v>
      </c>
      <c r="F74" s="155">
        <f t="shared" si="46"/>
        <v>21.218</v>
      </c>
      <c r="G74" s="155">
        <f t="shared" si="46"/>
        <v>21.85454</v>
      </c>
      <c r="H74" s="155">
        <f t="shared" si="46"/>
        <v>22.5101762</v>
      </c>
      <c r="I74" s="155">
        <f t="shared" si="46"/>
        <v>23.185481485999997</v>
      </c>
      <c r="J74" s="155">
        <f t="shared" si="46"/>
        <v>23.881045930580001</v>
      </c>
      <c r="K74" s="42"/>
      <c r="L74" s="237"/>
      <c r="M74" s="237"/>
      <c r="N74" s="237"/>
      <c r="O74" s="237"/>
      <c r="P74" s="237"/>
      <c r="Q74" s="237"/>
      <c r="R74" s="237"/>
    </row>
    <row r="75" spans="1:18" x14ac:dyDescent="0.2">
      <c r="A75" s="46"/>
      <c r="B75" s="47" t="s">
        <v>65</v>
      </c>
      <c r="C75" s="155">
        <f t="shared" ref="C75:J75" si="47">+C73*12</f>
        <v>0</v>
      </c>
      <c r="D75" s="155">
        <f t="shared" si="47"/>
        <v>0</v>
      </c>
      <c r="E75" s="155">
        <f t="shared" si="47"/>
        <v>0</v>
      </c>
      <c r="F75" s="155">
        <f t="shared" si="47"/>
        <v>10</v>
      </c>
      <c r="G75" s="155">
        <f t="shared" si="47"/>
        <v>10</v>
      </c>
      <c r="H75" s="155">
        <f t="shared" si="47"/>
        <v>10</v>
      </c>
      <c r="I75" s="155">
        <f t="shared" si="47"/>
        <v>10</v>
      </c>
      <c r="J75" s="155">
        <f t="shared" si="47"/>
        <v>10</v>
      </c>
      <c r="K75" s="42"/>
      <c r="L75" s="237"/>
      <c r="M75" s="237"/>
      <c r="N75" s="237"/>
      <c r="O75" s="237"/>
      <c r="P75" s="237"/>
      <c r="Q75" s="237"/>
      <c r="R75" s="237"/>
    </row>
    <row r="76" spans="1:18" x14ac:dyDescent="0.2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37"/>
      <c r="M76" s="237"/>
      <c r="N76" s="237"/>
      <c r="O76" s="237"/>
      <c r="P76" s="237"/>
      <c r="Q76" s="237"/>
      <c r="R76" s="237"/>
    </row>
    <row r="77" spans="1:18" x14ac:dyDescent="0.2">
      <c r="A77" s="46"/>
      <c r="B77" s="56" t="s">
        <v>66</v>
      </c>
      <c r="C77" s="161">
        <f t="shared" ref="C77:J78" si="48">IFERROR(C46/C$23,0)</f>
        <v>0.32040769328299701</v>
      </c>
      <c r="D77" s="161">
        <f t="shared" si="48"/>
        <v>8.125113751592522E-2</v>
      </c>
      <c r="E77" s="161">
        <f t="shared" si="48"/>
        <v>8.984110771469081E-2</v>
      </c>
      <c r="F77" s="161">
        <f t="shared" si="48"/>
        <v>9.0625137477453696E-2</v>
      </c>
      <c r="G77" s="161">
        <f t="shared" si="48"/>
        <v>5.2982783808721699E-2</v>
      </c>
      <c r="H77" s="161">
        <f t="shared" si="48"/>
        <v>5.2726832407048896E-2</v>
      </c>
      <c r="I77" s="161">
        <f t="shared" si="48"/>
        <v>5.2472104444137656E-2</v>
      </c>
      <c r="J77" s="161">
        <f t="shared" si="48"/>
        <v>5.2218616587780944E-2</v>
      </c>
      <c r="K77" s="42"/>
      <c r="L77" s="237"/>
      <c r="M77" s="237"/>
      <c r="N77" s="237"/>
      <c r="O77" s="237"/>
      <c r="P77" s="237"/>
      <c r="Q77" s="237"/>
      <c r="R77" s="237"/>
    </row>
    <row r="78" spans="1:18" x14ac:dyDescent="0.2">
      <c r="A78" s="46"/>
      <c r="B78" s="47" t="s">
        <v>67</v>
      </c>
      <c r="C78" s="162">
        <f t="shared" si="48"/>
        <v>0</v>
      </c>
      <c r="D78" s="162">
        <f t="shared" si="48"/>
        <v>0</v>
      </c>
      <c r="E78" s="162">
        <f t="shared" si="48"/>
        <v>0</v>
      </c>
      <c r="F78" s="162">
        <f t="shared" si="48"/>
        <v>8.5422883850931941E-2</v>
      </c>
      <c r="G78" s="162">
        <f t="shared" si="48"/>
        <v>4.848675269186329E-2</v>
      </c>
      <c r="H78" s="162">
        <f t="shared" si="48"/>
        <v>4.6847107671284152E-2</v>
      </c>
      <c r="I78" s="162">
        <f t="shared" si="48"/>
        <v>4.5262898228636481E-2</v>
      </c>
      <c r="J78" s="162">
        <f t="shared" si="48"/>
        <v>4.3732269298066465E-2</v>
      </c>
      <c r="K78" s="42"/>
      <c r="L78" s="237"/>
      <c r="M78" s="237"/>
      <c r="N78" s="237"/>
      <c r="O78" s="237"/>
      <c r="P78" s="237"/>
      <c r="Q78" s="237"/>
      <c r="R78" s="237"/>
    </row>
    <row r="79" spans="1:18" x14ac:dyDescent="0.2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37"/>
      <c r="M79" s="237"/>
      <c r="N79" s="237"/>
      <c r="O79" s="237"/>
      <c r="P79" s="237"/>
      <c r="Q79" s="237"/>
      <c r="R79" s="237"/>
    </row>
    <row r="80" spans="1:18" x14ac:dyDescent="0.2">
      <c r="A80" s="46"/>
      <c r="B80" s="56" t="s">
        <v>68</v>
      </c>
      <c r="C80" s="160">
        <f>IFERROR(C46/#REF!-1,0)</f>
        <v>0</v>
      </c>
      <c r="D80" s="160">
        <f t="shared" ref="D80:J81" si="49">IFERROR(D46/C46-1,0)</f>
        <v>0.61515662981417618</v>
      </c>
      <c r="E80" s="160">
        <f t="shared" si="49"/>
        <v>3.0000000000000027E-2</v>
      </c>
      <c r="F80" s="160">
        <f t="shared" si="49"/>
        <v>3.0000000000000027E-2</v>
      </c>
      <c r="G80" s="160">
        <f t="shared" si="49"/>
        <v>3.0000000000000027E-2</v>
      </c>
      <c r="H80" s="160">
        <f t="shared" si="49"/>
        <v>3.0000000000000027E-2</v>
      </c>
      <c r="I80" s="160">
        <f t="shared" si="49"/>
        <v>3.0000000000000027E-2</v>
      </c>
      <c r="J80" s="160">
        <f t="shared" si="49"/>
        <v>3.0000000000000027E-2</v>
      </c>
      <c r="K80" s="42"/>
      <c r="L80" s="237"/>
      <c r="M80" s="237"/>
      <c r="N80" s="237"/>
      <c r="O80" s="237"/>
      <c r="P80" s="237"/>
      <c r="Q80" s="237"/>
      <c r="R80" s="237"/>
    </row>
    <row r="81" spans="1:18" x14ac:dyDescent="0.2">
      <c r="A81" s="46"/>
      <c r="B81" s="47" t="s">
        <v>25</v>
      </c>
      <c r="C81" s="73">
        <f>IFERROR(C47/#REF!-1,0)</f>
        <v>0</v>
      </c>
      <c r="D81" s="73">
        <f t="shared" si="49"/>
        <v>0</v>
      </c>
      <c r="E81" s="73">
        <f t="shared" si="49"/>
        <v>0</v>
      </c>
      <c r="F81" s="73">
        <f t="shared" si="49"/>
        <v>0</v>
      </c>
      <c r="G81" s="73">
        <f t="shared" si="49"/>
        <v>0</v>
      </c>
      <c r="H81" s="73">
        <f t="shared" si="49"/>
        <v>0</v>
      </c>
      <c r="I81" s="73">
        <f t="shared" si="49"/>
        <v>0</v>
      </c>
      <c r="J81" s="73">
        <f t="shared" si="49"/>
        <v>0</v>
      </c>
      <c r="K81" s="42"/>
      <c r="L81" s="237"/>
      <c r="M81" s="237"/>
      <c r="N81" s="237"/>
      <c r="O81" s="237"/>
      <c r="P81" s="237"/>
      <c r="Q81" s="237"/>
      <c r="R81" s="237"/>
    </row>
    <row r="82" spans="1:18" x14ac:dyDescent="0.2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37"/>
      <c r="M82" s="237"/>
      <c r="N82" s="237"/>
      <c r="O82" s="237"/>
      <c r="P82" s="237"/>
      <c r="Q82" s="237"/>
      <c r="R82" s="237"/>
    </row>
    <row r="83" spans="1:18" x14ac:dyDescent="0.2">
      <c r="A83" s="46"/>
      <c r="B83" s="47" t="s">
        <v>69</v>
      </c>
      <c r="C83" s="224">
        <f>IF(C15&gt;0,C39/C15,C40/C16)</f>
        <v>55.555555555555557</v>
      </c>
      <c r="D83" s="224" t="e">
        <f t="shared" ref="D83:J83" si="50">IF(D15&gt;0,D39/D15,D40/D16)</f>
        <v>#DIV/0!</v>
      </c>
      <c r="E83" s="224" t="e">
        <f t="shared" si="50"/>
        <v>#DIV/0!</v>
      </c>
      <c r="F83" s="224" t="e">
        <f t="shared" si="50"/>
        <v>#DIV/0!</v>
      </c>
      <c r="G83" s="224" t="e">
        <f t="shared" si="50"/>
        <v>#DIV/0!</v>
      </c>
      <c r="H83" s="224" t="e">
        <f t="shared" si="50"/>
        <v>#DIV/0!</v>
      </c>
      <c r="I83" s="224" t="e">
        <f t="shared" si="50"/>
        <v>#DIV/0!</v>
      </c>
      <c r="J83" s="224" t="e">
        <f t="shared" si="50"/>
        <v>#DIV/0!</v>
      </c>
      <c r="K83" s="42"/>
      <c r="L83" s="237"/>
      <c r="M83" s="237"/>
      <c r="N83" s="237"/>
      <c r="O83" s="237"/>
      <c r="P83" s="237"/>
      <c r="Q83" s="237"/>
      <c r="R83" s="237"/>
    </row>
    <row r="84" spans="1:18" x14ac:dyDescent="0.2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37"/>
      <c r="M84" s="237"/>
      <c r="N84" s="237"/>
      <c r="O84" s="237"/>
      <c r="P84" s="237"/>
      <c r="Q84" s="237"/>
      <c r="R84" s="237"/>
    </row>
    <row r="85" spans="1:18" x14ac:dyDescent="0.2">
      <c r="A85" s="46"/>
      <c r="B85" s="225" t="s">
        <v>70</v>
      </c>
      <c r="C85" s="73"/>
      <c r="D85" s="73"/>
      <c r="E85" s="73"/>
      <c r="F85" s="73"/>
      <c r="G85" s="73"/>
      <c r="H85" s="73"/>
      <c r="I85" s="73"/>
      <c r="J85" s="73"/>
      <c r="K85" s="42"/>
      <c r="L85" s="237"/>
      <c r="M85" s="237"/>
      <c r="N85" s="237"/>
      <c r="O85" s="237"/>
      <c r="P85" s="237"/>
      <c r="Q85" s="237"/>
      <c r="R85" s="237"/>
    </row>
    <row r="86" spans="1:18" x14ac:dyDescent="0.2">
      <c r="A86" s="46"/>
      <c r="B86" s="225" t="s">
        <v>71</v>
      </c>
      <c r="C86" s="73"/>
      <c r="D86" s="73"/>
      <c r="E86" s="73"/>
      <c r="F86" s="73"/>
      <c r="G86" s="73"/>
      <c r="H86" s="73"/>
      <c r="I86" s="73"/>
      <c r="J86" s="73"/>
      <c r="K86" s="42"/>
      <c r="L86" s="237"/>
      <c r="M86" s="237"/>
      <c r="N86" s="237"/>
      <c r="O86" s="237"/>
      <c r="P86" s="237"/>
      <c r="Q86" s="237"/>
      <c r="R86" s="237"/>
    </row>
    <row r="87" spans="1:18" x14ac:dyDescent="0.2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37"/>
      <c r="M87" s="237"/>
      <c r="N87" s="237"/>
      <c r="O87" s="237"/>
      <c r="P87" s="237"/>
      <c r="Q87" s="237"/>
      <c r="R87" s="237"/>
    </row>
    <row r="88" spans="1:18" x14ac:dyDescent="0.2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37"/>
      <c r="M88" s="237"/>
      <c r="N88" s="237"/>
      <c r="O88" s="237"/>
      <c r="P88" s="237"/>
      <c r="Q88" s="237"/>
      <c r="R88" s="237"/>
    </row>
    <row r="89" spans="1:18" x14ac:dyDescent="0.2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37"/>
      <c r="M89" s="237"/>
      <c r="N89" s="237"/>
      <c r="O89" s="237"/>
      <c r="P89" s="237"/>
      <c r="Q89" s="237"/>
      <c r="R89" s="237"/>
    </row>
    <row r="90" spans="1:18" x14ac:dyDescent="0.2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9" t="s">
        <v>19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7" t="s">
        <v>20</v>
      </c>
      <c r="C119" s="72">
        <f t="shared" ref="C119:J119" si="51">SUM(C114:C118)</f>
        <v>0</v>
      </c>
      <c r="D119" s="72">
        <f t="shared" si="51"/>
        <v>0</v>
      </c>
      <c r="E119" s="72">
        <f t="shared" si="51"/>
        <v>0</v>
      </c>
      <c r="F119" s="72">
        <f t="shared" si="51"/>
        <v>300000</v>
      </c>
      <c r="G119" s="72">
        <f t="shared" si="51"/>
        <v>310000</v>
      </c>
      <c r="H119" s="72">
        <f t="shared" si="51"/>
        <v>320000</v>
      </c>
      <c r="I119" s="72">
        <f t="shared" si="51"/>
        <v>330000</v>
      </c>
      <c r="J119" s="72">
        <f t="shared" si="51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7" t="s">
        <v>21</v>
      </c>
      <c r="C120" s="155">
        <f t="shared" ref="C120:J120" si="52">IF(C40&gt;0,C119/C40/12,0)</f>
        <v>0</v>
      </c>
      <c r="D120" s="155">
        <f t="shared" si="52"/>
        <v>0</v>
      </c>
      <c r="E120" s="155">
        <f t="shared" si="52"/>
        <v>0</v>
      </c>
      <c r="F120" s="155">
        <f t="shared" si="52"/>
        <v>1.25</v>
      </c>
      <c r="G120" s="155">
        <f t="shared" si="52"/>
        <v>1.2916666666666667</v>
      </c>
      <c r="H120" s="155">
        <f t="shared" si="52"/>
        <v>1.3333333333333333</v>
      </c>
      <c r="I120" s="155">
        <f t="shared" si="52"/>
        <v>1.375</v>
      </c>
      <c r="J120" s="155">
        <f t="shared" si="52"/>
        <v>1.4166666666666667</v>
      </c>
      <c r="K120" s="42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9" t="s">
        <v>22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81" t="s">
        <v>23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">
      <c r="B124" s="67" t="s">
        <v>24</v>
      </c>
      <c r="C124" s="67"/>
      <c r="D124" s="67"/>
      <c r="E124" s="154">
        <f t="shared" ref="E124:J124" si="53">IFERROR(E119/E23,0)</f>
        <v>0</v>
      </c>
      <c r="F124" s="154">
        <f t="shared" si="53"/>
        <v>0.12813432577639791</v>
      </c>
      <c r="G124" s="154">
        <f t="shared" si="53"/>
        <v>7.5154466672388107E-2</v>
      </c>
      <c r="H124" s="154">
        <f t="shared" si="53"/>
        <v>7.4955372274054646E-2</v>
      </c>
      <c r="I124" s="154">
        <f t="shared" si="53"/>
        <v>7.4683782077250183E-2</v>
      </c>
      <c r="J124" s="154">
        <f t="shared" si="53"/>
        <v>7.4344857806712988E-2</v>
      </c>
      <c r="K124" s="42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7" t="s">
        <v>25</v>
      </c>
      <c r="C125" s="73"/>
      <c r="D125" s="73">
        <f t="shared" ref="D125:J125" si="54">IFERROR(D119/C119-1,0)</f>
        <v>0</v>
      </c>
      <c r="E125" s="73">
        <f t="shared" si="54"/>
        <v>0</v>
      </c>
      <c r="F125" s="73">
        <f t="shared" si="54"/>
        <v>0</v>
      </c>
      <c r="G125" s="73">
        <f t="shared" si="54"/>
        <v>3.3333333333333437E-2</v>
      </c>
      <c r="H125" s="73">
        <f t="shared" si="54"/>
        <v>3.2258064516129004E-2</v>
      </c>
      <c r="I125" s="73">
        <f t="shared" si="54"/>
        <v>3.125E-2</v>
      </c>
      <c r="J125" s="73">
        <f t="shared" si="54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7" t="str">
        <f>+B49</f>
        <v>Savings (Cost increase)/yr</v>
      </c>
      <c r="C127" s="72">
        <f t="shared" ref="C127:J127" si="55">+C49</f>
        <v>0</v>
      </c>
      <c r="D127" s="72">
        <f t="shared" si="55"/>
        <v>0</v>
      </c>
      <c r="E127" s="72">
        <f t="shared" si="55"/>
        <v>0</v>
      </c>
      <c r="F127" s="72">
        <f t="shared" si="55"/>
        <v>12180</v>
      </c>
      <c r="G127" s="72">
        <f t="shared" si="55"/>
        <v>18545.399999999994</v>
      </c>
      <c r="H127" s="72">
        <f t="shared" si="55"/>
        <v>25101.761999999988</v>
      </c>
      <c r="I127" s="72">
        <f t="shared" si="55"/>
        <v>31854.814859999984</v>
      </c>
      <c r="J127" s="72">
        <f t="shared" si="55"/>
        <v>38810.459305800003</v>
      </c>
      <c r="K127" s="42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7" t="str">
        <f>+B119</f>
        <v>Total Acquisition Payments</v>
      </c>
      <c r="C128" s="47">
        <f t="shared" ref="C128:J128" si="56">+C119</f>
        <v>0</v>
      </c>
      <c r="D128" s="47">
        <f t="shared" si="56"/>
        <v>0</v>
      </c>
      <c r="E128" s="47">
        <f t="shared" si="56"/>
        <v>0</v>
      </c>
      <c r="F128" s="47">
        <f t="shared" si="56"/>
        <v>300000</v>
      </c>
      <c r="G128" s="47">
        <f t="shared" si="56"/>
        <v>310000</v>
      </c>
      <c r="H128" s="47">
        <f t="shared" si="56"/>
        <v>320000</v>
      </c>
      <c r="I128" s="47">
        <f t="shared" si="56"/>
        <v>330000</v>
      </c>
      <c r="J128" s="47">
        <f t="shared" si="56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">
      <c r="A129" s="46"/>
      <c r="B129" s="56" t="s">
        <v>26</v>
      </c>
      <c r="C129" s="153">
        <f>IF(C128&gt;0,C127-C128,0)</f>
        <v>0</v>
      </c>
      <c r="D129" s="153">
        <f t="shared" ref="D129:J129" si="57">IF(D128&gt;0,D127-D128,0)</f>
        <v>0</v>
      </c>
      <c r="E129" s="153">
        <f t="shared" si="57"/>
        <v>0</v>
      </c>
      <c r="F129" s="153">
        <f t="shared" si="57"/>
        <v>-287820</v>
      </c>
      <c r="G129" s="153">
        <f t="shared" si="57"/>
        <v>-291454.59999999998</v>
      </c>
      <c r="H129" s="153">
        <f t="shared" si="57"/>
        <v>-294898.23800000001</v>
      </c>
      <c r="I129" s="153">
        <f t="shared" si="57"/>
        <v>-298145.18514000002</v>
      </c>
      <c r="J129" s="153">
        <f t="shared" si="57"/>
        <v>-301189.54069419997</v>
      </c>
      <c r="K129" s="42"/>
      <c r="M129" s="46"/>
      <c r="N129" s="46"/>
      <c r="O129" s="46"/>
      <c r="P129" s="46"/>
      <c r="Q129" s="46"/>
      <c r="R129" s="46"/>
    </row>
    <row r="130" spans="1:18" hidden="1" x14ac:dyDescent="0.2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">
      <c r="A131" s="46"/>
      <c r="B131" s="47" t="s">
        <v>27</v>
      </c>
      <c r="C131" s="47"/>
      <c r="D131" s="47"/>
      <c r="E131" s="72">
        <f t="shared" ref="E131:J131" si="58">+E33-E49</f>
        <v>229293.69999999995</v>
      </c>
      <c r="F131" s="72">
        <f t="shared" si="58"/>
        <v>221949.29999999981</v>
      </c>
      <c r="G131" s="72">
        <f t="shared" si="58"/>
        <v>393938.39999999979</v>
      </c>
      <c r="H131" s="72">
        <f t="shared" si="58"/>
        <v>401818.93799999973</v>
      </c>
      <c r="I131" s="72">
        <f t="shared" si="58"/>
        <v>410008.18514000002</v>
      </c>
      <c r="J131" s="72">
        <f t="shared" si="58"/>
        <v>418517.74069419969</v>
      </c>
      <c r="K131" s="42"/>
      <c r="M131" s="46"/>
      <c r="N131" s="46"/>
      <c r="O131" s="46"/>
      <c r="P131" s="46"/>
      <c r="Q131" s="46"/>
      <c r="R131" s="46"/>
    </row>
    <row r="132" spans="1:18" hidden="1" x14ac:dyDescent="0.2">
      <c r="A132" s="46"/>
      <c r="B132" s="47" t="s">
        <v>28</v>
      </c>
      <c r="C132" s="47"/>
      <c r="D132" s="47"/>
      <c r="E132" s="47">
        <f t="shared" ref="E132:J132" si="59">+E33-E119</f>
        <v>229293.69999999995</v>
      </c>
      <c r="F132" s="47">
        <f t="shared" si="59"/>
        <v>-65870.700000000186</v>
      </c>
      <c r="G132" s="47">
        <f t="shared" si="59"/>
        <v>102483.79999999981</v>
      </c>
      <c r="H132" s="47">
        <f t="shared" si="59"/>
        <v>106920.69999999972</v>
      </c>
      <c r="I132" s="47">
        <f t="shared" si="59"/>
        <v>111863</v>
      </c>
      <c r="J132" s="47">
        <f t="shared" si="59"/>
        <v>117328.19999999972</v>
      </c>
      <c r="K132" s="42"/>
      <c r="M132" s="46"/>
      <c r="N132" s="46"/>
      <c r="O132" s="46"/>
      <c r="P132" s="46"/>
      <c r="Q132" s="46"/>
      <c r="R132" s="46"/>
    </row>
    <row r="133" spans="1:18" hidden="1" x14ac:dyDescent="0.2">
      <c r="A133" s="46"/>
      <c r="B133" s="56" t="s">
        <v>29</v>
      </c>
      <c r="C133" s="56"/>
      <c r="D133" s="56"/>
      <c r="E133" s="82">
        <f>+E132-E131</f>
        <v>0</v>
      </c>
      <c r="F133" s="82">
        <f t="shared" ref="F133:J133" si="60">+F132-F131</f>
        <v>-287820</v>
      </c>
      <c r="G133" s="82">
        <f t="shared" si="60"/>
        <v>-291454.59999999998</v>
      </c>
      <c r="H133" s="82">
        <f t="shared" si="60"/>
        <v>-294898.23800000001</v>
      </c>
      <c r="I133" s="82">
        <f t="shared" si="60"/>
        <v>-298145.18514000002</v>
      </c>
      <c r="J133" s="82">
        <f t="shared" si="60"/>
        <v>-301189.54069419997</v>
      </c>
      <c r="K133" s="42"/>
      <c r="M133" s="46"/>
      <c r="N133" s="46"/>
      <c r="O133" s="46"/>
      <c r="P133" s="46"/>
      <c r="Q133" s="46"/>
      <c r="R133" s="46"/>
    </row>
    <row r="134" spans="1:18" hidden="1" x14ac:dyDescent="0.2">
      <c r="A134" s="46"/>
      <c r="B134" s="67" t="s">
        <v>30</v>
      </c>
      <c r="C134" s="83">
        <f t="shared" ref="C134:J134" si="61">IFERROR(C133/C46,0)</f>
        <v>0</v>
      </c>
      <c r="D134" s="83">
        <f t="shared" si="61"/>
        <v>0</v>
      </c>
      <c r="E134" s="83">
        <f t="shared" si="61"/>
        <v>0</v>
      </c>
      <c r="F134" s="83">
        <f t="shared" si="61"/>
        <v>-1.3564897728343859</v>
      </c>
      <c r="G134" s="83">
        <f t="shared" si="61"/>
        <v>-1.3336112313505568</v>
      </c>
      <c r="H134" s="83">
        <f t="shared" si="61"/>
        <v>-1.3100663245807913</v>
      </c>
      <c r="I134" s="83">
        <f t="shared" si="61"/>
        <v>-1.2859132786180347</v>
      </c>
      <c r="J134" s="83">
        <f t="shared" si="61"/>
        <v>-1.2612074930458665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">
      <c r="A136" s="46"/>
      <c r="B136" s="47" t="s">
        <v>27</v>
      </c>
      <c r="C136" s="47"/>
      <c r="D136" s="47"/>
      <c r="E136" s="84">
        <f t="shared" ref="E136:J136" si="62">+E131</f>
        <v>229293.69999999995</v>
      </c>
      <c r="F136" s="72">
        <f t="shared" si="62"/>
        <v>221949.29999999981</v>
      </c>
      <c r="G136" s="72">
        <f t="shared" si="62"/>
        <v>393938.39999999979</v>
      </c>
      <c r="H136" s="72">
        <f t="shared" si="62"/>
        <v>401818.93799999973</v>
      </c>
      <c r="I136" s="72">
        <f t="shared" si="62"/>
        <v>410008.18514000002</v>
      </c>
      <c r="J136" s="72">
        <f t="shared" si="62"/>
        <v>418517.74069419969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">
      <c r="A137" s="46"/>
      <c r="B137" s="47" t="s">
        <v>31</v>
      </c>
      <c r="C137" s="47"/>
      <c r="D137" s="47"/>
      <c r="E137" s="85" t="e">
        <f t="shared" ref="E137:J137" si="63">+E33-E119-E123</f>
        <v>#REF!</v>
      </c>
      <c r="F137" s="85" t="e">
        <f t="shared" si="63"/>
        <v>#REF!</v>
      </c>
      <c r="G137" s="85" t="e">
        <f t="shared" si="63"/>
        <v>#REF!</v>
      </c>
      <c r="H137" s="85" t="e">
        <f t="shared" si="63"/>
        <v>#REF!</v>
      </c>
      <c r="I137" s="85" t="e">
        <f t="shared" si="63"/>
        <v>#REF!</v>
      </c>
      <c r="J137" s="85" t="e">
        <f t="shared" si="63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">
      <c r="A138" s="46"/>
      <c r="B138" s="56" t="s">
        <v>29</v>
      </c>
      <c r="C138" s="56"/>
      <c r="D138" s="56"/>
      <c r="E138" s="82" t="e">
        <f>+E137-E136</f>
        <v>#REF!</v>
      </c>
      <c r="F138" s="82" t="e">
        <f t="shared" ref="F138:J138" si="64">+F137-F136</f>
        <v>#REF!</v>
      </c>
      <c r="G138" s="82" t="e">
        <f t="shared" si="64"/>
        <v>#REF!</v>
      </c>
      <c r="H138" s="82" t="e">
        <f t="shared" si="64"/>
        <v>#REF!</v>
      </c>
      <c r="I138" s="82" t="e">
        <f t="shared" si="64"/>
        <v>#REF!</v>
      </c>
      <c r="J138" s="82" t="e">
        <f t="shared" si="64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">
      <c r="A140" s="46"/>
      <c r="B140" s="145" t="s">
        <v>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2.75" zeroHeight="1" x14ac:dyDescent="0.2"/>
  <cols>
    <col min="1" max="1" width="2" style="38" customWidth="1"/>
    <col min="2" max="3" width="4.140625" style="38" customWidth="1"/>
    <col min="4" max="4" width="4.42578125" style="38" customWidth="1"/>
    <col min="5" max="5" width="9.140625" style="38" customWidth="1"/>
    <col min="6" max="7" width="10.28515625" style="38" customWidth="1"/>
    <col min="8" max="14" width="9.140625" style="38" customWidth="1"/>
    <col min="15" max="15" width="2.5703125" style="38" customWidth="1"/>
    <col min="16" max="18" width="0" style="38" hidden="1" customWidth="1"/>
    <col min="19" max="16384" width="9.140625" style="38" hidden="1"/>
  </cols>
  <sheetData>
    <row r="1" spans="1:18" ht="15.75" x14ac:dyDescent="0.25">
      <c r="A1" s="37" t="s">
        <v>72</v>
      </c>
      <c r="B1" s="37"/>
      <c r="C1" s="37"/>
      <c r="D1" s="37"/>
      <c r="E1" s="37"/>
      <c r="F1" s="37"/>
      <c r="G1" s="37"/>
    </row>
    <row r="2" spans="1:18" ht="15.75" x14ac:dyDescent="0.25">
      <c r="A2" s="195" t="s">
        <v>73</v>
      </c>
      <c r="B2" s="196"/>
      <c r="C2" s="196"/>
      <c r="D2" s="196"/>
      <c r="E2" s="196"/>
      <c r="F2" s="196"/>
      <c r="G2" s="196"/>
    </row>
    <row r="3" spans="1:18" x14ac:dyDescent="0.2">
      <c r="A3" s="43" t="s">
        <v>0</v>
      </c>
    </row>
    <row r="4" spans="1:18" ht="15" x14ac:dyDescent="0.2">
      <c r="A4" s="44" t="s">
        <v>1</v>
      </c>
      <c r="F4" s="197"/>
    </row>
    <row r="5" spans="1:18" x14ac:dyDescent="0.2">
      <c r="A5" s="45" t="str">
        <f ca="1">CELL("filename")</f>
        <v>G:\Shared drives\Q  (Companies)\Organizations\Educational\Agencies\SPCSA\FY2425\Enrollment Reduction Agreement\[241218 Meadowwood RFA-Budget-Workbook-FY25.xlsx]General</v>
      </c>
    </row>
    <row r="6" spans="1:18" x14ac:dyDescent="0.2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">
      <c r="A7" s="47"/>
      <c r="B7" s="198" t="s">
        <v>74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">
      <c r="A8" s="47"/>
      <c r="B8" s="198" t="s">
        <v>75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">
      <c r="A9" s="47"/>
      <c r="B9" s="145" t="s">
        <v>76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5">
      <c r="A11" s="47"/>
      <c r="B11" s="199" t="s">
        <v>77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5" x14ac:dyDescent="0.2">
      <c r="A12" s="47"/>
      <c r="B12" s="205" t="s">
        <v>78</v>
      </c>
      <c r="C12" s="206"/>
      <c r="D12" s="206"/>
      <c r="E12" s="206"/>
      <c r="F12" s="240"/>
      <c r="G12" s="240"/>
      <c r="H12" s="240"/>
      <c r="I12" s="240"/>
      <c r="J12" s="240"/>
      <c r="K12" s="240"/>
      <c r="L12" s="47"/>
      <c r="M12" s="47"/>
      <c r="N12" s="47"/>
      <c r="O12" s="46"/>
      <c r="P12" s="46"/>
      <c r="Q12" s="46"/>
      <c r="R12" s="46"/>
    </row>
    <row r="13" spans="1:18" ht="15" x14ac:dyDescent="0.2">
      <c r="A13" s="47"/>
      <c r="B13" s="205" t="s">
        <v>79</v>
      </c>
      <c r="C13" s="206"/>
      <c r="D13" s="206"/>
      <c r="E13" s="206"/>
      <c r="F13" s="240"/>
      <c r="G13" s="240"/>
      <c r="H13" s="240"/>
      <c r="I13" s="240"/>
      <c r="J13" s="240"/>
      <c r="K13" s="240"/>
      <c r="L13" s="47"/>
      <c r="M13" s="47"/>
      <c r="N13" s="47"/>
      <c r="O13" s="46"/>
      <c r="P13" s="46"/>
      <c r="Q13" s="46"/>
      <c r="R13" s="46"/>
    </row>
    <row r="14" spans="1:18" ht="34.5" customHeight="1" x14ac:dyDescent="0.2">
      <c r="A14" s="47"/>
      <c r="B14" s="239" t="s">
        <v>80</v>
      </c>
      <c r="C14" s="239"/>
      <c r="D14" s="239"/>
      <c r="E14" s="239"/>
      <c r="F14" s="240"/>
      <c r="G14" s="240"/>
      <c r="H14" s="240"/>
      <c r="I14" s="240"/>
      <c r="J14" s="240"/>
      <c r="K14" s="240"/>
      <c r="L14" s="47"/>
      <c r="M14" s="47"/>
      <c r="N14" s="47"/>
      <c r="O14" s="46"/>
      <c r="P14" s="46"/>
      <c r="Q14" s="46"/>
      <c r="R14" s="46"/>
    </row>
    <row r="15" spans="1:18" ht="31.5" customHeight="1" x14ac:dyDescent="0.2">
      <c r="A15" s="47"/>
      <c r="B15" s="239" t="s">
        <v>81</v>
      </c>
      <c r="C15" s="239"/>
      <c r="D15" s="239"/>
      <c r="E15" s="239"/>
      <c r="F15" s="240"/>
      <c r="G15" s="240"/>
      <c r="H15" s="240"/>
      <c r="I15" s="240"/>
      <c r="J15" s="240"/>
      <c r="K15" s="240"/>
      <c r="L15" s="47"/>
      <c r="M15" s="47"/>
      <c r="N15" s="47"/>
      <c r="O15" s="46"/>
      <c r="P15" s="46"/>
      <c r="Q15" s="46"/>
      <c r="R15" s="46"/>
    </row>
    <row r="16" spans="1:18" ht="15" x14ac:dyDescent="0.2">
      <c r="A16" s="47"/>
      <c r="B16" s="205" t="s">
        <v>82</v>
      </c>
      <c r="C16" s="206"/>
      <c r="D16" s="206"/>
      <c r="E16" s="206"/>
      <c r="F16" s="240"/>
      <c r="G16" s="240"/>
      <c r="H16" s="240"/>
      <c r="I16" s="240"/>
      <c r="J16" s="240"/>
      <c r="K16" s="240"/>
      <c r="L16" s="47"/>
      <c r="M16" s="47"/>
      <c r="N16" s="47"/>
      <c r="O16" s="46"/>
      <c r="P16" s="46"/>
      <c r="Q16" s="46"/>
      <c r="R16" s="46"/>
    </row>
    <row r="17" spans="1:18" ht="15" x14ac:dyDescent="0.2">
      <c r="A17" s="47"/>
      <c r="B17" s="205" t="s">
        <v>83</v>
      </c>
      <c r="C17" s="206"/>
      <c r="D17" s="206"/>
      <c r="E17" s="206"/>
      <c r="F17" s="240"/>
      <c r="G17" s="240"/>
      <c r="H17" s="240"/>
      <c r="I17" s="240"/>
      <c r="J17" s="240"/>
      <c r="K17" s="240"/>
      <c r="L17" s="47"/>
      <c r="M17" s="47"/>
      <c r="N17" s="47"/>
      <c r="O17" s="46"/>
      <c r="P17" s="46"/>
      <c r="Q17" s="46"/>
      <c r="R17" s="46"/>
    </row>
    <row r="18" spans="1:18" ht="15" x14ac:dyDescent="0.2">
      <c r="A18" s="47"/>
      <c r="B18" s="205" t="s">
        <v>84</v>
      </c>
      <c r="C18" s="206"/>
      <c r="D18" s="206"/>
      <c r="E18" s="206"/>
      <c r="F18" s="240"/>
      <c r="G18" s="240"/>
      <c r="H18" s="240"/>
      <c r="I18" s="240"/>
      <c r="J18" s="240"/>
      <c r="K18" s="240"/>
      <c r="L18" s="47"/>
      <c r="M18" s="47"/>
      <c r="N18" s="47"/>
      <c r="O18" s="46"/>
      <c r="P18" s="46"/>
      <c r="Q18" s="46"/>
      <c r="R18" s="46"/>
    </row>
    <row r="19" spans="1:18" ht="28.5" customHeight="1" x14ac:dyDescent="0.2">
      <c r="A19" s="47"/>
      <c r="B19" s="239" t="s">
        <v>85</v>
      </c>
      <c r="C19" s="239"/>
      <c r="D19" s="239"/>
      <c r="E19" s="239"/>
      <c r="F19" s="240"/>
      <c r="G19" s="240"/>
      <c r="H19" s="240"/>
      <c r="I19" s="240"/>
      <c r="J19" s="240"/>
      <c r="K19" s="240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39" t="s">
        <v>86</v>
      </c>
      <c r="C20" s="239"/>
      <c r="D20" s="239"/>
      <c r="E20" s="239"/>
      <c r="F20" s="240"/>
      <c r="G20" s="240"/>
      <c r="H20" s="240"/>
      <c r="I20" s="240"/>
      <c r="J20" s="240"/>
      <c r="K20" s="240"/>
      <c r="L20" s="47"/>
      <c r="M20" s="207"/>
      <c r="N20" s="47"/>
      <c r="O20" s="46"/>
      <c r="P20" s="46"/>
      <c r="Q20" s="46"/>
      <c r="R20" s="46"/>
    </row>
    <row r="21" spans="1:18" ht="15" x14ac:dyDescent="0.2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5">
      <c r="A22" s="46"/>
      <c r="B22" s="199" t="s">
        <v>87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5">
      <c r="A23" s="46"/>
      <c r="B23" s="209" t="s">
        <v>88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2">
      <c r="A24" s="46"/>
      <c r="B24" s="213"/>
      <c r="C24" s="214"/>
      <c r="D24" s="215">
        <v>1</v>
      </c>
      <c r="E24" s="197" t="s">
        <v>89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2">
      <c r="A25" s="46"/>
      <c r="B25" s="213"/>
      <c r="C25" s="214"/>
      <c r="D25" s="215">
        <v>2</v>
      </c>
      <c r="E25" s="197" t="s">
        <v>90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2">
      <c r="A26" s="46"/>
      <c r="B26" s="213"/>
      <c r="C26" s="214"/>
      <c r="D26" s="215">
        <v>3</v>
      </c>
      <c r="E26" s="197" t="s">
        <v>91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2">
      <c r="A27" s="46"/>
      <c r="B27" s="213"/>
      <c r="C27" s="214"/>
      <c r="D27" s="215">
        <v>4</v>
      </c>
      <c r="E27" s="197" t="s">
        <v>92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2">
      <c r="A28" s="46"/>
      <c r="B28" s="213"/>
      <c r="C28" s="214"/>
      <c r="D28" s="215">
        <v>5</v>
      </c>
      <c r="E28" s="197" t="s">
        <v>93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2">
      <c r="A29" s="46"/>
      <c r="B29" s="213"/>
      <c r="C29" s="214"/>
      <c r="D29" s="215">
        <v>6</v>
      </c>
      <c r="E29" s="197" t="s">
        <v>94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2">
      <c r="A30" s="46"/>
      <c r="B30" s="213" t="s">
        <v>95</v>
      </c>
      <c r="C30" s="214"/>
      <c r="D30" s="215">
        <v>7</v>
      </c>
      <c r="E30" s="197" t="s">
        <v>96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2">
      <c r="A31" s="46"/>
      <c r="B31" s="213"/>
      <c r="C31" s="214"/>
      <c r="D31" s="215">
        <v>8</v>
      </c>
      <c r="E31" s="197" t="s">
        <v>97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2">
      <c r="A32" s="46"/>
      <c r="B32" s="213"/>
      <c r="C32" s="214"/>
      <c r="D32" s="215">
        <v>9</v>
      </c>
      <c r="E32" s="197" t="s">
        <v>98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2">
      <c r="A33" s="46"/>
      <c r="B33" s="213"/>
      <c r="C33" s="214"/>
      <c r="D33" s="215">
        <v>10</v>
      </c>
      <c r="E33" s="197" t="s">
        <v>99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2">
      <c r="A34" s="46"/>
      <c r="B34" s="213"/>
      <c r="C34" s="214"/>
      <c r="D34" s="215">
        <v>11</v>
      </c>
      <c r="E34" s="197" t="s">
        <v>100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2">
      <c r="A35" s="46"/>
      <c r="B35" s="213"/>
      <c r="C35" s="214"/>
      <c r="D35" s="215">
        <v>12</v>
      </c>
      <c r="E35" s="197" t="s">
        <v>101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x14ac:dyDescent="0.2">
      <c r="A36" s="46"/>
      <c r="B36" s="213"/>
      <c r="C36" s="214"/>
      <c r="D36" s="215">
        <v>13</v>
      </c>
      <c r="E36" s="197" t="s">
        <v>102</v>
      </c>
      <c r="G36" s="242"/>
      <c r="H36" s="242"/>
      <c r="I36" s="242"/>
      <c r="J36" s="242"/>
      <c r="K36" s="242"/>
      <c r="L36" s="242"/>
      <c r="M36" s="242"/>
      <c r="N36" s="242"/>
      <c r="O36" s="46"/>
      <c r="P36" s="46"/>
      <c r="Q36" s="46"/>
      <c r="R36" s="46"/>
    </row>
    <row r="37" spans="1:18" ht="15" x14ac:dyDescent="0.2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5">
      <c r="A38" s="46"/>
      <c r="B38" s="199" t="s">
        <v>103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2">
      <c r="A39" s="46"/>
      <c r="B39" s="209" t="s">
        <v>104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2">
      <c r="A40" s="46"/>
      <c r="B40" s="209" t="s">
        <v>105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2">
      <c r="A41" s="46"/>
      <c r="B41" s="209" t="s">
        <v>106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2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2">
      <c r="A43" s="46"/>
      <c r="B43" s="213" t="s">
        <v>95</v>
      </c>
      <c r="C43" s="217" t="str">
        <f>IF(B43="x"," ","nc")</f>
        <v xml:space="preserve"> </v>
      </c>
      <c r="D43" s="215">
        <v>0</v>
      </c>
      <c r="E43" s="197" t="s">
        <v>107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2">
      <c r="A44" s="46"/>
      <c r="B44" s="213" t="s">
        <v>95</v>
      </c>
      <c r="C44" s="217" t="str">
        <f>IF(B44="x"," ","nc")</f>
        <v xml:space="preserve"> </v>
      </c>
      <c r="D44" s="215">
        <v>1</v>
      </c>
      <c r="E44" s="197" t="s">
        <v>108</v>
      </c>
      <c r="F44" s="212"/>
      <c r="G44" s="212"/>
      <c r="I44" s="218" t="s">
        <v>109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2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110</v>
      </c>
      <c r="F45" s="212"/>
      <c r="G45" s="212"/>
      <c r="I45" s="218" t="s">
        <v>111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2">
      <c r="A46" s="46"/>
      <c r="B46" s="213"/>
      <c r="C46" s="217" t="str">
        <f t="shared" si="0"/>
        <v>nc</v>
      </c>
      <c r="D46" s="215">
        <v>3</v>
      </c>
      <c r="E46" s="197" t="s">
        <v>112</v>
      </c>
      <c r="F46" s="212"/>
      <c r="G46" s="212"/>
      <c r="I46" s="218" t="s">
        <v>113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2">
      <c r="A47" s="46"/>
      <c r="B47" s="213" t="s">
        <v>95</v>
      </c>
      <c r="C47" s="217" t="str">
        <f t="shared" si="0"/>
        <v xml:space="preserve"> </v>
      </c>
      <c r="D47" s="215">
        <v>4</v>
      </c>
      <c r="E47" s="197" t="s">
        <v>114</v>
      </c>
      <c r="F47" s="212"/>
      <c r="G47" s="212"/>
      <c r="I47" s="218" t="s">
        <v>115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2">
      <c r="A48" s="46"/>
      <c r="B48" s="213" t="s">
        <v>95</v>
      </c>
      <c r="C48" s="217" t="str">
        <f t="shared" si="0"/>
        <v xml:space="preserve"> </v>
      </c>
      <c r="D48" s="215">
        <v>5</v>
      </c>
      <c r="E48" s="197" t="s">
        <v>116</v>
      </c>
      <c r="F48" s="212"/>
      <c r="G48" s="212"/>
      <c r="I48" s="218" t="s">
        <v>117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2">
      <c r="A49" s="46"/>
      <c r="B49" s="213"/>
      <c r="C49" s="217" t="str">
        <f t="shared" si="0"/>
        <v>nc</v>
      </c>
      <c r="D49" s="215">
        <v>6</v>
      </c>
      <c r="E49" s="197" t="s">
        <v>118</v>
      </c>
      <c r="F49" s="212"/>
      <c r="H49" s="212"/>
      <c r="I49" s="218" t="s">
        <v>119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2">
      <c r="A50" s="46"/>
      <c r="B50" s="213"/>
      <c r="C50" s="217" t="str">
        <f t="shared" si="0"/>
        <v>nc</v>
      </c>
      <c r="D50" s="215">
        <v>7</v>
      </c>
      <c r="E50" s="197" t="s">
        <v>120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2">
      <c r="A51" s="46"/>
      <c r="B51" s="213"/>
      <c r="C51" s="217" t="str">
        <f t="shared" si="0"/>
        <v>nc</v>
      </c>
      <c r="D51" s="215">
        <v>8</v>
      </c>
      <c r="E51" s="197" t="s">
        <v>121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2">
      <c r="A52" s="46"/>
      <c r="B52" s="213"/>
      <c r="C52" s="217" t="str">
        <f t="shared" si="0"/>
        <v>nc</v>
      </c>
      <c r="D52" s="215">
        <v>9</v>
      </c>
      <c r="E52" s="197" t="s">
        <v>122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2">
      <c r="A53" s="46"/>
      <c r="B53" s="213"/>
      <c r="C53" s="217" t="str">
        <f t="shared" si="0"/>
        <v>nc</v>
      </c>
      <c r="D53" s="215">
        <v>10</v>
      </c>
      <c r="E53" s="197" t="s">
        <v>123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2">
      <c r="A54" s="46"/>
      <c r="B54" s="213"/>
      <c r="C54" s="217" t="str">
        <f t="shared" si="0"/>
        <v>nc</v>
      </c>
      <c r="D54" s="215">
        <v>11</v>
      </c>
      <c r="E54" s="197" t="s">
        <v>124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2">
      <c r="A55" s="46"/>
      <c r="B55" s="213"/>
      <c r="C55" s="217" t="str">
        <f t="shared" si="0"/>
        <v>nc</v>
      </c>
      <c r="D55" s="215">
        <v>12</v>
      </c>
      <c r="E55" s="197" t="s">
        <v>125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2">
      <c r="A56" s="46"/>
      <c r="B56" s="213"/>
      <c r="C56" s="217" t="str">
        <f t="shared" si="0"/>
        <v>nc</v>
      </c>
      <c r="D56" s="215">
        <v>13</v>
      </c>
      <c r="E56" s="197" t="s">
        <v>126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2">
      <c r="A57" s="46"/>
      <c r="B57" s="213"/>
      <c r="C57" s="217" t="str">
        <f t="shared" si="0"/>
        <v>nc</v>
      </c>
      <c r="D57" s="215">
        <v>14</v>
      </c>
      <c r="E57" s="197" t="s">
        <v>127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2">
      <c r="A58" s="46"/>
      <c r="B58" s="213"/>
      <c r="C58" s="217" t="str">
        <f t="shared" si="0"/>
        <v>nc</v>
      </c>
      <c r="D58" s="215">
        <v>15</v>
      </c>
      <c r="E58" s="220" t="s">
        <v>128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2">
      <c r="A59" s="46"/>
      <c r="B59" s="213"/>
      <c r="C59" s="217" t="str">
        <f t="shared" si="0"/>
        <v>nc</v>
      </c>
      <c r="D59" s="215">
        <v>16</v>
      </c>
      <c r="E59" s="197" t="s">
        <v>129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2">
      <c r="A60" s="46"/>
      <c r="B60" s="213"/>
      <c r="C60" s="217" t="str">
        <f t="shared" si="0"/>
        <v>nc</v>
      </c>
      <c r="D60" s="215">
        <v>17</v>
      </c>
      <c r="E60" s="197" t="s">
        <v>130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2">
      <c r="A61" s="46"/>
      <c r="B61" s="213"/>
      <c r="C61" s="217" t="str">
        <f t="shared" si="0"/>
        <v>nc</v>
      </c>
      <c r="D61" s="215">
        <v>18</v>
      </c>
      <c r="E61" s="197" t="s">
        <v>131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2">
      <c r="A62" s="46"/>
      <c r="B62" s="213"/>
      <c r="C62" s="217" t="str">
        <f t="shared" si="0"/>
        <v>nc</v>
      </c>
      <c r="D62" s="215">
        <v>19</v>
      </c>
      <c r="E62" s="197" t="s">
        <v>132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2">
      <c r="A63" s="46"/>
      <c r="B63" s="213"/>
      <c r="C63" s="217" t="str">
        <f t="shared" si="0"/>
        <v>nc</v>
      </c>
      <c r="D63" s="215">
        <v>20</v>
      </c>
      <c r="E63" s="197" t="s">
        <v>133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 x14ac:dyDescent="0.2">
      <c r="A64" s="46"/>
      <c r="B64" s="213"/>
      <c r="C64" s="217" t="str">
        <f t="shared" si="0"/>
        <v>nc</v>
      </c>
      <c r="D64" s="215">
        <v>21</v>
      </c>
      <c r="E64" s="197" t="s">
        <v>134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 x14ac:dyDescent="0.2">
      <c r="A65" s="46"/>
      <c r="B65" s="213"/>
      <c r="C65" s="217" t="str">
        <f t="shared" si="0"/>
        <v>nc</v>
      </c>
      <c r="D65" s="215">
        <v>22</v>
      </c>
      <c r="E65" s="197" t="s">
        <v>135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5">
      <c r="A67" s="46"/>
      <c r="B67" s="199" t="s">
        <v>136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">
      <c r="A68" s="46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46"/>
      <c r="P68" s="46"/>
      <c r="Q68" s="46"/>
      <c r="R68" s="46"/>
    </row>
    <row r="69" spans="1:18" x14ac:dyDescent="0.2">
      <c r="A69" s="46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46"/>
      <c r="P69" s="46"/>
      <c r="Q69" s="46"/>
      <c r="R69" s="46"/>
    </row>
    <row r="70" spans="1:18" x14ac:dyDescent="0.2">
      <c r="A70" s="46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46"/>
      <c r="P70" s="46"/>
      <c r="Q70" s="46"/>
      <c r="R70" s="46"/>
    </row>
    <row r="71" spans="1:18" x14ac:dyDescent="0.2">
      <c r="A71" s="46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46"/>
      <c r="P71" s="46"/>
      <c r="Q71" s="46"/>
      <c r="R71" s="46"/>
    </row>
    <row r="72" spans="1:18" x14ac:dyDescent="0.2">
      <c r="A72" s="46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46"/>
      <c r="P72" s="46"/>
      <c r="Q72" s="46"/>
      <c r="R72" s="46"/>
    </row>
    <row r="73" spans="1:18" x14ac:dyDescent="0.2">
      <c r="A73" s="46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46"/>
      <c r="P73" s="46"/>
      <c r="Q73" s="46"/>
      <c r="R73" s="46"/>
    </row>
    <row r="74" spans="1:18" ht="18" x14ac:dyDescent="0.25">
      <c r="A74" s="46"/>
      <c r="B74" s="199" t="s">
        <v>137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">
      <c r="A75" s="46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46"/>
      <c r="P75" s="46"/>
      <c r="Q75" s="46"/>
      <c r="R75" s="46"/>
    </row>
    <row r="76" spans="1:18" x14ac:dyDescent="0.2">
      <c r="A76" s="46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46"/>
      <c r="P76" s="46"/>
      <c r="Q76" s="46"/>
      <c r="R76" s="46"/>
    </row>
    <row r="77" spans="1:18" x14ac:dyDescent="0.2">
      <c r="A77" s="46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46"/>
      <c r="P77" s="46"/>
      <c r="Q77" s="46"/>
      <c r="R77" s="46"/>
    </row>
    <row r="78" spans="1:18" x14ac:dyDescent="0.2">
      <c r="A78" s="46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46"/>
      <c r="P78" s="46"/>
      <c r="Q78" s="46"/>
      <c r="R78" s="46"/>
    </row>
    <row r="79" spans="1:18" x14ac:dyDescent="0.2">
      <c r="A79" s="46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46"/>
      <c r="P79" s="46"/>
      <c r="Q79" s="46"/>
      <c r="R79" s="46"/>
    </row>
    <row r="80" spans="1:18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 hidden="1" x14ac:dyDescent="0.2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2.75" zeroHeight="1" x14ac:dyDescent="0.2"/>
  <cols>
    <col min="1" max="1" width="2" customWidth="1"/>
    <col min="2" max="3" width="4.140625" customWidth="1"/>
    <col min="4" max="4" width="4.42578125" customWidth="1"/>
    <col min="5" max="5" width="9.140625" customWidth="1"/>
    <col min="6" max="7" width="10.28515625" customWidth="1"/>
    <col min="8" max="14" width="9.140625" customWidth="1"/>
    <col min="15" max="15" width="2.42578125" customWidth="1"/>
    <col min="16" max="18" width="0" hidden="1" customWidth="1"/>
    <col min="19" max="16384" width="9.140625" hidden="1"/>
  </cols>
  <sheetData>
    <row r="1" spans="1:18" ht="15.75" x14ac:dyDescent="0.25">
      <c r="A1" s="5" t="s">
        <v>72</v>
      </c>
      <c r="B1" s="5"/>
      <c r="C1" s="5"/>
      <c r="D1" s="5"/>
      <c r="E1" s="5"/>
      <c r="F1" s="5"/>
      <c r="G1" s="5"/>
    </row>
    <row r="2" spans="1:18" ht="15.75" x14ac:dyDescent="0.25">
      <c r="A2" s="35" t="s">
        <v>138</v>
      </c>
      <c r="B2" s="36"/>
      <c r="C2" s="36"/>
      <c r="D2" s="36"/>
      <c r="E2" s="36"/>
      <c r="F2" s="36"/>
      <c r="G2" s="36"/>
    </row>
    <row r="3" spans="1:18" x14ac:dyDescent="0.2">
      <c r="A3" s="1" t="s">
        <v>0</v>
      </c>
    </row>
    <row r="4" spans="1:18" ht="15" x14ac:dyDescent="0.2">
      <c r="A4" s="2" t="s">
        <v>1</v>
      </c>
      <c r="F4" s="8"/>
    </row>
    <row r="5" spans="1:18" x14ac:dyDescent="0.2">
      <c r="A5" s="3"/>
    </row>
    <row r="6" spans="1:18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">
      <c r="A7" s="14"/>
      <c r="B7" s="33" t="s">
        <v>74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">
      <c r="A8" s="14"/>
      <c r="B8" s="33" t="s">
        <v>75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">
      <c r="A9" s="14"/>
      <c r="B9" s="34" t="s">
        <v>76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5">
      <c r="A11" s="14"/>
      <c r="B11" s="21" t="s">
        <v>77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5" x14ac:dyDescent="0.2">
      <c r="A12" s="14"/>
      <c r="B12" s="17" t="s">
        <v>78</v>
      </c>
      <c r="C12" s="18"/>
      <c r="D12" s="18"/>
      <c r="E12" s="18"/>
      <c r="F12" s="250"/>
      <c r="G12" s="250"/>
      <c r="H12" s="250"/>
      <c r="I12" s="250"/>
      <c r="J12" s="250"/>
      <c r="K12" s="250"/>
      <c r="L12" s="14"/>
      <c r="M12" s="14"/>
      <c r="N12" s="14"/>
      <c r="O12" s="4"/>
      <c r="P12" s="4"/>
      <c r="Q12" s="4"/>
      <c r="R12" s="4"/>
    </row>
    <row r="13" spans="1:18" ht="15" x14ac:dyDescent="0.2">
      <c r="A13" s="14"/>
      <c r="B13" s="17" t="s">
        <v>79</v>
      </c>
      <c r="C13" s="18"/>
      <c r="D13" s="18"/>
      <c r="E13" s="18"/>
      <c r="F13" s="248">
        <v>44153</v>
      </c>
      <c r="G13" s="249"/>
      <c r="H13" s="249"/>
      <c r="I13" s="249"/>
      <c r="J13" s="249"/>
      <c r="K13" s="249"/>
      <c r="L13" s="14"/>
      <c r="M13" s="14"/>
      <c r="N13" s="14"/>
      <c r="O13" s="4"/>
      <c r="P13" s="4"/>
      <c r="Q13" s="4"/>
      <c r="R13" s="4"/>
    </row>
    <row r="14" spans="1:18" ht="34.5" customHeight="1" x14ac:dyDescent="0.2">
      <c r="A14" s="14"/>
      <c r="B14" s="251" t="s">
        <v>80</v>
      </c>
      <c r="C14" s="251"/>
      <c r="D14" s="251"/>
      <c r="E14" s="251"/>
      <c r="F14" s="248"/>
      <c r="G14" s="249"/>
      <c r="H14" s="249"/>
      <c r="I14" s="249"/>
      <c r="J14" s="249"/>
      <c r="K14" s="249"/>
      <c r="L14" s="14"/>
      <c r="M14" s="14"/>
      <c r="N14" s="14"/>
      <c r="O14" s="4"/>
      <c r="P14" s="4"/>
      <c r="Q14" s="4"/>
      <c r="R14" s="4"/>
    </row>
    <row r="15" spans="1:18" ht="31.5" customHeight="1" x14ac:dyDescent="0.2">
      <c r="A15" s="14"/>
      <c r="B15" s="251" t="s">
        <v>81</v>
      </c>
      <c r="C15" s="251"/>
      <c r="D15" s="251"/>
      <c r="E15" s="251"/>
      <c r="F15" s="248"/>
      <c r="G15" s="249"/>
      <c r="H15" s="249"/>
      <c r="I15" s="249"/>
      <c r="J15" s="249"/>
      <c r="K15" s="249"/>
      <c r="L15" s="14"/>
      <c r="M15" s="14"/>
      <c r="N15" s="14"/>
      <c r="O15" s="4"/>
      <c r="P15" s="4"/>
      <c r="Q15" s="4"/>
      <c r="R15" s="4"/>
    </row>
    <row r="16" spans="1:18" ht="15" x14ac:dyDescent="0.2">
      <c r="A16" s="14"/>
      <c r="B16" s="17" t="s">
        <v>82</v>
      </c>
      <c r="C16" s="18"/>
      <c r="D16" s="18"/>
      <c r="E16" s="18"/>
      <c r="F16" s="250"/>
      <c r="G16" s="250"/>
      <c r="H16" s="250"/>
      <c r="I16" s="250"/>
      <c r="J16" s="250"/>
      <c r="K16" s="250"/>
      <c r="L16" s="14"/>
      <c r="M16" s="14"/>
      <c r="N16" s="14"/>
      <c r="O16" s="4"/>
      <c r="P16" s="4"/>
      <c r="Q16" s="4"/>
      <c r="R16" s="4"/>
    </row>
    <row r="17" spans="1:18" ht="15" x14ac:dyDescent="0.2">
      <c r="A17" s="14"/>
      <c r="B17" s="17" t="s">
        <v>83</v>
      </c>
      <c r="C17" s="18"/>
      <c r="D17" s="18"/>
      <c r="E17" s="18"/>
      <c r="F17" s="250"/>
      <c r="G17" s="250"/>
      <c r="H17" s="250"/>
      <c r="I17" s="250"/>
      <c r="J17" s="250"/>
      <c r="K17" s="250"/>
      <c r="L17" s="14"/>
      <c r="M17" s="14"/>
      <c r="N17" s="14"/>
      <c r="O17" s="4"/>
      <c r="P17" s="4"/>
      <c r="Q17" s="4"/>
      <c r="R17" s="4"/>
    </row>
    <row r="18" spans="1:18" ht="15" x14ac:dyDescent="0.2">
      <c r="A18" s="14"/>
      <c r="B18" s="17" t="s">
        <v>84</v>
      </c>
      <c r="C18" s="18"/>
      <c r="D18" s="18"/>
      <c r="E18" s="18"/>
      <c r="F18" s="250"/>
      <c r="G18" s="250"/>
      <c r="H18" s="250"/>
      <c r="I18" s="250"/>
      <c r="J18" s="250"/>
      <c r="K18" s="250"/>
      <c r="L18" s="14"/>
      <c r="M18" s="14"/>
      <c r="N18" s="14"/>
      <c r="O18" s="4"/>
      <c r="P18" s="4"/>
      <c r="Q18" s="4"/>
      <c r="R18" s="4"/>
    </row>
    <row r="19" spans="1:18" ht="28.5" customHeight="1" x14ac:dyDescent="0.2">
      <c r="A19" s="14"/>
      <c r="B19" s="251" t="s">
        <v>85</v>
      </c>
      <c r="C19" s="251"/>
      <c r="D19" s="251"/>
      <c r="E19" s="251"/>
      <c r="F19" s="252"/>
      <c r="G19" s="250"/>
      <c r="H19" s="250"/>
      <c r="I19" s="250"/>
      <c r="J19" s="250"/>
      <c r="K19" s="250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1" t="s">
        <v>86</v>
      </c>
      <c r="C20" s="251"/>
      <c r="D20" s="251"/>
      <c r="E20" s="251"/>
      <c r="F20" s="248"/>
      <c r="G20" s="249"/>
      <c r="H20" s="249"/>
      <c r="I20" s="249"/>
      <c r="J20" s="249"/>
      <c r="K20" s="249"/>
      <c r="L20" s="14"/>
      <c r="M20" s="27"/>
      <c r="N20" s="14"/>
      <c r="O20" s="4"/>
      <c r="P20" s="4"/>
      <c r="Q20" s="4"/>
      <c r="R20" s="4"/>
    </row>
    <row r="21" spans="1:18" ht="15" x14ac:dyDescent="0.2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5">
      <c r="A22" s="4"/>
      <c r="B22" s="21" t="s">
        <v>87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5">
      <c r="A23" s="4"/>
      <c r="B23" s="20" t="s">
        <v>88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2">
      <c r="A24" s="4"/>
      <c r="B24" s="28"/>
      <c r="C24" s="29"/>
      <c r="D24" s="30">
        <v>1</v>
      </c>
      <c r="E24" s="8" t="s">
        <v>89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2">
      <c r="A25" s="4"/>
      <c r="B25" s="28"/>
      <c r="C25" s="29"/>
      <c r="D25" s="30">
        <v>2</v>
      </c>
      <c r="E25" s="8" t="s">
        <v>90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2">
      <c r="A26" s="4"/>
      <c r="B26" s="28"/>
      <c r="C26" s="29"/>
      <c r="D26" s="30">
        <v>3</v>
      </c>
      <c r="E26" s="8" t="s">
        <v>91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2">
      <c r="A27" s="4"/>
      <c r="B27" s="28"/>
      <c r="C27" s="29"/>
      <c r="D27" s="30">
        <v>4</v>
      </c>
      <c r="E27" s="8" t="s">
        <v>92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2">
      <c r="A28" s="4"/>
      <c r="B28" s="28"/>
      <c r="C28" s="29"/>
      <c r="D28" s="30">
        <v>5</v>
      </c>
      <c r="E28" s="8" t="s">
        <v>93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2">
      <c r="A29" s="4"/>
      <c r="B29" s="28"/>
      <c r="C29" s="31"/>
      <c r="D29" s="30">
        <v>6</v>
      </c>
      <c r="E29" s="8" t="s">
        <v>94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2">
      <c r="A30" s="4"/>
      <c r="B30" s="28"/>
      <c r="C30" s="31"/>
      <c r="D30" s="30">
        <v>7</v>
      </c>
      <c r="E30" s="8" t="s">
        <v>96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2">
      <c r="A31" s="4"/>
      <c r="B31" s="28" t="s">
        <v>95</v>
      </c>
      <c r="C31" s="29"/>
      <c r="D31" s="30">
        <v>8</v>
      </c>
      <c r="E31" s="8" t="s">
        <v>97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2">
      <c r="A32" s="4"/>
      <c r="B32" s="28"/>
      <c r="C32" s="29"/>
      <c r="D32" s="30">
        <v>9</v>
      </c>
      <c r="E32" s="8" t="s">
        <v>98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2">
      <c r="A33" s="4"/>
      <c r="B33" s="28"/>
      <c r="C33" s="29"/>
      <c r="D33" s="30">
        <v>10</v>
      </c>
      <c r="E33" s="8" t="s">
        <v>99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2">
      <c r="A34" s="4"/>
      <c r="B34" s="28"/>
      <c r="C34" s="29"/>
      <c r="D34" s="30">
        <v>11</v>
      </c>
      <c r="E34" s="8" t="s">
        <v>100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2">
      <c r="A35" s="4"/>
      <c r="B35" s="28"/>
      <c r="C35" s="29"/>
      <c r="D35" s="30">
        <v>12</v>
      </c>
      <c r="E35" s="8" t="s">
        <v>101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x14ac:dyDescent="0.2">
      <c r="A36" s="4"/>
      <c r="B36" s="28"/>
      <c r="C36" s="29"/>
      <c r="D36" s="30">
        <v>13</v>
      </c>
      <c r="E36" s="8" t="s">
        <v>102</v>
      </c>
      <c r="G36" s="244"/>
      <c r="H36" s="244"/>
      <c r="I36" s="244"/>
      <c r="J36" s="244"/>
      <c r="K36" s="244"/>
      <c r="L36" s="244"/>
      <c r="M36" s="244"/>
      <c r="N36" s="244"/>
      <c r="O36" s="4"/>
      <c r="P36" s="4"/>
      <c r="Q36" s="4"/>
      <c r="R36" s="4"/>
    </row>
    <row r="37" spans="1:18" ht="15" x14ac:dyDescent="0.2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5">
      <c r="A38" s="4"/>
      <c r="B38" s="21" t="s">
        <v>103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2">
      <c r="A39" s="4"/>
      <c r="B39" s="20" t="s">
        <v>104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2">
      <c r="A40" s="4"/>
      <c r="B40" s="20" t="s">
        <v>105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2">
      <c r="A41" s="4"/>
      <c r="B41" s="20" t="s">
        <v>106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2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2">
      <c r="A43" s="4"/>
      <c r="B43" s="28" t="s">
        <v>95</v>
      </c>
      <c r="C43" s="13" t="str">
        <f>IF(B43="x"," ","nc")</f>
        <v xml:space="preserve"> </v>
      </c>
      <c r="D43" s="30">
        <v>1</v>
      </c>
      <c r="E43" s="8" t="s">
        <v>108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2">
      <c r="A44" s="4"/>
      <c r="B44" s="28"/>
      <c r="C44" s="13" t="str">
        <f t="shared" ref="C44:C66" si="0">IF(B44="x"," ","nc")</f>
        <v>nc</v>
      </c>
      <c r="D44" s="30">
        <v>2</v>
      </c>
      <c r="E44" s="8" t="s">
        <v>110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2">
      <c r="A45" s="4"/>
      <c r="B45" s="28"/>
      <c r="C45" s="13" t="str">
        <f t="shared" si="0"/>
        <v>nc</v>
      </c>
      <c r="D45" s="30">
        <v>3</v>
      </c>
      <c r="E45" s="8" t="s">
        <v>112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2">
      <c r="A46" s="4"/>
      <c r="B46" s="28" t="s">
        <v>95</v>
      </c>
      <c r="C46" s="13" t="str">
        <f t="shared" si="0"/>
        <v xml:space="preserve"> </v>
      </c>
      <c r="D46" s="30">
        <v>4</v>
      </c>
      <c r="E46" s="8" t="s">
        <v>114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2">
      <c r="A47" s="4"/>
      <c r="B47" s="28" t="s">
        <v>95</v>
      </c>
      <c r="C47" s="13" t="str">
        <f t="shared" si="0"/>
        <v xml:space="preserve"> </v>
      </c>
      <c r="D47" s="30">
        <v>5</v>
      </c>
      <c r="E47" s="8" t="s">
        <v>116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2">
      <c r="A48" s="4"/>
      <c r="B48" s="28"/>
      <c r="C48" s="13" t="str">
        <f t="shared" si="0"/>
        <v>nc</v>
      </c>
      <c r="D48" s="30">
        <v>6</v>
      </c>
      <c r="E48" s="8" t="s">
        <v>118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2">
      <c r="A49" s="4"/>
      <c r="B49" s="28"/>
      <c r="C49" s="13" t="str">
        <f t="shared" si="0"/>
        <v>nc</v>
      </c>
      <c r="D49" s="30">
        <v>7</v>
      </c>
      <c r="E49" s="8" t="s">
        <v>120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2">
      <c r="A50" s="4"/>
      <c r="B50" s="28"/>
      <c r="C50" s="13" t="str">
        <f t="shared" si="0"/>
        <v>nc</v>
      </c>
      <c r="D50" s="30">
        <v>8</v>
      </c>
      <c r="E50" s="8" t="s">
        <v>121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2">
      <c r="A51" s="4"/>
      <c r="B51" s="28"/>
      <c r="C51" s="13" t="str">
        <f t="shared" si="0"/>
        <v>nc</v>
      </c>
      <c r="D51" s="30">
        <v>9</v>
      </c>
      <c r="E51" s="8" t="s">
        <v>122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2">
      <c r="A52" s="4"/>
      <c r="B52" s="28"/>
      <c r="C52" s="13" t="str">
        <f t="shared" si="0"/>
        <v>nc</v>
      </c>
      <c r="D52" s="30">
        <v>10</v>
      </c>
      <c r="E52" s="8" t="s">
        <v>123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2">
      <c r="A53" s="4"/>
      <c r="B53" s="28"/>
      <c r="C53" s="13" t="str">
        <f t="shared" si="0"/>
        <v>nc</v>
      </c>
      <c r="D53" s="30">
        <v>11</v>
      </c>
      <c r="E53" s="8" t="s">
        <v>124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2">
      <c r="A54" s="4"/>
      <c r="B54" s="28"/>
      <c r="C54" s="13" t="str">
        <f t="shared" si="0"/>
        <v>nc</v>
      </c>
      <c r="D54" s="30">
        <v>12</v>
      </c>
      <c r="E54" s="8" t="s">
        <v>125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2">
      <c r="A55" s="4"/>
      <c r="B55" s="28"/>
      <c r="C55" s="13" t="str">
        <f t="shared" si="0"/>
        <v>nc</v>
      </c>
      <c r="D55" s="30">
        <v>13</v>
      </c>
      <c r="E55" s="8" t="s">
        <v>126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2">
      <c r="A56" s="4"/>
      <c r="B56" s="28"/>
      <c r="C56" s="13" t="str">
        <f t="shared" si="0"/>
        <v>nc</v>
      </c>
      <c r="D56" s="30">
        <v>14</v>
      </c>
      <c r="E56" s="8" t="s">
        <v>127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2">
      <c r="A57" s="4"/>
      <c r="B57" s="28"/>
      <c r="C57" s="13" t="str">
        <f t="shared" si="0"/>
        <v>nc</v>
      </c>
      <c r="D57" s="30">
        <v>15</v>
      </c>
      <c r="E57" s="10" t="s">
        <v>128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2">
      <c r="A58" s="4"/>
      <c r="B58" s="28" t="s">
        <v>95</v>
      </c>
      <c r="C58" s="13" t="str">
        <f t="shared" si="0"/>
        <v xml:space="preserve"> </v>
      </c>
      <c r="D58" s="30">
        <v>16</v>
      </c>
      <c r="E58" s="8" t="s">
        <v>129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2">
      <c r="A59" s="4"/>
      <c r="B59" s="28"/>
      <c r="C59" s="13" t="str">
        <f t="shared" si="0"/>
        <v>nc</v>
      </c>
      <c r="D59" s="30">
        <v>17</v>
      </c>
      <c r="E59" s="8" t="s">
        <v>130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2">
      <c r="A60" s="4"/>
      <c r="B60" s="28"/>
      <c r="C60" s="13" t="str">
        <f t="shared" si="0"/>
        <v>nc</v>
      </c>
      <c r="D60" s="30">
        <v>18</v>
      </c>
      <c r="E60" s="8" t="s">
        <v>131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2">
      <c r="A61" s="4"/>
      <c r="B61" s="28"/>
      <c r="C61" s="13" t="str">
        <f t="shared" si="0"/>
        <v>nc</v>
      </c>
      <c r="D61" s="30">
        <v>19</v>
      </c>
      <c r="E61" s="8" t="s">
        <v>132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2">
      <c r="A62" s="4"/>
      <c r="B62" s="28" t="s">
        <v>95</v>
      </c>
      <c r="C62" s="13" t="str">
        <f t="shared" si="0"/>
        <v xml:space="preserve"> </v>
      </c>
      <c r="D62" s="30">
        <v>20</v>
      </c>
      <c r="E62" s="8" t="s">
        <v>133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" x14ac:dyDescent="0.2">
      <c r="A63" s="4"/>
      <c r="B63" s="28"/>
      <c r="C63" s="13" t="str">
        <f t="shared" si="0"/>
        <v>nc</v>
      </c>
      <c r="D63" s="30">
        <v>21</v>
      </c>
      <c r="E63" s="8" t="s">
        <v>134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" x14ac:dyDescent="0.2">
      <c r="A64" s="4"/>
      <c r="B64" s="28"/>
      <c r="C64" s="13" t="str">
        <f t="shared" si="0"/>
        <v>nc</v>
      </c>
      <c r="D64" s="30">
        <v>22</v>
      </c>
      <c r="E64" s="8" t="s">
        <v>135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" x14ac:dyDescent="0.2">
      <c r="A65" s="4"/>
      <c r="B65" s="143" t="s">
        <v>139</v>
      </c>
      <c r="C65" s="13" t="str">
        <f t="shared" si="0"/>
        <v xml:space="preserve"> </v>
      </c>
      <c r="D65" s="30">
        <v>23</v>
      </c>
      <c r="E65" s="8" t="s">
        <v>140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" x14ac:dyDescent="0.2">
      <c r="A66" s="4"/>
      <c r="B66" s="143" t="s">
        <v>95</v>
      </c>
      <c r="C66" s="13" t="str">
        <f t="shared" si="0"/>
        <v xml:space="preserve"> </v>
      </c>
      <c r="D66" s="30">
        <v>24</v>
      </c>
      <c r="E66" s="8" t="s">
        <v>141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5">
      <c r="A68" s="4"/>
      <c r="B68" s="21" t="s">
        <v>136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">
      <c r="A69" s="4"/>
      <c r="B69" s="245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4"/>
      <c r="P69" s="4"/>
      <c r="Q69" s="4"/>
      <c r="R69" s="4"/>
    </row>
    <row r="70" spans="1:18" x14ac:dyDescent="0.2">
      <c r="A70" s="4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4"/>
      <c r="P70" s="4"/>
      <c r="Q70" s="4"/>
      <c r="R70" s="4"/>
    </row>
    <row r="71" spans="1:18" x14ac:dyDescent="0.2">
      <c r="A71" s="4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4"/>
      <c r="P71" s="4"/>
      <c r="Q71" s="4"/>
      <c r="R71" s="4"/>
    </row>
    <row r="72" spans="1:18" x14ac:dyDescent="0.2">
      <c r="A72" s="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4"/>
      <c r="P72" s="4"/>
      <c r="Q72" s="4"/>
      <c r="R72" s="4"/>
    </row>
    <row r="73" spans="1:18" x14ac:dyDescent="0.2">
      <c r="A73" s="4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4"/>
      <c r="P73" s="4"/>
      <c r="Q73" s="4"/>
      <c r="R73" s="4"/>
    </row>
    <row r="74" spans="1:18" x14ac:dyDescent="0.2">
      <c r="A74" s="4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4"/>
      <c r="P74" s="4"/>
      <c r="Q74" s="4"/>
      <c r="R74" s="4"/>
    </row>
    <row r="75" spans="1:18" ht="18" x14ac:dyDescent="0.25">
      <c r="A75" s="4"/>
      <c r="B75" s="21" t="s">
        <v>137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">
      <c r="A76" s="4"/>
      <c r="B76" s="245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4"/>
      <c r="P76" s="4"/>
      <c r="Q76" s="4"/>
      <c r="R76" s="4"/>
    </row>
    <row r="77" spans="1:18" x14ac:dyDescent="0.2">
      <c r="A77" s="4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4"/>
      <c r="P77" s="4"/>
      <c r="Q77" s="4"/>
      <c r="R77" s="4"/>
    </row>
    <row r="78" spans="1:18" x14ac:dyDescent="0.2">
      <c r="A78" s="4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4"/>
      <c r="P78" s="4"/>
      <c r="Q78" s="4"/>
      <c r="R78" s="4"/>
    </row>
    <row r="79" spans="1:18" x14ac:dyDescent="0.2">
      <c r="A79" s="4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4"/>
      <c r="P79" s="4"/>
      <c r="Q79" s="4"/>
      <c r="R79" s="4"/>
    </row>
    <row r="80" spans="1:18" x14ac:dyDescent="0.2">
      <c r="A80" s="4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" hidden="1" x14ac:dyDescent="0.2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40625" defaultRowHeight="12.75" x14ac:dyDescent="0.2"/>
  <cols>
    <col min="1" max="1" width="5.140625" style="38" customWidth="1"/>
    <col min="2" max="2" width="9.140625" style="38"/>
    <col min="3" max="5" width="10" style="38" customWidth="1"/>
    <col min="6" max="6" width="13.28515625" style="38" customWidth="1"/>
    <col min="7" max="8" width="10.140625" style="38" bestFit="1" customWidth="1"/>
    <col min="9" max="12" width="9.140625" style="38"/>
    <col min="13" max="13" width="1.42578125" style="38" customWidth="1"/>
    <col min="14" max="16384" width="9.140625" style="38"/>
  </cols>
  <sheetData>
    <row r="1" spans="1:15" ht="18" x14ac:dyDescent="0.25">
      <c r="A1" s="37" t="s">
        <v>142</v>
      </c>
      <c r="B1" s="37"/>
      <c r="C1" s="37"/>
      <c r="E1" s="144" t="s">
        <v>143</v>
      </c>
    </row>
    <row r="2" spans="1:15" ht="15.75" x14ac:dyDescent="0.25">
      <c r="A2" s="40" t="str">
        <f>Facilities!A2</f>
        <v>Nevada State High School- Flagship</v>
      </c>
      <c r="B2" s="41"/>
      <c r="C2" s="41"/>
    </row>
    <row r="3" spans="1:15" x14ac:dyDescent="0.2">
      <c r="A3" s="43" t="s">
        <v>0</v>
      </c>
    </row>
    <row r="4" spans="1:15" x14ac:dyDescent="0.2">
      <c r="A4" s="44" t="s">
        <v>1</v>
      </c>
    </row>
    <row r="5" spans="1:15" x14ac:dyDescent="0.2">
      <c r="A5" s="45"/>
    </row>
    <row r="6" spans="1:1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75" x14ac:dyDescent="0.2">
      <c r="A7" s="46"/>
      <c r="B7" s="86" t="s">
        <v>144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2">
      <c r="B8" s="87" t="s">
        <v>145</v>
      </c>
      <c r="F8" s="88">
        <v>2014</v>
      </c>
      <c r="G8" s="46"/>
      <c r="J8" s="46"/>
      <c r="K8" s="46"/>
      <c r="L8" s="46"/>
      <c r="M8" s="46"/>
    </row>
    <row r="9" spans="1:15" ht="15.75" x14ac:dyDescent="0.2">
      <c r="B9" s="87"/>
      <c r="D9" s="46"/>
      <c r="E9" s="46"/>
      <c r="G9" s="46"/>
      <c r="J9" s="46"/>
      <c r="K9" s="46"/>
      <c r="L9" s="46"/>
      <c r="M9" s="46"/>
    </row>
    <row r="10" spans="1:15" x14ac:dyDescent="0.2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75" x14ac:dyDescent="0.2">
      <c r="B11" s="90" t="s">
        <v>146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.25" x14ac:dyDescent="0.2">
      <c r="B14" s="93" t="s">
        <v>147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5" x14ac:dyDescent="0.2">
      <c r="B15" s="97" t="s">
        <v>148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149</v>
      </c>
    </row>
    <row r="17" spans="1:15" ht="15.75" x14ac:dyDescent="0.2">
      <c r="B17" s="90" t="s">
        <v>150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151</v>
      </c>
    </row>
    <row r="18" spans="1:15" ht="13.5" thickBot="1" x14ac:dyDescent="0.25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152</v>
      </c>
    </row>
    <row r="19" spans="1:15" ht="13.5" thickBot="1" x14ac:dyDescent="0.25">
      <c r="B19" s="102" t="s">
        <v>147</v>
      </c>
      <c r="C19" s="103" t="s">
        <v>153</v>
      </c>
      <c r="D19" s="104"/>
      <c r="E19" s="104"/>
      <c r="F19" s="104"/>
      <c r="G19" s="104"/>
      <c r="H19" s="104"/>
      <c r="I19" s="105"/>
      <c r="J19" s="106" t="s">
        <v>154</v>
      </c>
      <c r="K19" s="107"/>
      <c r="L19" s="108"/>
      <c r="M19" s="46"/>
      <c r="O19" s="100" t="s">
        <v>155</v>
      </c>
    </row>
    <row r="20" spans="1:15" x14ac:dyDescent="0.2">
      <c r="B20" s="109"/>
      <c r="C20" s="110" t="s">
        <v>156</v>
      </c>
      <c r="D20" s="111" t="s">
        <v>157</v>
      </c>
      <c r="E20" s="111" t="s">
        <v>158</v>
      </c>
      <c r="F20" s="111" t="s">
        <v>159</v>
      </c>
      <c r="G20" s="111" t="s">
        <v>160</v>
      </c>
      <c r="H20" s="111" t="s">
        <v>161</v>
      </c>
      <c r="I20" s="112" t="s">
        <v>162</v>
      </c>
      <c r="J20" s="110" t="s">
        <v>163</v>
      </c>
      <c r="K20" s="111" t="s">
        <v>164</v>
      </c>
      <c r="L20" s="113" t="s">
        <v>165</v>
      </c>
      <c r="M20" s="46"/>
      <c r="O20" s="100" t="s">
        <v>166</v>
      </c>
    </row>
    <row r="21" spans="1:15" x14ac:dyDescent="0.2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167</v>
      </c>
    </row>
    <row r="22" spans="1:15" x14ac:dyDescent="0.2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168</v>
      </c>
    </row>
    <row r="23" spans="1:15" x14ac:dyDescent="0.2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169</v>
      </c>
    </row>
    <row r="24" spans="1:15" x14ac:dyDescent="0.2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170</v>
      </c>
    </row>
    <row r="27" spans="1:15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171</v>
      </c>
    </row>
    <row r="28" spans="1:15" ht="15.75" x14ac:dyDescent="0.2">
      <c r="B28" s="90" t="s">
        <v>172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.25" x14ac:dyDescent="0.2">
      <c r="B30" s="123" t="s">
        <v>173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">
      <c r="B31" s="125" t="s">
        <v>174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">
      <c r="B33" s="130" t="s">
        <v>175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">
      <c r="B35" s="130" t="s">
        <v>175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">
      <c r="B37" s="130" t="s">
        <v>175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">
      <c r="B39" s="130" t="s">
        <v>175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">
      <c r="B50" s="138" t="s">
        <v>176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">
      <c r="B52" s="42" t="s">
        <v>177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">
      <c r="G53" s="46"/>
      <c r="H53" s="46"/>
      <c r="I53" s="46"/>
      <c r="J53" s="46"/>
      <c r="K53" s="46"/>
      <c r="L53" s="46"/>
      <c r="M53" s="46"/>
    </row>
    <row r="54" spans="1:1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Jesse Welsh</cp:lastModifiedBy>
  <cp:revision/>
  <cp:lastPrinted>2022-05-23T23:24:16Z</cp:lastPrinted>
  <dcterms:created xsi:type="dcterms:W3CDTF">2011-01-17T07:44:01Z</dcterms:created>
  <dcterms:modified xsi:type="dcterms:W3CDTF">2024-12-18T20:43:27Z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