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School Growth &amp; Development\Active Projects or Drafts\Nevada\Young Women's Leadership Academy (YWLA)\Amend_Enroll Reduction 4\"/>
    </mc:Choice>
  </mc:AlternateContent>
  <xr:revisionPtr revIDLastSave="0" documentId="13_ncr:1_{D3B3AB90-B582-4D94-9EE0-032216CB42AD}" xr6:coauthVersionLast="47" xr6:coauthVersionMax="47" xr10:uidLastSave="{00000000-0000-0000-0000-000000000000}"/>
  <bookViews>
    <workbookView xWindow="-28920" yWindow="-120" windowWidth="29040" windowHeight="15720" firstSheet="2" activeTab="5" xr2:uid="{4E0C5682-4931-40BF-A5E8-CF8C3E8B5572}"/>
  </bookViews>
  <sheets>
    <sheet name="24-25" sheetId="1" r:id="rId1"/>
    <sheet name="25-26" sheetId="2" r:id="rId2"/>
    <sheet name="26-27" sheetId="3" r:id="rId3"/>
    <sheet name="27-28" sheetId="4" r:id="rId4"/>
    <sheet name="28-29" sheetId="5" r:id="rId5"/>
    <sheet name="5-Year(auto-populated)" sheetId="6" r:id="rId6"/>
    <sheet name="Staff" sheetId="7" r:id="rId7"/>
  </sheets>
  <definedNames>
    <definedName name="_xlnm.Print_Area" localSheetId="0">'24-25'!$A$1:$H$222</definedName>
    <definedName name="_xlnm.Print_Area" localSheetId="1">'25-26'!$A$1:$H$222</definedName>
    <definedName name="_xlnm.Print_Area" localSheetId="2">'26-27'!$A$1:$H$222</definedName>
    <definedName name="_xlnm.Print_Area" localSheetId="3">'27-28'!$A$1:$H$222</definedName>
    <definedName name="_xlnm.Print_Area" localSheetId="4">'28-29'!$A$1:$H$222</definedName>
    <definedName name="_xlnm.Print_Area" localSheetId="5">'5-Year(auto-populated)'!$A$1:$B$222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3" i="6" l="1"/>
  <c r="J133" i="6"/>
  <c r="K133" i="6"/>
  <c r="L133" i="6"/>
  <c r="I134" i="6"/>
  <c r="J134" i="6"/>
  <c r="K134" i="6"/>
  <c r="L134" i="6"/>
  <c r="H133" i="6"/>
  <c r="H134" i="6"/>
  <c r="C3" i="7"/>
  <c r="D3" i="7"/>
  <c r="E3" i="7"/>
  <c r="F3" i="7"/>
  <c r="B3" i="7"/>
  <c r="C4" i="7"/>
  <c r="D4" i="7"/>
  <c r="E4" i="7"/>
  <c r="F4" i="7"/>
  <c r="C5" i="7"/>
  <c r="C27" i="7" s="1"/>
  <c r="D5" i="7"/>
  <c r="E5" i="7"/>
  <c r="F5" i="7"/>
  <c r="C6" i="7"/>
  <c r="D6" i="7"/>
  <c r="E6" i="7"/>
  <c r="F6" i="7"/>
  <c r="C7" i="7"/>
  <c r="D7" i="7"/>
  <c r="E7" i="7"/>
  <c r="F7" i="7"/>
  <c r="C8" i="7"/>
  <c r="D8" i="7"/>
  <c r="E8" i="7"/>
  <c r="F8" i="7"/>
  <c r="C9" i="7"/>
  <c r="D9" i="7"/>
  <c r="E9" i="7"/>
  <c r="F9" i="7"/>
  <c r="C10" i="7"/>
  <c r="D10" i="7"/>
  <c r="E10" i="7"/>
  <c r="F10" i="7"/>
  <c r="C11" i="7"/>
  <c r="D11" i="7"/>
  <c r="E11" i="7"/>
  <c r="F11" i="7"/>
  <c r="C12" i="7"/>
  <c r="D12" i="7"/>
  <c r="E12" i="7"/>
  <c r="F12" i="7"/>
  <c r="C13" i="7"/>
  <c r="D13" i="7"/>
  <c r="E13" i="7"/>
  <c r="F13" i="7"/>
  <c r="C14" i="7"/>
  <c r="D14" i="7"/>
  <c r="E14" i="7"/>
  <c r="F14" i="7"/>
  <c r="C15" i="7"/>
  <c r="D15" i="7"/>
  <c r="E15" i="7"/>
  <c r="F15" i="7"/>
  <c r="C16" i="7"/>
  <c r="D16" i="7"/>
  <c r="E16" i="7"/>
  <c r="F16" i="7"/>
  <c r="C17" i="7"/>
  <c r="D17" i="7"/>
  <c r="E17" i="7"/>
  <c r="F17" i="7"/>
  <c r="C18" i="7"/>
  <c r="D18" i="7"/>
  <c r="E18" i="7"/>
  <c r="F18" i="7"/>
  <c r="C19" i="7"/>
  <c r="D19" i="7"/>
  <c r="E19" i="7"/>
  <c r="F19" i="7"/>
  <c r="C20" i="7"/>
  <c r="D20" i="7"/>
  <c r="E20" i="7"/>
  <c r="F20" i="7"/>
  <c r="C21" i="7"/>
  <c r="D21" i="7"/>
  <c r="E21" i="7"/>
  <c r="F21" i="7"/>
  <c r="C22" i="7"/>
  <c r="D22" i="7"/>
  <c r="E22" i="7"/>
  <c r="F22" i="7"/>
  <c r="C23" i="7"/>
  <c r="D23" i="7"/>
  <c r="E23" i="7"/>
  <c r="F23" i="7"/>
  <c r="C24" i="7"/>
  <c r="D24" i="7"/>
  <c r="E24" i="7"/>
  <c r="F24" i="7"/>
  <c r="C25" i="7"/>
  <c r="D25" i="7"/>
  <c r="E25" i="7"/>
  <c r="F25" i="7"/>
  <c r="C26" i="7"/>
  <c r="D26" i="7"/>
  <c r="E26" i="7"/>
  <c r="F26" i="7"/>
  <c r="B6" i="7"/>
  <c r="B7" i="7"/>
  <c r="B8" i="7"/>
  <c r="B9" i="7"/>
  <c r="B10" i="7"/>
  <c r="B11" i="7"/>
  <c r="B12" i="7"/>
  <c r="B13" i="7"/>
  <c r="B14" i="7"/>
  <c r="B15" i="7"/>
  <c r="B16" i="7"/>
  <c r="B17" i="7"/>
  <c r="B18" i="7"/>
  <c r="B19" i="7"/>
  <c r="B20" i="7"/>
  <c r="B21" i="7"/>
  <c r="B22" i="7"/>
  <c r="B23" i="7"/>
  <c r="B24" i="7"/>
  <c r="B25" i="7"/>
  <c r="B26" i="7"/>
  <c r="B5" i="7"/>
  <c r="B27" i="7" s="1"/>
  <c r="B4" i="7"/>
  <c r="D242" i="6"/>
  <c r="E242" i="6"/>
  <c r="E257" i="6" s="1"/>
  <c r="F242" i="6"/>
  <c r="F257" i="6" s="1"/>
  <c r="D243" i="6"/>
  <c r="E243" i="6"/>
  <c r="F243" i="6"/>
  <c r="D244" i="6"/>
  <c r="E244" i="6"/>
  <c r="F244" i="6"/>
  <c r="D245" i="6"/>
  <c r="D257" i="6" s="1"/>
  <c r="E245" i="6"/>
  <c r="F245" i="6"/>
  <c r="D246" i="6"/>
  <c r="E246" i="6"/>
  <c r="F246" i="6"/>
  <c r="D247" i="6"/>
  <c r="E247" i="6"/>
  <c r="F247" i="6"/>
  <c r="D248" i="6"/>
  <c r="E248" i="6"/>
  <c r="F248" i="6"/>
  <c r="D249" i="6"/>
  <c r="E249" i="6"/>
  <c r="F249" i="6"/>
  <c r="D250" i="6"/>
  <c r="E250" i="6"/>
  <c r="F250" i="6"/>
  <c r="D251" i="6"/>
  <c r="E251" i="6"/>
  <c r="F251" i="6"/>
  <c r="D252" i="6"/>
  <c r="E252" i="6"/>
  <c r="F252" i="6"/>
  <c r="D253" i="6"/>
  <c r="E253" i="6"/>
  <c r="F253" i="6"/>
  <c r="D254" i="6"/>
  <c r="E254" i="6"/>
  <c r="F254" i="6"/>
  <c r="D255" i="6"/>
  <c r="E255" i="6"/>
  <c r="F255" i="6"/>
  <c r="B245" i="6"/>
  <c r="B244" i="6"/>
  <c r="B243" i="6"/>
  <c r="B242" i="6"/>
  <c r="B255" i="6"/>
  <c r="B254" i="6"/>
  <c r="B253" i="6"/>
  <c r="B252" i="6"/>
  <c r="B251" i="6"/>
  <c r="B250" i="6"/>
  <c r="B249" i="6"/>
  <c r="B248" i="6"/>
  <c r="B247" i="6"/>
  <c r="B246" i="6"/>
  <c r="B257" i="6"/>
  <c r="B262" i="6" s="1"/>
  <c r="F237" i="6"/>
  <c r="E237" i="6"/>
  <c r="D237" i="6"/>
  <c r="B237" i="6"/>
  <c r="B238" i="6" s="1"/>
  <c r="F231" i="6"/>
  <c r="E231" i="6"/>
  <c r="D231" i="6"/>
  <c r="F229" i="6"/>
  <c r="E229" i="6"/>
  <c r="D229" i="6"/>
  <c r="C229" i="6"/>
  <c r="B229" i="6"/>
  <c r="A229" i="6"/>
  <c r="F228" i="6"/>
  <c r="E228" i="6"/>
  <c r="D228" i="6"/>
  <c r="C228" i="6"/>
  <c r="B228" i="6"/>
  <c r="A228" i="6"/>
  <c r="F227" i="6"/>
  <c r="E227" i="6"/>
  <c r="D227" i="6"/>
  <c r="C227" i="6"/>
  <c r="C231" i="6" s="1"/>
  <c r="B227" i="6"/>
  <c r="B231" i="6" s="1"/>
  <c r="B232" i="6" s="1"/>
  <c r="A227" i="6"/>
  <c r="F225" i="6"/>
  <c r="F232" i="6" s="1"/>
  <c r="E225" i="6"/>
  <c r="E232" i="6" s="1"/>
  <c r="D225" i="6"/>
  <c r="D232" i="6" s="1"/>
  <c r="B225" i="6"/>
  <c r="F27" i="7" l="1"/>
  <c r="D27" i="7"/>
  <c r="E27" i="7"/>
  <c r="B239" i="6"/>
  <c r="C235" i="6"/>
  <c r="D129" i="5" l="1"/>
  <c r="B118" i="5"/>
  <c r="B116" i="5"/>
  <c r="C115" i="5"/>
  <c r="B114" i="5"/>
  <c r="C107" i="5"/>
  <c r="D107" i="5"/>
  <c r="E107" i="5"/>
  <c r="F107" i="5"/>
  <c r="G107" i="5"/>
  <c r="C108" i="5"/>
  <c r="D108" i="5"/>
  <c r="E108" i="5"/>
  <c r="F108" i="5"/>
  <c r="G108" i="5"/>
  <c r="C109" i="5"/>
  <c r="D109" i="5"/>
  <c r="E109" i="5"/>
  <c r="F109" i="5"/>
  <c r="G109" i="5"/>
  <c r="C110" i="5"/>
  <c r="D110" i="5"/>
  <c r="E110" i="5"/>
  <c r="F110" i="5"/>
  <c r="G110" i="5"/>
  <c r="C111" i="5"/>
  <c r="D111" i="5"/>
  <c r="E111" i="5"/>
  <c r="F111" i="5"/>
  <c r="G111" i="5"/>
  <c r="C112" i="5"/>
  <c r="D112" i="5"/>
  <c r="E112" i="5"/>
  <c r="F112" i="5"/>
  <c r="G112" i="5"/>
  <c r="C113" i="5"/>
  <c r="D113" i="5"/>
  <c r="E113" i="5"/>
  <c r="F113" i="5"/>
  <c r="G113" i="5"/>
  <c r="B108" i="5"/>
  <c r="B109" i="5"/>
  <c r="B110" i="5"/>
  <c r="B111" i="5"/>
  <c r="B112" i="5"/>
  <c r="B113" i="5"/>
  <c r="B107" i="5"/>
  <c r="H2" i="6"/>
  <c r="K2" i="6"/>
  <c r="J2" i="6"/>
  <c r="I2" i="6"/>
  <c r="B2" i="5" l="1"/>
  <c r="B2" i="4"/>
  <c r="B2" i="3"/>
  <c r="B2" i="2"/>
  <c r="B160" i="5"/>
  <c r="B160" i="4"/>
  <c r="B160" i="3"/>
  <c r="B160" i="2"/>
  <c r="B213" i="5"/>
  <c r="B213" i="4"/>
  <c r="B213" i="3"/>
  <c r="B213" i="2"/>
  <c r="B204" i="5"/>
  <c r="B203" i="5"/>
  <c r="B202" i="5"/>
  <c r="B201" i="5"/>
  <c r="B200" i="5"/>
  <c r="B199" i="5"/>
  <c r="B181" i="5"/>
  <c r="B180" i="5"/>
  <c r="B179" i="5"/>
  <c r="B177" i="5"/>
  <c r="B176" i="5"/>
  <c r="B173" i="5"/>
  <c r="B172" i="5"/>
  <c r="B162" i="5"/>
  <c r="B214" i="6"/>
  <c r="C214" i="6"/>
  <c r="D214" i="6"/>
  <c r="E214" i="6"/>
  <c r="F214" i="6"/>
  <c r="B215" i="6"/>
  <c r="C215" i="6"/>
  <c r="D215" i="6"/>
  <c r="E215" i="6"/>
  <c r="F215" i="6"/>
  <c r="B216" i="6"/>
  <c r="C216" i="6"/>
  <c r="D216" i="6"/>
  <c r="E216" i="6"/>
  <c r="F216" i="6"/>
  <c r="B213" i="6"/>
  <c r="B200" i="6"/>
  <c r="C200" i="6"/>
  <c r="D200" i="6"/>
  <c r="E200" i="6"/>
  <c r="B201" i="6"/>
  <c r="C201" i="6"/>
  <c r="D201" i="6"/>
  <c r="E201" i="6"/>
  <c r="B202" i="6"/>
  <c r="C202" i="6"/>
  <c r="D202" i="6"/>
  <c r="E202" i="6"/>
  <c r="B203" i="6"/>
  <c r="C203" i="6"/>
  <c r="D203" i="6"/>
  <c r="E203" i="6"/>
  <c r="B204" i="6"/>
  <c r="C204" i="6"/>
  <c r="D204" i="6"/>
  <c r="E204" i="6"/>
  <c r="E209" i="6" s="1"/>
  <c r="B205" i="6"/>
  <c r="C205" i="6"/>
  <c r="D205" i="6"/>
  <c r="E205" i="6"/>
  <c r="F205" i="6"/>
  <c r="B206" i="6"/>
  <c r="C206" i="6"/>
  <c r="D206" i="6"/>
  <c r="E206" i="6"/>
  <c r="F206" i="6"/>
  <c r="B207" i="6"/>
  <c r="C207" i="6"/>
  <c r="D207" i="6"/>
  <c r="E207" i="6"/>
  <c r="F207" i="6"/>
  <c r="B208" i="6"/>
  <c r="C208" i="6"/>
  <c r="D208" i="6"/>
  <c r="E208" i="6"/>
  <c r="F208" i="6"/>
  <c r="E199" i="6"/>
  <c r="D199" i="6"/>
  <c r="C199" i="6"/>
  <c r="B199" i="6"/>
  <c r="B173" i="6"/>
  <c r="C173" i="6"/>
  <c r="D173" i="6"/>
  <c r="E173" i="6"/>
  <c r="B174" i="6"/>
  <c r="C174" i="6"/>
  <c r="D174" i="6"/>
  <c r="E174" i="6"/>
  <c r="F174" i="6"/>
  <c r="B175" i="6"/>
  <c r="C175" i="6"/>
  <c r="D175" i="6"/>
  <c r="E175" i="6"/>
  <c r="F175" i="6"/>
  <c r="B176" i="6"/>
  <c r="C176" i="6"/>
  <c r="D176" i="6"/>
  <c r="E176" i="6"/>
  <c r="B177" i="6"/>
  <c r="C177" i="6"/>
  <c r="D177" i="6"/>
  <c r="E177" i="6"/>
  <c r="B178" i="6"/>
  <c r="C178" i="6"/>
  <c r="D178" i="6"/>
  <c r="E178" i="6"/>
  <c r="F178" i="6"/>
  <c r="B179" i="6"/>
  <c r="C179" i="6"/>
  <c r="D179" i="6"/>
  <c r="E179" i="6"/>
  <c r="B180" i="6"/>
  <c r="C180" i="6"/>
  <c r="D180" i="6"/>
  <c r="E180" i="6"/>
  <c r="B181" i="6"/>
  <c r="C181" i="6"/>
  <c r="D181" i="6"/>
  <c r="E181" i="6"/>
  <c r="B182" i="6"/>
  <c r="C182" i="6"/>
  <c r="D182" i="6"/>
  <c r="E182" i="6"/>
  <c r="F182" i="6"/>
  <c r="B183" i="6"/>
  <c r="C183" i="6"/>
  <c r="D183" i="6"/>
  <c r="E183" i="6"/>
  <c r="F183" i="6"/>
  <c r="B184" i="6"/>
  <c r="C184" i="6"/>
  <c r="D184" i="6"/>
  <c r="E184" i="6"/>
  <c r="F184" i="6"/>
  <c r="B185" i="6"/>
  <c r="C185" i="6"/>
  <c r="D185" i="6"/>
  <c r="E185" i="6"/>
  <c r="F185" i="6"/>
  <c r="B186" i="6"/>
  <c r="C186" i="6"/>
  <c r="D186" i="6"/>
  <c r="E186" i="6"/>
  <c r="F186" i="6"/>
  <c r="B187" i="6"/>
  <c r="C187" i="6"/>
  <c r="D187" i="6"/>
  <c r="E187" i="6"/>
  <c r="F187" i="6"/>
  <c r="B188" i="6"/>
  <c r="C188" i="6"/>
  <c r="D188" i="6"/>
  <c r="E188" i="6"/>
  <c r="F188" i="6"/>
  <c r="B189" i="6"/>
  <c r="C189" i="6"/>
  <c r="D189" i="6"/>
  <c r="E189" i="6"/>
  <c r="F189" i="6"/>
  <c r="B190" i="6"/>
  <c r="C190" i="6"/>
  <c r="D190" i="6"/>
  <c r="E190" i="6"/>
  <c r="F190" i="6"/>
  <c r="B191" i="6"/>
  <c r="C191" i="6"/>
  <c r="D191" i="6"/>
  <c r="E191" i="6"/>
  <c r="F191" i="6"/>
  <c r="B192" i="6"/>
  <c r="C192" i="6"/>
  <c r="D192" i="6"/>
  <c r="E192" i="6"/>
  <c r="F192" i="6"/>
  <c r="B193" i="6"/>
  <c r="C193" i="6"/>
  <c r="D193" i="6"/>
  <c r="E193" i="6"/>
  <c r="F193" i="6"/>
  <c r="B194" i="6"/>
  <c r="C194" i="6"/>
  <c r="D194" i="6"/>
  <c r="E194" i="6"/>
  <c r="F194" i="6"/>
  <c r="B195" i="6"/>
  <c r="C195" i="6"/>
  <c r="D195" i="6"/>
  <c r="E195" i="6"/>
  <c r="F195" i="6"/>
  <c r="B196" i="6"/>
  <c r="E172" i="6"/>
  <c r="D172" i="6"/>
  <c r="C172" i="6"/>
  <c r="B172" i="6"/>
  <c r="B157" i="6"/>
  <c r="C157" i="6"/>
  <c r="D157" i="6"/>
  <c r="E157" i="6"/>
  <c r="F157" i="6"/>
  <c r="B158" i="6"/>
  <c r="C158" i="6"/>
  <c r="D158" i="6"/>
  <c r="E158" i="6"/>
  <c r="F158" i="6"/>
  <c r="B159" i="6"/>
  <c r="C159" i="6"/>
  <c r="D159" i="6"/>
  <c r="E159" i="6"/>
  <c r="F159" i="6"/>
  <c r="B160" i="6"/>
  <c r="B161" i="6"/>
  <c r="C161" i="6"/>
  <c r="D161" i="6"/>
  <c r="E161" i="6"/>
  <c r="F161" i="6"/>
  <c r="B162" i="6"/>
  <c r="C162" i="6"/>
  <c r="D162" i="6"/>
  <c r="E162" i="6"/>
  <c r="B163" i="6"/>
  <c r="D163" i="6"/>
  <c r="E163" i="6"/>
  <c r="F163" i="6"/>
  <c r="B164" i="6"/>
  <c r="C164" i="6"/>
  <c r="D164" i="6"/>
  <c r="E164" i="6"/>
  <c r="F164" i="6"/>
  <c r="B165" i="6"/>
  <c r="C165" i="6"/>
  <c r="D165" i="6"/>
  <c r="E165" i="6"/>
  <c r="F165" i="6"/>
  <c r="B166" i="6"/>
  <c r="B167" i="6"/>
  <c r="C167" i="6"/>
  <c r="D167" i="6"/>
  <c r="E167" i="6"/>
  <c r="F167" i="6"/>
  <c r="B168" i="6"/>
  <c r="C168" i="6"/>
  <c r="D168" i="6"/>
  <c r="E168" i="6"/>
  <c r="F168" i="6"/>
  <c r="B169" i="6"/>
  <c r="F156" i="6"/>
  <c r="E156" i="6"/>
  <c r="D156" i="6"/>
  <c r="C156" i="6"/>
  <c r="B156" i="6"/>
  <c r="B145" i="6"/>
  <c r="C145" i="6"/>
  <c r="D145" i="6"/>
  <c r="E145" i="6"/>
  <c r="F145" i="6"/>
  <c r="B146" i="6"/>
  <c r="C146" i="6"/>
  <c r="D146" i="6"/>
  <c r="E146" i="6"/>
  <c r="F146" i="6"/>
  <c r="B147" i="6"/>
  <c r="C147" i="6"/>
  <c r="D147" i="6"/>
  <c r="E147" i="6"/>
  <c r="F147" i="6"/>
  <c r="B148" i="6"/>
  <c r="C148" i="6"/>
  <c r="D148" i="6"/>
  <c r="E148" i="6"/>
  <c r="F148" i="6"/>
  <c r="B149" i="6"/>
  <c r="C149" i="6"/>
  <c r="D149" i="6"/>
  <c r="E149" i="6"/>
  <c r="F149" i="6"/>
  <c r="B150" i="6"/>
  <c r="C150" i="6"/>
  <c r="D150" i="6"/>
  <c r="E150" i="6"/>
  <c r="F150" i="6"/>
  <c r="B151" i="6"/>
  <c r="C151" i="6"/>
  <c r="D151" i="6"/>
  <c r="E151" i="6"/>
  <c r="F151" i="6"/>
  <c r="B152" i="6"/>
  <c r="C152" i="6"/>
  <c r="D152" i="6"/>
  <c r="E152" i="6"/>
  <c r="F152" i="6"/>
  <c r="B153" i="6"/>
  <c r="C153" i="6"/>
  <c r="D153" i="6"/>
  <c r="E153" i="6"/>
  <c r="F153" i="6"/>
  <c r="F144" i="6"/>
  <c r="E144" i="6"/>
  <c r="D144" i="6"/>
  <c r="C144" i="6"/>
  <c r="B144" i="6"/>
  <c r="B134" i="6"/>
  <c r="C134" i="6"/>
  <c r="D134" i="6"/>
  <c r="E134" i="6"/>
  <c r="B135" i="6"/>
  <c r="C135" i="6"/>
  <c r="D135" i="6"/>
  <c r="E135" i="6"/>
  <c r="F135" i="6"/>
  <c r="B136" i="6"/>
  <c r="C136" i="6"/>
  <c r="D136" i="6"/>
  <c r="E136" i="6"/>
  <c r="F136" i="6"/>
  <c r="B137" i="6"/>
  <c r="C137" i="6"/>
  <c r="D137" i="6"/>
  <c r="E137" i="6"/>
  <c r="F137" i="6"/>
  <c r="B138" i="6"/>
  <c r="C138" i="6"/>
  <c r="D138" i="6"/>
  <c r="E138" i="6"/>
  <c r="F138" i="6"/>
  <c r="B139" i="6"/>
  <c r="C139" i="6"/>
  <c r="D139" i="6"/>
  <c r="E139" i="6"/>
  <c r="F139" i="6"/>
  <c r="B140" i="6"/>
  <c r="C140" i="6"/>
  <c r="D140" i="6"/>
  <c r="E140" i="6"/>
  <c r="F140" i="6"/>
  <c r="E133" i="6"/>
  <c r="D133" i="6"/>
  <c r="C133" i="6"/>
  <c r="B133" i="6"/>
  <c r="B124" i="6"/>
  <c r="C124" i="6"/>
  <c r="D124" i="6"/>
  <c r="E124" i="6"/>
  <c r="F124" i="6"/>
  <c r="B125" i="6"/>
  <c r="C125" i="6"/>
  <c r="D125" i="6"/>
  <c r="E125" i="6"/>
  <c r="F125" i="6"/>
  <c r="B126" i="6"/>
  <c r="C126" i="6"/>
  <c r="C131" i="6" s="1"/>
  <c r="D126" i="6"/>
  <c r="E126" i="6"/>
  <c r="F126" i="6"/>
  <c r="B127" i="6"/>
  <c r="C127" i="6"/>
  <c r="D127" i="6"/>
  <c r="E127" i="6"/>
  <c r="F127" i="6"/>
  <c r="B128" i="6"/>
  <c r="C128" i="6"/>
  <c r="D128" i="6"/>
  <c r="E128" i="6"/>
  <c r="E131" i="6" s="1"/>
  <c r="F128" i="6"/>
  <c r="B129" i="6"/>
  <c r="C129" i="6"/>
  <c r="D129" i="6"/>
  <c r="E129" i="6"/>
  <c r="B130" i="6"/>
  <c r="C130" i="6"/>
  <c r="D130" i="6"/>
  <c r="E130" i="6"/>
  <c r="F130" i="6"/>
  <c r="F123" i="6"/>
  <c r="E123" i="6"/>
  <c r="D123" i="6"/>
  <c r="C123" i="6"/>
  <c r="B123" i="6"/>
  <c r="B108" i="6"/>
  <c r="C108" i="6"/>
  <c r="D108" i="6"/>
  <c r="E108" i="6"/>
  <c r="B109" i="6"/>
  <c r="C109" i="6"/>
  <c r="D109" i="6"/>
  <c r="E109" i="6"/>
  <c r="B110" i="6"/>
  <c r="C110" i="6"/>
  <c r="D110" i="6"/>
  <c r="E110" i="6"/>
  <c r="B111" i="6"/>
  <c r="C111" i="6"/>
  <c r="D111" i="6"/>
  <c r="E111" i="6"/>
  <c r="B112" i="6"/>
  <c r="C112" i="6"/>
  <c r="D112" i="6"/>
  <c r="E112" i="6"/>
  <c r="B113" i="6"/>
  <c r="C113" i="6"/>
  <c r="D113" i="6"/>
  <c r="E113" i="6"/>
  <c r="B114" i="6"/>
  <c r="C114" i="6"/>
  <c r="D114" i="6"/>
  <c r="E114" i="6"/>
  <c r="B115" i="6"/>
  <c r="C115" i="6"/>
  <c r="D115" i="6"/>
  <c r="E115" i="6"/>
  <c r="B116" i="6"/>
  <c r="C116" i="6"/>
  <c r="D116" i="6"/>
  <c r="E116" i="6"/>
  <c r="B117" i="6"/>
  <c r="C117" i="6"/>
  <c r="D117" i="6"/>
  <c r="E117" i="6"/>
  <c r="F117" i="6"/>
  <c r="B118" i="6"/>
  <c r="C118" i="6"/>
  <c r="D118" i="6"/>
  <c r="E118" i="6"/>
  <c r="B119" i="6"/>
  <c r="C119" i="6"/>
  <c r="D119" i="6"/>
  <c r="E119" i="6"/>
  <c r="F119" i="6"/>
  <c r="B120" i="6"/>
  <c r="C120" i="6"/>
  <c r="D120" i="6"/>
  <c r="E120" i="6"/>
  <c r="F120" i="6"/>
  <c r="E107" i="6"/>
  <c r="D107" i="6"/>
  <c r="C107" i="6"/>
  <c r="B107" i="6"/>
  <c r="B100" i="6"/>
  <c r="C100" i="6"/>
  <c r="D100" i="6"/>
  <c r="E100" i="6"/>
  <c r="F100" i="6"/>
  <c r="B101" i="6"/>
  <c r="C101" i="6"/>
  <c r="D101" i="6"/>
  <c r="E101" i="6"/>
  <c r="E103" i="6" s="1"/>
  <c r="F101" i="6"/>
  <c r="F103" i="6" s="1"/>
  <c r="B102" i="6"/>
  <c r="C102" i="6"/>
  <c r="D102" i="6"/>
  <c r="E102" i="6"/>
  <c r="F102" i="6"/>
  <c r="F99" i="6"/>
  <c r="E99" i="6"/>
  <c r="D99" i="6"/>
  <c r="C99" i="6"/>
  <c r="C103" i="6" s="1"/>
  <c r="B99" i="6"/>
  <c r="B93" i="6"/>
  <c r="C93" i="6"/>
  <c r="D93" i="6"/>
  <c r="E93" i="6"/>
  <c r="F93" i="6"/>
  <c r="B94" i="6"/>
  <c r="F94" i="6"/>
  <c r="B95" i="6"/>
  <c r="C95" i="6"/>
  <c r="D95" i="6"/>
  <c r="E95" i="6"/>
  <c r="F95" i="6"/>
  <c r="F92" i="6"/>
  <c r="E92" i="6"/>
  <c r="D92" i="6"/>
  <c r="C92" i="6"/>
  <c r="B92" i="6"/>
  <c r="B83" i="6"/>
  <c r="C83" i="6"/>
  <c r="D83" i="6"/>
  <c r="E83" i="6"/>
  <c r="F83" i="6"/>
  <c r="B84" i="6"/>
  <c r="C84" i="6"/>
  <c r="D84" i="6"/>
  <c r="E84" i="6"/>
  <c r="F84" i="6"/>
  <c r="F90" i="6" s="1"/>
  <c r="B85" i="6"/>
  <c r="C85" i="6"/>
  <c r="D85" i="6"/>
  <c r="E85" i="6"/>
  <c r="F85" i="6"/>
  <c r="B86" i="6"/>
  <c r="C86" i="6"/>
  <c r="D86" i="6"/>
  <c r="E86" i="6"/>
  <c r="F86" i="6"/>
  <c r="B87" i="6"/>
  <c r="C87" i="6"/>
  <c r="D87" i="6"/>
  <c r="E87" i="6"/>
  <c r="F87" i="6"/>
  <c r="B88" i="6"/>
  <c r="C88" i="6"/>
  <c r="D88" i="6"/>
  <c r="E88" i="6"/>
  <c r="F88" i="6"/>
  <c r="B89" i="6"/>
  <c r="C89" i="6"/>
  <c r="D89" i="6"/>
  <c r="E89" i="6"/>
  <c r="F89" i="6"/>
  <c r="F82" i="6"/>
  <c r="E82" i="6"/>
  <c r="D82" i="6"/>
  <c r="C82" i="6"/>
  <c r="B82" i="6"/>
  <c r="B75" i="6"/>
  <c r="C75" i="6"/>
  <c r="D75" i="6"/>
  <c r="E75" i="6"/>
  <c r="F75" i="6"/>
  <c r="B76" i="6"/>
  <c r="C76" i="6"/>
  <c r="D76" i="6"/>
  <c r="E76" i="6"/>
  <c r="F76" i="6"/>
  <c r="B77" i="6"/>
  <c r="C77" i="6"/>
  <c r="D77" i="6"/>
  <c r="E77" i="6"/>
  <c r="F77" i="6"/>
  <c r="B78" i="6"/>
  <c r="C78" i="6"/>
  <c r="D78" i="6"/>
  <c r="E78" i="6"/>
  <c r="F78" i="6"/>
  <c r="B79" i="6"/>
  <c r="C79" i="6"/>
  <c r="D79" i="6"/>
  <c r="E79" i="6"/>
  <c r="F79" i="6"/>
  <c r="B74" i="6"/>
  <c r="B40" i="6"/>
  <c r="C40" i="6"/>
  <c r="D40" i="6"/>
  <c r="E40" i="6"/>
  <c r="F40" i="6"/>
  <c r="B41" i="6"/>
  <c r="C41" i="6"/>
  <c r="D41" i="6"/>
  <c r="D61" i="6" s="1"/>
  <c r="D64" i="6" s="1"/>
  <c r="E41" i="6"/>
  <c r="F41" i="6"/>
  <c r="B42" i="6"/>
  <c r="C42" i="6"/>
  <c r="D42" i="6"/>
  <c r="E42" i="6"/>
  <c r="F42" i="6"/>
  <c r="B43" i="6"/>
  <c r="C43" i="6"/>
  <c r="D43" i="6"/>
  <c r="E43" i="6"/>
  <c r="F43" i="6"/>
  <c r="B44" i="6"/>
  <c r="C44" i="6"/>
  <c r="D44" i="6"/>
  <c r="E44" i="6"/>
  <c r="F44" i="6"/>
  <c r="B45" i="6"/>
  <c r="C45" i="6"/>
  <c r="D45" i="6"/>
  <c r="E45" i="6"/>
  <c r="F45" i="6"/>
  <c r="B46" i="6"/>
  <c r="C46" i="6"/>
  <c r="D46" i="6"/>
  <c r="E46" i="6"/>
  <c r="F46" i="6"/>
  <c r="B47" i="6"/>
  <c r="C47" i="6"/>
  <c r="D47" i="6"/>
  <c r="E47" i="6"/>
  <c r="F47" i="6"/>
  <c r="B48" i="6"/>
  <c r="C48" i="6"/>
  <c r="D48" i="6"/>
  <c r="E48" i="6"/>
  <c r="F48" i="6"/>
  <c r="B49" i="6"/>
  <c r="C49" i="6"/>
  <c r="D49" i="6"/>
  <c r="E49" i="6"/>
  <c r="F49" i="6"/>
  <c r="B50" i="6"/>
  <c r="C50" i="6"/>
  <c r="D50" i="6"/>
  <c r="E50" i="6"/>
  <c r="F50" i="6"/>
  <c r="B51" i="6"/>
  <c r="C51" i="6"/>
  <c r="D51" i="6"/>
  <c r="E51" i="6"/>
  <c r="F51" i="6"/>
  <c r="B52" i="6"/>
  <c r="C52" i="6"/>
  <c r="D52" i="6"/>
  <c r="E52" i="6"/>
  <c r="F52" i="6"/>
  <c r="B53" i="6"/>
  <c r="C53" i="6"/>
  <c r="D53" i="6"/>
  <c r="E53" i="6"/>
  <c r="F53" i="6"/>
  <c r="B54" i="6"/>
  <c r="C54" i="6"/>
  <c r="D54" i="6"/>
  <c r="E54" i="6"/>
  <c r="F54" i="6"/>
  <c r="B55" i="6"/>
  <c r="C55" i="6"/>
  <c r="D55" i="6"/>
  <c r="E55" i="6"/>
  <c r="F55" i="6"/>
  <c r="B56" i="6"/>
  <c r="C56" i="6"/>
  <c r="D56" i="6"/>
  <c r="E56" i="6"/>
  <c r="F56" i="6"/>
  <c r="B57" i="6"/>
  <c r="C57" i="6"/>
  <c r="D57" i="6"/>
  <c r="E57" i="6"/>
  <c r="F57" i="6"/>
  <c r="B58" i="6"/>
  <c r="C58" i="6"/>
  <c r="D58" i="6"/>
  <c r="E58" i="6"/>
  <c r="F58" i="6"/>
  <c r="B59" i="6"/>
  <c r="C59" i="6"/>
  <c r="D59" i="6"/>
  <c r="E59" i="6"/>
  <c r="F59" i="6"/>
  <c r="B60" i="6"/>
  <c r="C60" i="6"/>
  <c r="D60" i="6"/>
  <c r="E60" i="6"/>
  <c r="F60" i="6"/>
  <c r="F39" i="6"/>
  <c r="F61" i="6" s="1"/>
  <c r="F64" i="6" s="1"/>
  <c r="E39" i="6"/>
  <c r="D39" i="6"/>
  <c r="C39" i="6"/>
  <c r="B39" i="6"/>
  <c r="B28" i="6"/>
  <c r="C28" i="6"/>
  <c r="D28" i="6"/>
  <c r="E28" i="6"/>
  <c r="F28" i="6"/>
  <c r="B29" i="6"/>
  <c r="C29" i="6"/>
  <c r="D29" i="6"/>
  <c r="E29" i="6"/>
  <c r="F29" i="6"/>
  <c r="B30" i="6"/>
  <c r="C30" i="6"/>
  <c r="D30" i="6"/>
  <c r="E30" i="6"/>
  <c r="F30" i="6"/>
  <c r="B31" i="6"/>
  <c r="C31" i="6"/>
  <c r="D31" i="6"/>
  <c r="D36" i="6" s="1"/>
  <c r="D63" i="6" s="1"/>
  <c r="E31" i="6"/>
  <c r="F31" i="6"/>
  <c r="B32" i="6"/>
  <c r="C32" i="6"/>
  <c r="D32" i="6"/>
  <c r="E32" i="6"/>
  <c r="F32" i="6"/>
  <c r="B33" i="6"/>
  <c r="C33" i="6"/>
  <c r="D33" i="6"/>
  <c r="E33" i="6"/>
  <c r="F33" i="6"/>
  <c r="B34" i="6"/>
  <c r="C34" i="6"/>
  <c r="D34" i="6"/>
  <c r="E34" i="6"/>
  <c r="F34" i="6"/>
  <c r="B35" i="6"/>
  <c r="C35" i="6"/>
  <c r="D35" i="6"/>
  <c r="E35" i="6"/>
  <c r="F35" i="6"/>
  <c r="F27" i="6"/>
  <c r="E27" i="6"/>
  <c r="E36" i="6" s="1"/>
  <c r="E63" i="6" s="1"/>
  <c r="D27" i="6"/>
  <c r="C27" i="6"/>
  <c r="B27" i="6"/>
  <c r="B21" i="6"/>
  <c r="C21" i="6"/>
  <c r="D21" i="6"/>
  <c r="E21" i="6"/>
  <c r="F21" i="6"/>
  <c r="B22" i="6"/>
  <c r="C22" i="6"/>
  <c r="D22" i="6"/>
  <c r="E22" i="6"/>
  <c r="F22" i="6"/>
  <c r="B23" i="6"/>
  <c r="C23" i="6"/>
  <c r="D23" i="6"/>
  <c r="E23" i="6"/>
  <c r="F23" i="6"/>
  <c r="B24" i="6"/>
  <c r="C24" i="6"/>
  <c r="D24" i="6"/>
  <c r="E24" i="6"/>
  <c r="F24" i="6"/>
  <c r="F20" i="6"/>
  <c r="E20" i="6"/>
  <c r="D20" i="6"/>
  <c r="C20" i="6"/>
  <c r="B20" i="6"/>
  <c r="B5" i="6"/>
  <c r="C5" i="6"/>
  <c r="D5" i="6"/>
  <c r="E5" i="6"/>
  <c r="E3" i="6" s="1"/>
  <c r="F5" i="6"/>
  <c r="B6" i="6"/>
  <c r="C6" i="6"/>
  <c r="D6" i="6"/>
  <c r="E6" i="6"/>
  <c r="F6" i="6"/>
  <c r="B7" i="6"/>
  <c r="C7" i="6"/>
  <c r="D7" i="6"/>
  <c r="E7" i="6"/>
  <c r="F7" i="6"/>
  <c r="B8" i="6"/>
  <c r="C8" i="6"/>
  <c r="D8" i="6"/>
  <c r="E8" i="6"/>
  <c r="F8" i="6"/>
  <c r="B9" i="6"/>
  <c r="C9" i="6"/>
  <c r="D9" i="6"/>
  <c r="E9" i="6"/>
  <c r="F9" i="6"/>
  <c r="B10" i="6"/>
  <c r="C10" i="6"/>
  <c r="D10" i="6"/>
  <c r="E10" i="6"/>
  <c r="F10" i="6"/>
  <c r="B11" i="6"/>
  <c r="C11" i="6"/>
  <c r="D11" i="6"/>
  <c r="E11" i="6"/>
  <c r="F11" i="6"/>
  <c r="B12" i="6"/>
  <c r="C12" i="6"/>
  <c r="D12" i="6"/>
  <c r="E12" i="6"/>
  <c r="F12" i="6"/>
  <c r="B13" i="6"/>
  <c r="C13" i="6"/>
  <c r="D13" i="6"/>
  <c r="E13" i="6"/>
  <c r="F13" i="6"/>
  <c r="B14" i="6"/>
  <c r="C14" i="6"/>
  <c r="D14" i="6"/>
  <c r="E14" i="6"/>
  <c r="F14" i="6"/>
  <c r="B15" i="6"/>
  <c r="C15" i="6"/>
  <c r="D15" i="6"/>
  <c r="E15" i="6"/>
  <c r="F15" i="6"/>
  <c r="B16" i="6"/>
  <c r="C16" i="6"/>
  <c r="D16" i="6"/>
  <c r="E16" i="6"/>
  <c r="F16" i="6"/>
  <c r="F4" i="6"/>
  <c r="E4" i="6"/>
  <c r="D4" i="6"/>
  <c r="D3" i="6" s="1"/>
  <c r="C4" i="6"/>
  <c r="B4" i="6"/>
  <c r="B2" i="6"/>
  <c r="C19" i="6"/>
  <c r="D19" i="6"/>
  <c r="E19" i="6"/>
  <c r="F19" i="6"/>
  <c r="C26" i="6"/>
  <c r="D26" i="6"/>
  <c r="E26" i="6"/>
  <c r="F26" i="6"/>
  <c r="F36" i="6"/>
  <c r="F63" i="6" s="1"/>
  <c r="C38" i="6"/>
  <c r="D38" i="6"/>
  <c r="E38" i="6"/>
  <c r="F38" i="6"/>
  <c r="C72" i="6"/>
  <c r="D72" i="6"/>
  <c r="E72" i="6"/>
  <c r="F72" i="6"/>
  <c r="E90" i="6"/>
  <c r="D103" i="6"/>
  <c r="C105" i="6"/>
  <c r="D105" i="6"/>
  <c r="E105" i="6"/>
  <c r="F105" i="6"/>
  <c r="C143" i="6"/>
  <c r="D143" i="6"/>
  <c r="E143" i="6"/>
  <c r="F143" i="6"/>
  <c r="C155" i="6"/>
  <c r="D155" i="6"/>
  <c r="E155" i="6"/>
  <c r="F155" i="6"/>
  <c r="C171" i="6"/>
  <c r="D171" i="6"/>
  <c r="E171" i="6"/>
  <c r="F171" i="6"/>
  <c r="C198" i="6"/>
  <c r="D198" i="6"/>
  <c r="E198" i="6"/>
  <c r="F198" i="6"/>
  <c r="C209" i="6"/>
  <c r="C222" i="6"/>
  <c r="D222" i="6"/>
  <c r="E222" i="6"/>
  <c r="F222" i="6"/>
  <c r="D131" i="6" l="1"/>
  <c r="F96" i="6"/>
  <c r="C90" i="6"/>
  <c r="D90" i="6"/>
  <c r="E61" i="6"/>
  <c r="E64" i="6" s="1"/>
  <c r="E65" i="6" s="1"/>
  <c r="C61" i="6"/>
  <c r="C64" i="6" s="1"/>
  <c r="F65" i="6"/>
  <c r="C36" i="6"/>
  <c r="C63" i="6"/>
  <c r="C65" i="6" s="1"/>
  <c r="F17" i="6"/>
  <c r="C3" i="6"/>
  <c r="F3" i="6"/>
  <c r="E17" i="6"/>
  <c r="D17" i="6"/>
  <c r="C17" i="6"/>
  <c r="E121" i="6"/>
  <c r="E132" i="6" s="1"/>
  <c r="D121" i="6"/>
  <c r="C121" i="6"/>
  <c r="C132" i="6" s="1"/>
  <c r="D209" i="6"/>
  <c r="D65" i="6"/>
  <c r="B222" i="6"/>
  <c r="A222" i="6"/>
  <c r="B198" i="6"/>
  <c r="B171" i="6"/>
  <c r="B155" i="6"/>
  <c r="B143" i="6"/>
  <c r="B131" i="6"/>
  <c r="B105" i="6"/>
  <c r="B103" i="6"/>
  <c r="B96" i="6"/>
  <c r="B90" i="6"/>
  <c r="B72" i="6"/>
  <c r="B61" i="6"/>
  <c r="B64" i="6" s="1"/>
  <c r="B38" i="6"/>
  <c r="B36" i="6"/>
  <c r="B26" i="6"/>
  <c r="B19" i="6"/>
  <c r="B17" i="6"/>
  <c r="B3" i="6"/>
  <c r="B21" i="2"/>
  <c r="B21" i="3" s="1"/>
  <c r="B21" i="4" s="1"/>
  <c r="B21" i="5" s="1"/>
  <c r="H21" i="5" s="1"/>
  <c r="M21" i="5" s="1"/>
  <c r="C20" i="2"/>
  <c r="C20" i="3"/>
  <c r="C20" i="4" s="1"/>
  <c r="C20" i="5" s="1"/>
  <c r="C82" i="5" s="1"/>
  <c r="B77" i="5"/>
  <c r="H238" i="5"/>
  <c r="H229" i="5"/>
  <c r="A229" i="5"/>
  <c r="A228" i="5"/>
  <c r="A227" i="5"/>
  <c r="M222" i="5"/>
  <c r="H222" i="5"/>
  <c r="G222" i="5"/>
  <c r="F222" i="5"/>
  <c r="E222" i="5"/>
  <c r="D222" i="5"/>
  <c r="C222" i="5"/>
  <c r="B222" i="5"/>
  <c r="A222" i="5"/>
  <c r="M218" i="5"/>
  <c r="H218" i="5"/>
  <c r="M217" i="5"/>
  <c r="H217" i="5"/>
  <c r="H216" i="5"/>
  <c r="M216" i="5" s="1"/>
  <c r="M215" i="5"/>
  <c r="H215" i="5"/>
  <c r="H214" i="5"/>
  <c r="H228" i="5" s="1"/>
  <c r="M212" i="5"/>
  <c r="G209" i="5"/>
  <c r="F209" i="5"/>
  <c r="E209" i="5"/>
  <c r="D209" i="5"/>
  <c r="C209" i="5"/>
  <c r="B208" i="5"/>
  <c r="H208" i="5" s="1"/>
  <c r="M208" i="5" s="1"/>
  <c r="M207" i="5"/>
  <c r="H207" i="5"/>
  <c r="H206" i="5"/>
  <c r="M206" i="5" s="1"/>
  <c r="H205" i="5"/>
  <c r="M205" i="5" s="1"/>
  <c r="B205" i="5"/>
  <c r="H204" i="5"/>
  <c r="H203" i="5"/>
  <c r="H202" i="5"/>
  <c r="H201" i="5"/>
  <c r="H200" i="5"/>
  <c r="B209" i="5"/>
  <c r="M198" i="5"/>
  <c r="H198" i="5"/>
  <c r="G198" i="5"/>
  <c r="F198" i="5"/>
  <c r="E198" i="5"/>
  <c r="D198" i="5"/>
  <c r="C198" i="5"/>
  <c r="B198" i="5"/>
  <c r="F197" i="5"/>
  <c r="E197" i="5"/>
  <c r="C197" i="5"/>
  <c r="M195" i="5"/>
  <c r="H195" i="5"/>
  <c r="H194" i="5"/>
  <c r="H193" i="5"/>
  <c r="M193" i="5" s="1"/>
  <c r="M192" i="5"/>
  <c r="H192" i="5"/>
  <c r="M191" i="5"/>
  <c r="H191" i="5"/>
  <c r="M190" i="5"/>
  <c r="H190" i="5"/>
  <c r="H189" i="5"/>
  <c r="M189" i="5" s="1"/>
  <c r="M188" i="5"/>
  <c r="H188" i="5"/>
  <c r="H187" i="5"/>
  <c r="M187" i="5" s="1"/>
  <c r="B186" i="5"/>
  <c r="H186" i="5" s="1"/>
  <c r="M186" i="5" s="1"/>
  <c r="H185" i="5"/>
  <c r="M185" i="5" s="1"/>
  <c r="G185" i="5"/>
  <c r="G197" i="5" s="1"/>
  <c r="H184" i="5"/>
  <c r="M184" i="5" s="1"/>
  <c r="H181" i="5"/>
  <c r="H180" i="5"/>
  <c r="H179" i="5"/>
  <c r="H177" i="5"/>
  <c r="H176" i="5"/>
  <c r="M175" i="5"/>
  <c r="H175" i="5"/>
  <c r="H174" i="5"/>
  <c r="M174" i="5" s="1"/>
  <c r="H173" i="5"/>
  <c r="H172" i="5"/>
  <c r="M171" i="5"/>
  <c r="H171" i="5"/>
  <c r="G171" i="5"/>
  <c r="F171" i="5"/>
  <c r="E171" i="5"/>
  <c r="D171" i="5"/>
  <c r="C171" i="5"/>
  <c r="B171" i="5"/>
  <c r="F170" i="5"/>
  <c r="E170" i="5"/>
  <c r="D170" i="5"/>
  <c r="G169" i="5"/>
  <c r="M168" i="5"/>
  <c r="H168" i="5"/>
  <c r="M167" i="5"/>
  <c r="H167" i="5"/>
  <c r="H165" i="5"/>
  <c r="M165" i="5" s="1"/>
  <c r="B163" i="5"/>
  <c r="H163" i="5" s="1"/>
  <c r="M163" i="5" s="1"/>
  <c r="H162" i="5"/>
  <c r="B161" i="5"/>
  <c r="H159" i="5"/>
  <c r="M159" i="5" s="1"/>
  <c r="B158" i="5"/>
  <c r="H158" i="5" s="1"/>
  <c r="M158" i="5" s="1"/>
  <c r="H156" i="5"/>
  <c r="M155" i="5"/>
  <c r="H155" i="5"/>
  <c r="G155" i="5"/>
  <c r="F155" i="5"/>
  <c r="E155" i="5"/>
  <c r="D155" i="5"/>
  <c r="C155" i="5"/>
  <c r="B155" i="5"/>
  <c r="G154" i="5"/>
  <c r="F154" i="5"/>
  <c r="E154" i="5"/>
  <c r="D154" i="5"/>
  <c r="M152" i="5"/>
  <c r="H152" i="5"/>
  <c r="B151" i="5"/>
  <c r="M146" i="5"/>
  <c r="H146" i="5"/>
  <c r="M145" i="5"/>
  <c r="H145" i="5"/>
  <c r="M143" i="5"/>
  <c r="H143" i="5"/>
  <c r="G143" i="5"/>
  <c r="F143" i="5"/>
  <c r="E143" i="5"/>
  <c r="D143" i="5"/>
  <c r="C143" i="5"/>
  <c r="B143" i="5"/>
  <c r="M139" i="5"/>
  <c r="H139" i="5"/>
  <c r="M138" i="5"/>
  <c r="H138" i="5"/>
  <c r="H137" i="5"/>
  <c r="M137" i="5" s="1"/>
  <c r="F131" i="5"/>
  <c r="E131" i="5"/>
  <c r="H130" i="5"/>
  <c r="M130" i="5" s="1"/>
  <c r="D131" i="5"/>
  <c r="C129" i="5"/>
  <c r="C131" i="5" s="1"/>
  <c r="B129" i="5"/>
  <c r="B131" i="5" s="1"/>
  <c r="M128" i="5"/>
  <c r="H128" i="5"/>
  <c r="H127" i="5"/>
  <c r="M127" i="5" s="1"/>
  <c r="M126" i="5"/>
  <c r="H126" i="5"/>
  <c r="H125" i="5"/>
  <c r="M125" i="5" s="1"/>
  <c r="M124" i="5"/>
  <c r="H124" i="5"/>
  <c r="M123" i="5"/>
  <c r="H123" i="5"/>
  <c r="M122" i="5"/>
  <c r="H120" i="5"/>
  <c r="M120" i="5" s="1"/>
  <c r="H119" i="5"/>
  <c r="M119" i="5" s="1"/>
  <c r="B119" i="5"/>
  <c r="F118" i="5"/>
  <c r="D118" i="5"/>
  <c r="C118" i="5"/>
  <c r="H118" i="5"/>
  <c r="M117" i="5"/>
  <c r="B117" i="5"/>
  <c r="H117" i="5" s="1"/>
  <c r="H116" i="5"/>
  <c r="H114" i="5"/>
  <c r="F114" i="6" s="1"/>
  <c r="H113" i="5"/>
  <c r="H112" i="5"/>
  <c r="H111" i="5"/>
  <c r="H110" i="5"/>
  <c r="H109" i="5"/>
  <c r="D121" i="5"/>
  <c r="D132" i="5" s="1"/>
  <c r="H108" i="5"/>
  <c r="H107" i="5"/>
  <c r="F107" i="6" s="1"/>
  <c r="G121" i="5"/>
  <c r="G132" i="5" s="1"/>
  <c r="E121" i="5"/>
  <c r="E132" i="5" s="1"/>
  <c r="M106" i="5"/>
  <c r="M105" i="5"/>
  <c r="H105" i="5"/>
  <c r="G105" i="5"/>
  <c r="F105" i="5"/>
  <c r="E105" i="5"/>
  <c r="D105" i="5"/>
  <c r="C105" i="5"/>
  <c r="B105" i="5"/>
  <c r="M104" i="5"/>
  <c r="G103" i="5"/>
  <c r="F103" i="5"/>
  <c r="E103" i="5"/>
  <c r="D103" i="5"/>
  <c r="C103" i="5"/>
  <c r="B103" i="5"/>
  <c r="H102" i="5"/>
  <c r="M102" i="5" s="1"/>
  <c r="M101" i="5"/>
  <c r="H101" i="5"/>
  <c r="M100" i="5"/>
  <c r="H100" i="5"/>
  <c r="H99" i="5"/>
  <c r="H103" i="5" s="1"/>
  <c r="M103" i="5" s="1"/>
  <c r="M98" i="5"/>
  <c r="G97" i="5"/>
  <c r="D96" i="5"/>
  <c r="C96" i="5"/>
  <c r="B96" i="5"/>
  <c r="H95" i="5"/>
  <c r="M95" i="5" s="1"/>
  <c r="H94" i="5"/>
  <c r="M94" i="5" s="1"/>
  <c r="M93" i="5"/>
  <c r="H93" i="5"/>
  <c r="M92" i="5"/>
  <c r="H92" i="5"/>
  <c r="M91" i="5"/>
  <c r="G90" i="5"/>
  <c r="F90" i="5"/>
  <c r="E90" i="5"/>
  <c r="E97" i="5" s="1"/>
  <c r="B90" i="5"/>
  <c r="H89" i="5"/>
  <c r="M89" i="5" s="1"/>
  <c r="M88" i="5"/>
  <c r="H88" i="5"/>
  <c r="H87" i="5"/>
  <c r="M87" i="5" s="1"/>
  <c r="M86" i="5"/>
  <c r="H86" i="5"/>
  <c r="M85" i="5"/>
  <c r="H85" i="5"/>
  <c r="M81" i="5"/>
  <c r="G80" i="5"/>
  <c r="F80" i="5"/>
  <c r="F97" i="5" s="1"/>
  <c r="E80" i="5"/>
  <c r="D80" i="5"/>
  <c r="M78" i="5"/>
  <c r="H78" i="5"/>
  <c r="H77" i="5"/>
  <c r="M77" i="5" s="1"/>
  <c r="M76" i="5"/>
  <c r="H76" i="5"/>
  <c r="B76" i="5"/>
  <c r="M73" i="5"/>
  <c r="M72" i="5"/>
  <c r="H72" i="5"/>
  <c r="G72" i="5"/>
  <c r="F72" i="5"/>
  <c r="E72" i="5"/>
  <c r="D72" i="5"/>
  <c r="C72" i="5"/>
  <c r="B72" i="5"/>
  <c r="M71" i="5"/>
  <c r="M66" i="5"/>
  <c r="G64" i="5"/>
  <c r="B64" i="5"/>
  <c r="C63" i="5"/>
  <c r="M62" i="5"/>
  <c r="G61" i="5"/>
  <c r="F61" i="5"/>
  <c r="F64" i="5" s="1"/>
  <c r="E61" i="5"/>
  <c r="E64" i="5" s="1"/>
  <c r="D61" i="5"/>
  <c r="D64" i="5" s="1"/>
  <c r="C61" i="5"/>
  <c r="C64" i="5" s="1"/>
  <c r="B61" i="5"/>
  <c r="M60" i="5"/>
  <c r="H60" i="5"/>
  <c r="H59" i="5"/>
  <c r="M59" i="5" s="1"/>
  <c r="M58" i="5"/>
  <c r="H58" i="5"/>
  <c r="H57" i="5"/>
  <c r="M57" i="5" s="1"/>
  <c r="M56" i="5"/>
  <c r="H56" i="5"/>
  <c r="M55" i="5"/>
  <c r="H55" i="5"/>
  <c r="M54" i="5"/>
  <c r="H54" i="5"/>
  <c r="H53" i="5"/>
  <c r="M53" i="5" s="1"/>
  <c r="M52" i="5"/>
  <c r="H52" i="5"/>
  <c r="H51" i="5"/>
  <c r="M51" i="5" s="1"/>
  <c r="M50" i="5"/>
  <c r="H50" i="5"/>
  <c r="M49" i="5"/>
  <c r="H49" i="5"/>
  <c r="M48" i="5"/>
  <c r="H48" i="5"/>
  <c r="H47" i="5"/>
  <c r="M47" i="5" s="1"/>
  <c r="M46" i="5"/>
  <c r="H46" i="5"/>
  <c r="H45" i="5"/>
  <c r="M45" i="5" s="1"/>
  <c r="M44" i="5"/>
  <c r="H44" i="5"/>
  <c r="M43" i="5"/>
  <c r="H43" i="5"/>
  <c r="M42" i="5"/>
  <c r="H42" i="5"/>
  <c r="H41" i="5"/>
  <c r="M41" i="5" s="1"/>
  <c r="M40" i="5"/>
  <c r="H40" i="5"/>
  <c r="H39" i="5"/>
  <c r="M38" i="5"/>
  <c r="H38" i="5"/>
  <c r="G38" i="5"/>
  <c r="F38" i="5"/>
  <c r="E38" i="5"/>
  <c r="D38" i="5"/>
  <c r="C38" i="5"/>
  <c r="B38" i="5"/>
  <c r="M37" i="5"/>
  <c r="G36" i="5"/>
  <c r="F36" i="5"/>
  <c r="F140" i="5" s="1"/>
  <c r="E36" i="5"/>
  <c r="E63" i="5" s="1"/>
  <c r="E65" i="5" s="1"/>
  <c r="D36" i="5"/>
  <c r="D63" i="5" s="1"/>
  <c r="D65" i="5" s="1"/>
  <c r="D136" i="5" s="1"/>
  <c r="C36" i="5"/>
  <c r="C140" i="5" s="1"/>
  <c r="B36" i="5"/>
  <c r="M35" i="5"/>
  <c r="H35" i="5"/>
  <c r="M34" i="5"/>
  <c r="H34" i="5"/>
  <c r="H33" i="5"/>
  <c r="M33" i="5" s="1"/>
  <c r="H32" i="5"/>
  <c r="M32" i="5" s="1"/>
  <c r="H31" i="5"/>
  <c r="M31" i="5" s="1"/>
  <c r="H30" i="5"/>
  <c r="M30" i="5" s="1"/>
  <c r="M29" i="5"/>
  <c r="H29" i="5"/>
  <c r="M28" i="5"/>
  <c r="H28" i="5"/>
  <c r="I27" i="5"/>
  <c r="H27" i="5"/>
  <c r="M26" i="5"/>
  <c r="H26" i="5"/>
  <c r="G26" i="5"/>
  <c r="F26" i="5"/>
  <c r="E26" i="5"/>
  <c r="D26" i="5"/>
  <c r="C26" i="5"/>
  <c r="B26" i="5"/>
  <c r="M25" i="5"/>
  <c r="H24" i="5"/>
  <c r="M24" i="5" s="1"/>
  <c r="M23" i="5"/>
  <c r="H23" i="5"/>
  <c r="M22" i="5"/>
  <c r="H22" i="5"/>
  <c r="M19" i="5"/>
  <c r="H19" i="5"/>
  <c r="G19" i="5"/>
  <c r="F19" i="5"/>
  <c r="E19" i="5"/>
  <c r="D19" i="5"/>
  <c r="C19" i="5"/>
  <c r="B19" i="5"/>
  <c r="M18" i="5"/>
  <c r="G17" i="5"/>
  <c r="F17" i="5"/>
  <c r="D17" i="5"/>
  <c r="C17" i="5"/>
  <c r="B17" i="5"/>
  <c r="H16" i="5"/>
  <c r="M16" i="5" s="1"/>
  <c r="H15" i="5"/>
  <c r="M15" i="5" s="1"/>
  <c r="H14" i="5"/>
  <c r="M14" i="5" s="1"/>
  <c r="M13" i="5"/>
  <c r="H13" i="5"/>
  <c r="H12" i="5"/>
  <c r="M12" i="5" s="1"/>
  <c r="H11" i="5"/>
  <c r="M11" i="5" s="1"/>
  <c r="H10" i="5"/>
  <c r="M10" i="5" s="1"/>
  <c r="L9" i="5"/>
  <c r="I9" i="5"/>
  <c r="H9" i="5"/>
  <c r="M9" i="5" s="1"/>
  <c r="M8" i="5"/>
  <c r="L8" i="5"/>
  <c r="I8" i="5"/>
  <c r="H8" i="5"/>
  <c r="L7" i="5"/>
  <c r="I7" i="5"/>
  <c r="H7" i="5"/>
  <c r="M7" i="5" s="1"/>
  <c r="L6" i="5"/>
  <c r="I6" i="5"/>
  <c r="H6" i="5"/>
  <c r="M6" i="5" s="1"/>
  <c r="M5" i="5"/>
  <c r="L5" i="5"/>
  <c r="I5" i="5"/>
  <c r="H5" i="5"/>
  <c r="L4" i="5"/>
  <c r="I4" i="5"/>
  <c r="I17" i="5" s="1"/>
  <c r="H4" i="5"/>
  <c r="B3" i="5"/>
  <c r="H3" i="5" s="1"/>
  <c r="M3" i="5" s="1"/>
  <c r="H2" i="5"/>
  <c r="B204" i="4"/>
  <c r="B203" i="4"/>
  <c r="B202" i="4"/>
  <c r="B201" i="4"/>
  <c r="B200" i="4"/>
  <c r="B199" i="4"/>
  <c r="B181" i="4"/>
  <c r="B180" i="4"/>
  <c r="B179" i="4"/>
  <c r="B177" i="4"/>
  <c r="B176" i="4"/>
  <c r="B173" i="4"/>
  <c r="B172" i="4"/>
  <c r="B161" i="4"/>
  <c r="B162" i="4"/>
  <c r="M118" i="5" l="1"/>
  <c r="F118" i="6"/>
  <c r="M116" i="5"/>
  <c r="F116" i="6"/>
  <c r="M111" i="5"/>
  <c r="F111" i="6"/>
  <c r="M109" i="5"/>
  <c r="F109" i="6"/>
  <c r="M110" i="5"/>
  <c r="F110" i="6"/>
  <c r="M113" i="5"/>
  <c r="F113" i="6"/>
  <c r="M112" i="5"/>
  <c r="F112" i="6"/>
  <c r="M108" i="5"/>
  <c r="F108" i="6"/>
  <c r="M2" i="5"/>
  <c r="F2" i="6"/>
  <c r="M204" i="5"/>
  <c r="F204" i="6"/>
  <c r="M203" i="5"/>
  <c r="F203" i="6"/>
  <c r="M202" i="5"/>
  <c r="F202" i="6"/>
  <c r="M201" i="5"/>
  <c r="F201" i="6"/>
  <c r="M200" i="5"/>
  <c r="F200" i="6"/>
  <c r="M181" i="5"/>
  <c r="F181" i="6"/>
  <c r="M180" i="5"/>
  <c r="F180" i="6"/>
  <c r="M179" i="5"/>
  <c r="F179" i="6"/>
  <c r="M177" i="5"/>
  <c r="F177" i="6"/>
  <c r="M176" i="5"/>
  <c r="F176" i="6"/>
  <c r="M173" i="5"/>
  <c r="F173" i="6"/>
  <c r="M172" i="5"/>
  <c r="F172" i="6"/>
  <c r="M162" i="5"/>
  <c r="F162" i="6"/>
  <c r="D132" i="6"/>
  <c r="D69" i="6" s="1"/>
  <c r="C68" i="6"/>
  <c r="C69" i="6"/>
  <c r="E69" i="6"/>
  <c r="E68" i="6"/>
  <c r="D154" i="6"/>
  <c r="B209" i="6"/>
  <c r="B121" i="6"/>
  <c r="B132" i="6" s="1"/>
  <c r="B63" i="6"/>
  <c r="B65" i="6" s="1"/>
  <c r="B75" i="5"/>
  <c r="H75" i="5" s="1"/>
  <c r="M75" i="5" s="1"/>
  <c r="H82" i="5"/>
  <c r="I82" i="5" s="1"/>
  <c r="C90" i="5"/>
  <c r="H20" i="5"/>
  <c r="M20" i="5" s="1"/>
  <c r="C79" i="5"/>
  <c r="C80" i="5" s="1"/>
  <c r="C97" i="5" s="1"/>
  <c r="C151" i="5"/>
  <c r="C154" i="5" s="1"/>
  <c r="H96" i="5"/>
  <c r="B74" i="5"/>
  <c r="H74" i="5" s="1"/>
  <c r="F74" i="6" s="1"/>
  <c r="F80" i="6" s="1"/>
  <c r="F97" i="6" s="1"/>
  <c r="G135" i="5"/>
  <c r="G140" i="5"/>
  <c r="G63" i="5"/>
  <c r="G65" i="5" s="1"/>
  <c r="H17" i="5"/>
  <c r="M17" i="5" s="1"/>
  <c r="H129" i="5"/>
  <c r="H131" i="5" s="1"/>
  <c r="B121" i="5"/>
  <c r="B132" i="5" s="1"/>
  <c r="M4" i="5"/>
  <c r="H36" i="5"/>
  <c r="H63" i="5" s="1"/>
  <c r="M27" i="5"/>
  <c r="M36" i="5" s="1"/>
  <c r="M63" i="5" s="1"/>
  <c r="M65" i="5" s="1"/>
  <c r="M96" i="5"/>
  <c r="E134" i="5"/>
  <c r="E133" i="5"/>
  <c r="E141" i="5" s="1"/>
  <c r="E142" i="5" s="1"/>
  <c r="E211" i="5" s="1"/>
  <c r="E219" i="5" s="1"/>
  <c r="E220" i="5" s="1"/>
  <c r="H61" i="5"/>
  <c r="H64" i="5" s="1"/>
  <c r="M39" i="5"/>
  <c r="M61" i="5" s="1"/>
  <c r="M64" i="5" s="1"/>
  <c r="D133" i="5"/>
  <c r="D134" i="5"/>
  <c r="C65" i="5"/>
  <c r="C136" i="5" s="1"/>
  <c r="F121" i="5"/>
  <c r="F132" i="5" s="1"/>
  <c r="B140" i="5"/>
  <c r="H140" i="5" s="1"/>
  <c r="M140" i="5" s="1"/>
  <c r="B63" i="5"/>
  <c r="B65" i="5" s="1"/>
  <c r="B136" i="5" s="1"/>
  <c r="B135" i="5"/>
  <c r="F63" i="5"/>
  <c r="F65" i="5" s="1"/>
  <c r="G134" i="5"/>
  <c r="G133" i="5"/>
  <c r="M114" i="5"/>
  <c r="I114" i="5"/>
  <c r="M107" i="5"/>
  <c r="B169" i="5"/>
  <c r="H169" i="5" s="1"/>
  <c r="H213" i="5"/>
  <c r="F213" i="6" s="1"/>
  <c r="H160" i="5"/>
  <c r="B150" i="5"/>
  <c r="H150" i="5" s="1"/>
  <c r="M150" i="5" s="1"/>
  <c r="D84" i="5"/>
  <c r="H84" i="5" s="1"/>
  <c r="M84" i="5" s="1"/>
  <c r="B153" i="5"/>
  <c r="H153" i="5" s="1"/>
  <c r="M153" i="5" s="1"/>
  <c r="B149" i="5"/>
  <c r="H149" i="5" s="1"/>
  <c r="M149" i="5" s="1"/>
  <c r="B144" i="5"/>
  <c r="D83" i="5"/>
  <c r="D183" i="5"/>
  <c r="H183" i="5" s="1"/>
  <c r="M183" i="5" s="1"/>
  <c r="C157" i="5"/>
  <c r="B148" i="5"/>
  <c r="H148" i="5" s="1"/>
  <c r="M148" i="5" s="1"/>
  <c r="D182" i="5"/>
  <c r="B178" i="5"/>
  <c r="H178" i="5" s="1"/>
  <c r="M178" i="5" s="1"/>
  <c r="B164" i="5"/>
  <c r="H164" i="5" s="1"/>
  <c r="M164" i="5" s="1"/>
  <c r="B147" i="5"/>
  <c r="H147" i="5" s="1"/>
  <c r="M147" i="5" s="1"/>
  <c r="D140" i="5"/>
  <c r="D135" i="5"/>
  <c r="E140" i="5"/>
  <c r="M156" i="5"/>
  <c r="C135" i="5"/>
  <c r="H199" i="5"/>
  <c r="F199" i="6" s="1"/>
  <c r="M214" i="5"/>
  <c r="M99" i="5"/>
  <c r="H115" i="5"/>
  <c r="E135" i="5"/>
  <c r="B196" i="5"/>
  <c r="H196" i="5" s="1"/>
  <c r="C134" i="4"/>
  <c r="D134" i="4"/>
  <c r="E134" i="4"/>
  <c r="F134" i="4"/>
  <c r="G134" i="4"/>
  <c r="B134" i="4"/>
  <c r="C134" i="3"/>
  <c r="D134" i="3"/>
  <c r="E134" i="3"/>
  <c r="F134" i="3"/>
  <c r="G134" i="3"/>
  <c r="B134" i="3"/>
  <c r="C134" i="2"/>
  <c r="D134" i="2"/>
  <c r="E134" i="2"/>
  <c r="F134" i="2"/>
  <c r="G134" i="2"/>
  <c r="B134" i="2"/>
  <c r="I134" i="1"/>
  <c r="C115" i="4"/>
  <c r="B114" i="4"/>
  <c r="D129" i="4"/>
  <c r="H129" i="4" s="1"/>
  <c r="M129" i="4" s="1"/>
  <c r="B118" i="4"/>
  <c r="B116" i="4"/>
  <c r="H116" i="4" s="1"/>
  <c r="M116" i="4" s="1"/>
  <c r="C107" i="4"/>
  <c r="D107" i="4"/>
  <c r="E107" i="4"/>
  <c r="F107" i="4"/>
  <c r="F121" i="4" s="1"/>
  <c r="F132" i="4" s="1"/>
  <c r="G107" i="4"/>
  <c r="G121" i="4" s="1"/>
  <c r="G132" i="4" s="1"/>
  <c r="C108" i="4"/>
  <c r="D108" i="4"/>
  <c r="E108" i="4"/>
  <c r="H108" i="4" s="1"/>
  <c r="M108" i="4" s="1"/>
  <c r="F108" i="4"/>
  <c r="G108" i="4"/>
  <c r="C109" i="4"/>
  <c r="D109" i="4"/>
  <c r="E109" i="4"/>
  <c r="F109" i="4"/>
  <c r="G109" i="4"/>
  <c r="C110" i="4"/>
  <c r="H110" i="4" s="1"/>
  <c r="M110" i="4" s="1"/>
  <c r="D110" i="4"/>
  <c r="E110" i="4"/>
  <c r="F110" i="4"/>
  <c r="G110" i="4"/>
  <c r="C111" i="4"/>
  <c r="H111" i="4" s="1"/>
  <c r="M111" i="4" s="1"/>
  <c r="D111" i="4"/>
  <c r="D121" i="4" s="1"/>
  <c r="E111" i="4"/>
  <c r="F111" i="4"/>
  <c r="G111" i="4"/>
  <c r="C112" i="4"/>
  <c r="D112" i="4"/>
  <c r="E112" i="4"/>
  <c r="E121" i="4" s="1"/>
  <c r="E132" i="4" s="1"/>
  <c r="F112" i="4"/>
  <c r="G112" i="4"/>
  <c r="C113" i="4"/>
  <c r="D113" i="4"/>
  <c r="H113" i="4" s="1"/>
  <c r="M113" i="4" s="1"/>
  <c r="E113" i="4"/>
  <c r="F113" i="4"/>
  <c r="G113" i="4"/>
  <c r="B108" i="4"/>
  <c r="B109" i="4"/>
  <c r="B110" i="4"/>
  <c r="B111" i="4"/>
  <c r="B112" i="4"/>
  <c r="B113" i="4"/>
  <c r="B107" i="4"/>
  <c r="B77" i="4"/>
  <c r="H77" i="4" s="1"/>
  <c r="M77" i="4" s="1"/>
  <c r="B75" i="4"/>
  <c r="H238" i="4"/>
  <c r="H229" i="4"/>
  <c r="A229" i="4"/>
  <c r="A228" i="4"/>
  <c r="A227" i="4"/>
  <c r="M222" i="4"/>
  <c r="H222" i="4"/>
  <c r="G222" i="4"/>
  <c r="F222" i="4"/>
  <c r="E222" i="4"/>
  <c r="D222" i="4"/>
  <c r="C222" i="4"/>
  <c r="B222" i="4"/>
  <c r="A222" i="4"/>
  <c r="M218" i="4"/>
  <c r="H218" i="4"/>
  <c r="H217" i="4"/>
  <c r="M217" i="4" s="1"/>
  <c r="H216" i="4"/>
  <c r="M216" i="4" s="1"/>
  <c r="H215" i="4"/>
  <c r="M215" i="4" s="1"/>
  <c r="H214" i="4"/>
  <c r="H228" i="4" s="1"/>
  <c r="M212" i="4"/>
  <c r="G209" i="4"/>
  <c r="F209" i="4"/>
  <c r="E209" i="4"/>
  <c r="D209" i="4"/>
  <c r="C209" i="4"/>
  <c r="H208" i="4"/>
  <c r="M208" i="4" s="1"/>
  <c r="B208" i="4"/>
  <c r="M207" i="4"/>
  <c r="H207" i="4"/>
  <c r="M206" i="4"/>
  <c r="H206" i="4"/>
  <c r="H205" i="4"/>
  <c r="M205" i="4" s="1"/>
  <c r="B205" i="4"/>
  <c r="H204" i="4"/>
  <c r="M204" i="4" s="1"/>
  <c r="H203" i="4"/>
  <c r="M203" i="4" s="1"/>
  <c r="H202" i="4"/>
  <c r="M202" i="4" s="1"/>
  <c r="H201" i="4"/>
  <c r="M201" i="4" s="1"/>
  <c r="H200" i="4"/>
  <c r="M200" i="4" s="1"/>
  <c r="B209" i="4"/>
  <c r="M198" i="4"/>
  <c r="H198" i="4"/>
  <c r="G198" i="4"/>
  <c r="F198" i="4"/>
  <c r="E198" i="4"/>
  <c r="D198" i="4"/>
  <c r="C198" i="4"/>
  <c r="B198" i="4"/>
  <c r="F197" i="4"/>
  <c r="E197" i="4"/>
  <c r="C197" i="4"/>
  <c r="M195" i="4"/>
  <c r="H195" i="4"/>
  <c r="H194" i="4"/>
  <c r="H193" i="4"/>
  <c r="M193" i="4" s="1"/>
  <c r="H192" i="4"/>
  <c r="M192" i="4" s="1"/>
  <c r="M191" i="4"/>
  <c r="H191" i="4"/>
  <c r="H190" i="4"/>
  <c r="M190" i="4" s="1"/>
  <c r="H189" i="4"/>
  <c r="M189" i="4" s="1"/>
  <c r="M188" i="4"/>
  <c r="H188" i="4"/>
  <c r="H187" i="4"/>
  <c r="M187" i="4" s="1"/>
  <c r="H186" i="4"/>
  <c r="M186" i="4" s="1"/>
  <c r="B186" i="4"/>
  <c r="G185" i="4"/>
  <c r="H185" i="4" s="1"/>
  <c r="M185" i="4" s="1"/>
  <c r="H184" i="4"/>
  <c r="M184" i="4" s="1"/>
  <c r="H181" i="4"/>
  <c r="M181" i="4" s="1"/>
  <c r="H180" i="4"/>
  <c r="M180" i="4" s="1"/>
  <c r="H179" i="4"/>
  <c r="M179" i="4" s="1"/>
  <c r="H177" i="4"/>
  <c r="M177" i="4" s="1"/>
  <c r="H176" i="4"/>
  <c r="M176" i="4" s="1"/>
  <c r="M175" i="4"/>
  <c r="H175" i="4"/>
  <c r="H174" i="4"/>
  <c r="M174" i="4" s="1"/>
  <c r="H173" i="4"/>
  <c r="M173" i="4" s="1"/>
  <c r="M171" i="4"/>
  <c r="H171" i="4"/>
  <c r="G171" i="4"/>
  <c r="F171" i="4"/>
  <c r="E171" i="4"/>
  <c r="D171" i="4"/>
  <c r="C171" i="4"/>
  <c r="B171" i="4"/>
  <c r="F170" i="4"/>
  <c r="E170" i="4"/>
  <c r="D170" i="4"/>
  <c r="G169" i="4"/>
  <c r="M168" i="4"/>
  <c r="H168" i="4"/>
  <c r="H167" i="4"/>
  <c r="M167" i="4" s="1"/>
  <c r="H165" i="4"/>
  <c r="M165" i="4" s="1"/>
  <c r="B163" i="4"/>
  <c r="H163" i="4" s="1"/>
  <c r="M163" i="4" s="1"/>
  <c r="H162" i="4"/>
  <c r="M162" i="4" s="1"/>
  <c r="H159" i="4"/>
  <c r="M159" i="4" s="1"/>
  <c r="B158" i="4"/>
  <c r="H158" i="4" s="1"/>
  <c r="M158" i="4" s="1"/>
  <c r="M156" i="4"/>
  <c r="H156" i="4"/>
  <c r="M155" i="4"/>
  <c r="H155" i="4"/>
  <c r="G155" i="4"/>
  <c r="F155" i="4"/>
  <c r="E155" i="4"/>
  <c r="D155" i="4"/>
  <c r="C155" i="4"/>
  <c r="B155" i="4"/>
  <c r="G154" i="4"/>
  <c r="F154" i="4"/>
  <c r="E154" i="4"/>
  <c r="D154" i="4"/>
  <c r="M152" i="4"/>
  <c r="H152" i="4"/>
  <c r="C151" i="4"/>
  <c r="C154" i="4" s="1"/>
  <c r="B151" i="4"/>
  <c r="H146" i="4"/>
  <c r="M146" i="4" s="1"/>
  <c r="M145" i="4"/>
  <c r="H145" i="4"/>
  <c r="M143" i="4"/>
  <c r="H143" i="4"/>
  <c r="G143" i="4"/>
  <c r="F143" i="4"/>
  <c r="E143" i="4"/>
  <c r="D143" i="4"/>
  <c r="C143" i="4"/>
  <c r="B143" i="4"/>
  <c r="G140" i="4"/>
  <c r="E140" i="4"/>
  <c r="M139" i="4"/>
  <c r="H139" i="4"/>
  <c r="M138" i="4"/>
  <c r="H138" i="4"/>
  <c r="H137" i="4"/>
  <c r="M137" i="4" s="1"/>
  <c r="C135" i="4"/>
  <c r="F131" i="4"/>
  <c r="E131" i="4"/>
  <c r="D131" i="4"/>
  <c r="H130" i="4"/>
  <c r="M130" i="4" s="1"/>
  <c r="C129" i="4"/>
  <c r="C131" i="4" s="1"/>
  <c r="B129" i="4"/>
  <c r="B131" i="4" s="1"/>
  <c r="M128" i="4"/>
  <c r="H128" i="4"/>
  <c r="M127" i="4"/>
  <c r="H127" i="4"/>
  <c r="M126" i="4"/>
  <c r="H126" i="4"/>
  <c r="M125" i="4"/>
  <c r="H125" i="4"/>
  <c r="M124" i="4"/>
  <c r="H124" i="4"/>
  <c r="H123" i="4"/>
  <c r="M123" i="4" s="1"/>
  <c r="M122" i="4"/>
  <c r="H120" i="4"/>
  <c r="M120" i="4" s="1"/>
  <c r="M119" i="4"/>
  <c r="H119" i="4"/>
  <c r="B119" i="4"/>
  <c r="F118" i="4"/>
  <c r="D118" i="4"/>
  <c r="C118" i="4"/>
  <c r="B117" i="4"/>
  <c r="H117" i="4" s="1"/>
  <c r="M117" i="4" s="1"/>
  <c r="H114" i="4"/>
  <c r="H109" i="4"/>
  <c r="M109" i="4" s="1"/>
  <c r="M106" i="4"/>
  <c r="M105" i="4"/>
  <c r="H105" i="4"/>
  <c r="G105" i="4"/>
  <c r="F105" i="4"/>
  <c r="E105" i="4"/>
  <c r="D105" i="4"/>
  <c r="C105" i="4"/>
  <c r="B105" i="4"/>
  <c r="M104" i="4"/>
  <c r="G103" i="4"/>
  <c r="F103" i="4"/>
  <c r="E103" i="4"/>
  <c r="D103" i="4"/>
  <c r="C103" i="4"/>
  <c r="B103" i="4"/>
  <c r="H102" i="4"/>
  <c r="M102" i="4" s="1"/>
  <c r="H101" i="4"/>
  <c r="M101" i="4" s="1"/>
  <c r="H100" i="4"/>
  <c r="M100" i="4" s="1"/>
  <c r="H99" i="4"/>
  <c r="H103" i="4" s="1"/>
  <c r="M103" i="4" s="1"/>
  <c r="M98" i="4"/>
  <c r="E97" i="4"/>
  <c r="D96" i="4"/>
  <c r="C96" i="4"/>
  <c r="B96" i="4"/>
  <c r="H95" i="4"/>
  <c r="M95" i="4" s="1"/>
  <c r="H94" i="4"/>
  <c r="H93" i="4"/>
  <c r="M93" i="4" s="1"/>
  <c r="H92" i="4"/>
  <c r="M92" i="4" s="1"/>
  <c r="M91" i="4"/>
  <c r="G90" i="4"/>
  <c r="F90" i="4"/>
  <c r="E90" i="4"/>
  <c r="B90" i="4"/>
  <c r="M89" i="4"/>
  <c r="H89" i="4"/>
  <c r="H88" i="4"/>
  <c r="M88" i="4" s="1"/>
  <c r="M87" i="4"/>
  <c r="H87" i="4"/>
  <c r="M86" i="4"/>
  <c r="H86" i="4"/>
  <c r="H85" i="4"/>
  <c r="M85" i="4" s="1"/>
  <c r="C82" i="4"/>
  <c r="C90" i="4" s="1"/>
  <c r="M81" i="4"/>
  <c r="G80" i="4"/>
  <c r="G97" i="4" s="1"/>
  <c r="F80" i="4"/>
  <c r="F97" i="4" s="1"/>
  <c r="E80" i="4"/>
  <c r="D80" i="4"/>
  <c r="C79" i="4"/>
  <c r="C80" i="4" s="1"/>
  <c r="H78" i="4"/>
  <c r="M78" i="4" s="1"/>
  <c r="B76" i="4"/>
  <c r="H76" i="4" s="1"/>
  <c r="M76" i="4" s="1"/>
  <c r="M73" i="4"/>
  <c r="M72" i="4"/>
  <c r="H72" i="4"/>
  <c r="G72" i="4"/>
  <c r="F72" i="4"/>
  <c r="E72" i="4"/>
  <c r="D72" i="4"/>
  <c r="C72" i="4"/>
  <c r="B72" i="4"/>
  <c r="M71" i="4"/>
  <c r="M66" i="4"/>
  <c r="F64" i="4"/>
  <c r="B64" i="4"/>
  <c r="E63" i="4"/>
  <c r="E65" i="4" s="1"/>
  <c r="D63" i="4"/>
  <c r="M62" i="4"/>
  <c r="G61" i="4"/>
  <c r="G64" i="4" s="1"/>
  <c r="F61" i="4"/>
  <c r="E61" i="4"/>
  <c r="E64" i="4" s="1"/>
  <c r="D61" i="4"/>
  <c r="D64" i="4" s="1"/>
  <c r="D65" i="4" s="1"/>
  <c r="C61" i="4"/>
  <c r="C64" i="4" s="1"/>
  <c r="B61" i="4"/>
  <c r="M60" i="4"/>
  <c r="H60" i="4"/>
  <c r="M59" i="4"/>
  <c r="H59" i="4"/>
  <c r="H58" i="4"/>
  <c r="M58" i="4" s="1"/>
  <c r="M57" i="4"/>
  <c r="H57" i="4"/>
  <c r="M56" i="4"/>
  <c r="H56" i="4"/>
  <c r="H55" i="4"/>
  <c r="M55" i="4" s="1"/>
  <c r="M54" i="4"/>
  <c r="H54" i="4"/>
  <c r="M53" i="4"/>
  <c r="H53" i="4"/>
  <c r="H52" i="4"/>
  <c r="M52" i="4" s="1"/>
  <c r="M51" i="4"/>
  <c r="H51" i="4"/>
  <c r="M50" i="4"/>
  <c r="H50" i="4"/>
  <c r="H49" i="4"/>
  <c r="M49" i="4" s="1"/>
  <c r="M48" i="4"/>
  <c r="H48" i="4"/>
  <c r="M47" i="4"/>
  <c r="H47" i="4"/>
  <c r="H46" i="4"/>
  <c r="M46" i="4" s="1"/>
  <c r="M45" i="4"/>
  <c r="H45" i="4"/>
  <c r="M44" i="4"/>
  <c r="H44" i="4"/>
  <c r="H43" i="4"/>
  <c r="M43" i="4" s="1"/>
  <c r="H42" i="4"/>
  <c r="M42" i="4" s="1"/>
  <c r="M41" i="4"/>
  <c r="H41" i="4"/>
  <c r="H40" i="4"/>
  <c r="M40" i="4" s="1"/>
  <c r="M39" i="4"/>
  <c r="H39" i="4"/>
  <c r="H61" i="4" s="1"/>
  <c r="H64" i="4" s="1"/>
  <c r="M38" i="4"/>
  <c r="H38" i="4"/>
  <c r="G38" i="4"/>
  <c r="F38" i="4"/>
  <c r="E38" i="4"/>
  <c r="D38" i="4"/>
  <c r="C38" i="4"/>
  <c r="B38" i="4"/>
  <c r="M37" i="4"/>
  <c r="G36" i="4"/>
  <c r="G63" i="4" s="1"/>
  <c r="F36" i="4"/>
  <c r="F63" i="4" s="1"/>
  <c r="F65" i="4" s="1"/>
  <c r="E36" i="4"/>
  <c r="E135" i="4" s="1"/>
  <c r="D36" i="4"/>
  <c r="D140" i="4" s="1"/>
  <c r="C36" i="4"/>
  <c r="C140" i="4" s="1"/>
  <c r="B36" i="4"/>
  <c r="B140" i="4" s="1"/>
  <c r="H35" i="4"/>
  <c r="M35" i="4" s="1"/>
  <c r="H34" i="4"/>
  <c r="M34" i="4" s="1"/>
  <c r="H33" i="4"/>
  <c r="M33" i="4" s="1"/>
  <c r="H32" i="4"/>
  <c r="M32" i="4" s="1"/>
  <c r="H31" i="4"/>
  <c r="M31" i="4" s="1"/>
  <c r="M30" i="4"/>
  <c r="H30" i="4"/>
  <c r="H29" i="4"/>
  <c r="M29" i="4" s="1"/>
  <c r="H28" i="4"/>
  <c r="M28" i="4" s="1"/>
  <c r="H27" i="4"/>
  <c r="M27" i="4" s="1"/>
  <c r="M26" i="4"/>
  <c r="H26" i="4"/>
  <c r="G26" i="4"/>
  <c r="F26" i="4"/>
  <c r="E26" i="4"/>
  <c r="D26" i="4"/>
  <c r="C26" i="4"/>
  <c r="B26" i="4"/>
  <c r="M25" i="4"/>
  <c r="M24" i="4"/>
  <c r="H24" i="4"/>
  <c r="M23" i="4"/>
  <c r="H23" i="4"/>
  <c r="H22" i="4"/>
  <c r="M22" i="4" s="1"/>
  <c r="H21" i="4"/>
  <c r="M21" i="4" s="1"/>
  <c r="H20" i="4"/>
  <c r="I28" i="4" s="1"/>
  <c r="M19" i="4"/>
  <c r="H19" i="4"/>
  <c r="G19" i="4"/>
  <c r="F19" i="4"/>
  <c r="E19" i="4"/>
  <c r="D19" i="4"/>
  <c r="C19" i="4"/>
  <c r="B19" i="4"/>
  <c r="M18" i="4"/>
  <c r="I17" i="4"/>
  <c r="G17" i="4"/>
  <c r="F17" i="4"/>
  <c r="D17" i="4"/>
  <c r="C17" i="4"/>
  <c r="B17" i="4"/>
  <c r="H213" i="4" s="1"/>
  <c r="E213" i="6" s="1"/>
  <c r="H16" i="4"/>
  <c r="M16" i="4" s="1"/>
  <c r="H15" i="4"/>
  <c r="M15" i="4" s="1"/>
  <c r="H14" i="4"/>
  <c r="M14" i="4" s="1"/>
  <c r="H13" i="4"/>
  <c r="M13" i="4" s="1"/>
  <c r="H12" i="4"/>
  <c r="M12" i="4" s="1"/>
  <c r="H11" i="4"/>
  <c r="M11" i="4" s="1"/>
  <c r="H10" i="4"/>
  <c r="M10" i="4" s="1"/>
  <c r="L9" i="4"/>
  <c r="I9" i="4"/>
  <c r="H9" i="4"/>
  <c r="M9" i="4" s="1"/>
  <c r="L8" i="4"/>
  <c r="I8" i="4"/>
  <c r="H8" i="4"/>
  <c r="M8" i="4" s="1"/>
  <c r="L7" i="4"/>
  <c r="I7" i="4"/>
  <c r="H7" i="4"/>
  <c r="M7" i="4" s="1"/>
  <c r="L6" i="4"/>
  <c r="I6" i="4"/>
  <c r="H6" i="4"/>
  <c r="M6" i="4" s="1"/>
  <c r="L5" i="4"/>
  <c r="I5" i="4"/>
  <c r="H5" i="4"/>
  <c r="M5" i="4" s="1"/>
  <c r="L4" i="4"/>
  <c r="I4" i="4"/>
  <c r="H4" i="4"/>
  <c r="B3" i="4"/>
  <c r="H3" i="4" s="1"/>
  <c r="M3" i="4" s="1"/>
  <c r="B204" i="3"/>
  <c r="H204" i="3" s="1"/>
  <c r="M204" i="3" s="1"/>
  <c r="B203" i="3"/>
  <c r="H203" i="3" s="1"/>
  <c r="M203" i="3" s="1"/>
  <c r="B202" i="3"/>
  <c r="H202" i="3" s="1"/>
  <c r="M202" i="3" s="1"/>
  <c r="B201" i="3"/>
  <c r="H201" i="3" s="1"/>
  <c r="M201" i="3" s="1"/>
  <c r="B200" i="3"/>
  <c r="B199" i="3"/>
  <c r="H199" i="3" s="1"/>
  <c r="B181" i="3"/>
  <c r="H181" i="3" s="1"/>
  <c r="M181" i="3" s="1"/>
  <c r="B180" i="3"/>
  <c r="H180" i="3" s="1"/>
  <c r="M180" i="3" s="1"/>
  <c r="B179" i="3"/>
  <c r="H179" i="3" s="1"/>
  <c r="M179" i="3" s="1"/>
  <c r="B177" i="3"/>
  <c r="H177" i="3" s="1"/>
  <c r="M177" i="3" s="1"/>
  <c r="B176" i="3"/>
  <c r="H176" i="3" s="1"/>
  <c r="M176" i="3" s="1"/>
  <c r="B173" i="3"/>
  <c r="H173" i="3" s="1"/>
  <c r="M173" i="3" s="1"/>
  <c r="B172" i="3"/>
  <c r="B161" i="3"/>
  <c r="B162" i="3"/>
  <c r="H162" i="3" s="1"/>
  <c r="M162" i="3" s="1"/>
  <c r="B161" i="2"/>
  <c r="D129" i="3"/>
  <c r="D131" i="3" s="1"/>
  <c r="B118" i="3"/>
  <c r="B116" i="3"/>
  <c r="H116" i="3" s="1"/>
  <c r="M116" i="3" s="1"/>
  <c r="C115" i="3"/>
  <c r="B114" i="3"/>
  <c r="C107" i="3"/>
  <c r="D107" i="3"/>
  <c r="D121" i="3" s="1"/>
  <c r="E107" i="3"/>
  <c r="F107" i="3"/>
  <c r="G107" i="3"/>
  <c r="C108" i="3"/>
  <c r="D108" i="3"/>
  <c r="E108" i="3"/>
  <c r="F108" i="3"/>
  <c r="G108" i="3"/>
  <c r="G121" i="3" s="1"/>
  <c r="G132" i="3" s="1"/>
  <c r="C109" i="3"/>
  <c r="D109" i="3"/>
  <c r="E109" i="3"/>
  <c r="F109" i="3"/>
  <c r="F121" i="3" s="1"/>
  <c r="F132" i="3" s="1"/>
  <c r="G109" i="3"/>
  <c r="C110" i="3"/>
  <c r="D110" i="3"/>
  <c r="E110" i="3"/>
  <c r="F110" i="3"/>
  <c r="G110" i="3"/>
  <c r="C111" i="3"/>
  <c r="D111" i="3"/>
  <c r="H111" i="3" s="1"/>
  <c r="M111" i="3" s="1"/>
  <c r="E111" i="3"/>
  <c r="F111" i="3"/>
  <c r="G111" i="3"/>
  <c r="C112" i="3"/>
  <c r="D112" i="3"/>
  <c r="E112" i="3"/>
  <c r="F112" i="3"/>
  <c r="G112" i="3"/>
  <c r="C113" i="3"/>
  <c r="D113" i="3"/>
  <c r="E113" i="3"/>
  <c r="F113" i="3"/>
  <c r="G113" i="3"/>
  <c r="B108" i="3"/>
  <c r="H108" i="3" s="1"/>
  <c r="M108" i="3" s="1"/>
  <c r="B109" i="3"/>
  <c r="B110" i="3"/>
  <c r="B111" i="3"/>
  <c r="B112" i="3"/>
  <c r="B113" i="3"/>
  <c r="B107" i="3"/>
  <c r="B77" i="3"/>
  <c r="H77" i="3" s="1"/>
  <c r="M77" i="3" s="1"/>
  <c r="B75" i="3"/>
  <c r="H75" i="3" s="1"/>
  <c r="M75" i="3" s="1"/>
  <c r="H2" i="3"/>
  <c r="H238" i="3"/>
  <c r="H229" i="3"/>
  <c r="A229" i="3"/>
  <c r="H228" i="3"/>
  <c r="A228" i="3"/>
  <c r="A227" i="3"/>
  <c r="M222" i="3"/>
  <c r="H222" i="3"/>
  <c r="G222" i="3"/>
  <c r="F222" i="3"/>
  <c r="E222" i="3"/>
  <c r="D222" i="3"/>
  <c r="C222" i="3"/>
  <c r="B222" i="3"/>
  <c r="A222" i="3"/>
  <c r="H218" i="3"/>
  <c r="M218" i="3" s="1"/>
  <c r="M217" i="3"/>
  <c r="H217" i="3"/>
  <c r="H216" i="3"/>
  <c r="M216" i="3" s="1"/>
  <c r="M215" i="3"/>
  <c r="H215" i="3"/>
  <c r="H214" i="3"/>
  <c r="M214" i="3" s="1"/>
  <c r="M212" i="3"/>
  <c r="G209" i="3"/>
  <c r="F209" i="3"/>
  <c r="E209" i="3"/>
  <c r="D209" i="3"/>
  <c r="C209" i="3"/>
  <c r="M208" i="3"/>
  <c r="H208" i="3"/>
  <c r="B208" i="3"/>
  <c r="H207" i="3"/>
  <c r="M207" i="3" s="1"/>
  <c r="M206" i="3"/>
  <c r="H206" i="3"/>
  <c r="H205" i="3"/>
  <c r="M205" i="3" s="1"/>
  <c r="B205" i="3"/>
  <c r="M198" i="3"/>
  <c r="H198" i="3"/>
  <c r="G198" i="3"/>
  <c r="F198" i="3"/>
  <c r="E198" i="3"/>
  <c r="D198" i="3"/>
  <c r="C198" i="3"/>
  <c r="B198" i="3"/>
  <c r="F197" i="3"/>
  <c r="E197" i="3"/>
  <c r="C197" i="3"/>
  <c r="H195" i="3"/>
  <c r="M195" i="3" s="1"/>
  <c r="H194" i="3"/>
  <c r="H193" i="3"/>
  <c r="M193" i="3" s="1"/>
  <c r="H192" i="3"/>
  <c r="M192" i="3" s="1"/>
  <c r="M191" i="3"/>
  <c r="H191" i="3"/>
  <c r="H190" i="3"/>
  <c r="M190" i="3" s="1"/>
  <c r="H189" i="3"/>
  <c r="M189" i="3" s="1"/>
  <c r="M188" i="3"/>
  <c r="H188" i="3"/>
  <c r="H187" i="3"/>
  <c r="M187" i="3" s="1"/>
  <c r="H186" i="3"/>
  <c r="M186" i="3" s="1"/>
  <c r="B186" i="3"/>
  <c r="G185" i="3"/>
  <c r="H185" i="3" s="1"/>
  <c r="M185" i="3" s="1"/>
  <c r="H184" i="3"/>
  <c r="M184" i="3" s="1"/>
  <c r="M175" i="3"/>
  <c r="H175" i="3"/>
  <c r="H174" i="3"/>
  <c r="M174" i="3" s="1"/>
  <c r="H172" i="3"/>
  <c r="M171" i="3"/>
  <c r="H171" i="3"/>
  <c r="G171" i="3"/>
  <c r="F171" i="3"/>
  <c r="E171" i="3"/>
  <c r="D171" i="3"/>
  <c r="C171" i="3"/>
  <c r="B171" i="3"/>
  <c r="F170" i="3"/>
  <c r="E170" i="3"/>
  <c r="D170" i="3"/>
  <c r="G169" i="3"/>
  <c r="M168" i="3"/>
  <c r="H168" i="3"/>
  <c r="H167" i="3"/>
  <c r="M167" i="3" s="1"/>
  <c r="M165" i="3"/>
  <c r="H165" i="3"/>
  <c r="B163" i="3"/>
  <c r="H163" i="3" s="1"/>
  <c r="M163" i="3" s="1"/>
  <c r="H159" i="3"/>
  <c r="M159" i="3" s="1"/>
  <c r="B158" i="3"/>
  <c r="H156" i="3"/>
  <c r="M156" i="3" s="1"/>
  <c r="M155" i="3"/>
  <c r="H155" i="3"/>
  <c r="G155" i="3"/>
  <c r="F155" i="3"/>
  <c r="E155" i="3"/>
  <c r="D155" i="3"/>
  <c r="C155" i="3"/>
  <c r="B155" i="3"/>
  <c r="G154" i="3"/>
  <c r="F154" i="3"/>
  <c r="E154" i="3"/>
  <c r="D154" i="3"/>
  <c r="M152" i="3"/>
  <c r="H152" i="3"/>
  <c r="C151" i="3"/>
  <c r="C154" i="3" s="1"/>
  <c r="B151" i="3"/>
  <c r="M146" i="3"/>
  <c r="H146" i="3"/>
  <c r="H145" i="3"/>
  <c r="M145" i="3" s="1"/>
  <c r="M143" i="3"/>
  <c r="H143" i="3"/>
  <c r="G143" i="3"/>
  <c r="F143" i="3"/>
  <c r="E143" i="3"/>
  <c r="D143" i="3"/>
  <c r="C143" i="3"/>
  <c r="B143" i="3"/>
  <c r="H139" i="3"/>
  <c r="M139" i="3" s="1"/>
  <c r="H138" i="3"/>
  <c r="M138" i="3" s="1"/>
  <c r="H137" i="3"/>
  <c r="M137" i="3" s="1"/>
  <c r="G135" i="3"/>
  <c r="F131" i="3"/>
  <c r="E131" i="3"/>
  <c r="C131" i="3"/>
  <c r="H130" i="3"/>
  <c r="M130" i="3" s="1"/>
  <c r="C129" i="3"/>
  <c r="B129" i="3"/>
  <c r="B131" i="3" s="1"/>
  <c r="H128" i="3"/>
  <c r="M128" i="3" s="1"/>
  <c r="H127" i="3"/>
  <c r="M127" i="3" s="1"/>
  <c r="M126" i="3"/>
  <c r="H126" i="3"/>
  <c r="H125" i="3"/>
  <c r="M125" i="3" s="1"/>
  <c r="M124" i="3"/>
  <c r="H124" i="3"/>
  <c r="H123" i="3"/>
  <c r="M123" i="3" s="1"/>
  <c r="M122" i="3"/>
  <c r="M120" i="3"/>
  <c r="H120" i="3"/>
  <c r="B119" i="3"/>
  <c r="H119" i="3" s="1"/>
  <c r="M119" i="3" s="1"/>
  <c r="H118" i="3"/>
  <c r="M118" i="3" s="1"/>
  <c r="F118" i="3"/>
  <c r="D118" i="3"/>
  <c r="C118" i="3"/>
  <c r="M117" i="3"/>
  <c r="H117" i="3"/>
  <c r="B117" i="3"/>
  <c r="M106" i="3"/>
  <c r="M105" i="3"/>
  <c r="H105" i="3"/>
  <c r="G105" i="3"/>
  <c r="F105" i="3"/>
  <c r="E105" i="3"/>
  <c r="D105" i="3"/>
  <c r="C105" i="3"/>
  <c r="B105" i="3"/>
  <c r="M104" i="3"/>
  <c r="G103" i="3"/>
  <c r="F103" i="3"/>
  <c r="E103" i="3"/>
  <c r="D103" i="3"/>
  <c r="C103" i="3"/>
  <c r="B103" i="3"/>
  <c r="H102" i="3"/>
  <c r="M102" i="3" s="1"/>
  <c r="M101" i="3"/>
  <c r="H101" i="3"/>
  <c r="H100" i="3"/>
  <c r="M100" i="3" s="1"/>
  <c r="H99" i="3"/>
  <c r="H103" i="3" s="1"/>
  <c r="M103" i="3" s="1"/>
  <c r="M98" i="3"/>
  <c r="F97" i="3"/>
  <c r="E97" i="3"/>
  <c r="D96" i="3"/>
  <c r="C96" i="3"/>
  <c r="B96" i="3"/>
  <c r="H95" i="3"/>
  <c r="M95" i="3" s="1"/>
  <c r="H94" i="3"/>
  <c r="M93" i="3"/>
  <c r="H93" i="3"/>
  <c r="H92" i="3"/>
  <c r="M92" i="3" s="1"/>
  <c r="M91" i="3"/>
  <c r="G90" i="3"/>
  <c r="F90" i="3"/>
  <c r="E90" i="3"/>
  <c r="B90" i="3"/>
  <c r="M89" i="3"/>
  <c r="H89" i="3"/>
  <c r="M88" i="3"/>
  <c r="H88" i="3"/>
  <c r="M87" i="3"/>
  <c r="H87" i="3"/>
  <c r="H86" i="3"/>
  <c r="M86" i="3" s="1"/>
  <c r="H85" i="3"/>
  <c r="M85" i="3" s="1"/>
  <c r="C82" i="3"/>
  <c r="H82" i="3" s="1"/>
  <c r="M81" i="3"/>
  <c r="G80" i="3"/>
  <c r="G97" i="3" s="1"/>
  <c r="F80" i="3"/>
  <c r="E80" i="3"/>
  <c r="D80" i="3"/>
  <c r="C79" i="3"/>
  <c r="H79" i="3" s="1"/>
  <c r="M79" i="3" s="1"/>
  <c r="H78" i="3"/>
  <c r="M78" i="3" s="1"/>
  <c r="H76" i="3"/>
  <c r="M76" i="3" s="1"/>
  <c r="B76" i="3"/>
  <c r="M73" i="3"/>
  <c r="M72" i="3"/>
  <c r="H72" i="3"/>
  <c r="G72" i="3"/>
  <c r="F72" i="3"/>
  <c r="E72" i="3"/>
  <c r="D72" i="3"/>
  <c r="C72" i="3"/>
  <c r="B72" i="3"/>
  <c r="M71" i="3"/>
  <c r="M66" i="3"/>
  <c r="G64" i="3"/>
  <c r="G63" i="3"/>
  <c r="G65" i="3" s="1"/>
  <c r="F63" i="3"/>
  <c r="E63" i="3"/>
  <c r="D63" i="3"/>
  <c r="D65" i="3" s="1"/>
  <c r="C63" i="3"/>
  <c r="C65" i="3" s="1"/>
  <c r="M62" i="3"/>
  <c r="G61" i="3"/>
  <c r="F61" i="3"/>
  <c r="F64" i="3" s="1"/>
  <c r="E61" i="3"/>
  <c r="E64" i="3" s="1"/>
  <c r="D61" i="3"/>
  <c r="D64" i="3" s="1"/>
  <c r="C61" i="3"/>
  <c r="C64" i="3" s="1"/>
  <c r="B61" i="3"/>
  <c r="B64" i="3" s="1"/>
  <c r="H60" i="3"/>
  <c r="M60" i="3" s="1"/>
  <c r="M59" i="3"/>
  <c r="H59" i="3"/>
  <c r="M58" i="3"/>
  <c r="H58" i="3"/>
  <c r="H57" i="3"/>
  <c r="M57" i="3" s="1"/>
  <c r="H56" i="3"/>
  <c r="M56" i="3" s="1"/>
  <c r="H55" i="3"/>
  <c r="M55" i="3" s="1"/>
  <c r="H54" i="3"/>
  <c r="M54" i="3" s="1"/>
  <c r="M53" i="3"/>
  <c r="H53" i="3"/>
  <c r="M52" i="3"/>
  <c r="H52" i="3"/>
  <c r="H51" i="3"/>
  <c r="M51" i="3" s="1"/>
  <c r="H50" i="3"/>
  <c r="M50" i="3" s="1"/>
  <c r="H49" i="3"/>
  <c r="M49" i="3" s="1"/>
  <c r="H48" i="3"/>
  <c r="M48" i="3" s="1"/>
  <c r="M47" i="3"/>
  <c r="H47" i="3"/>
  <c r="M46" i="3"/>
  <c r="H46" i="3"/>
  <c r="H45" i="3"/>
  <c r="M45" i="3" s="1"/>
  <c r="H44" i="3"/>
  <c r="M44" i="3" s="1"/>
  <c r="H43" i="3"/>
  <c r="M43" i="3" s="1"/>
  <c r="H42" i="3"/>
  <c r="M42" i="3" s="1"/>
  <c r="M41" i="3"/>
  <c r="H41" i="3"/>
  <c r="M40" i="3"/>
  <c r="H40" i="3"/>
  <c r="H39" i="3"/>
  <c r="M39" i="3" s="1"/>
  <c r="M38" i="3"/>
  <c r="H38" i="3"/>
  <c r="G38" i="3"/>
  <c r="F38" i="3"/>
  <c r="E38" i="3"/>
  <c r="D38" i="3"/>
  <c r="C38" i="3"/>
  <c r="B38" i="3"/>
  <c r="M37" i="3"/>
  <c r="G36" i="3"/>
  <c r="G140" i="3" s="1"/>
  <c r="F36" i="3"/>
  <c r="F140" i="3" s="1"/>
  <c r="E36" i="3"/>
  <c r="E135" i="3" s="1"/>
  <c r="D36" i="3"/>
  <c r="D140" i="3" s="1"/>
  <c r="C36" i="3"/>
  <c r="C140" i="3" s="1"/>
  <c r="B36" i="3"/>
  <c r="B63" i="3" s="1"/>
  <c r="B65" i="3" s="1"/>
  <c r="M35" i="3"/>
  <c r="H35" i="3"/>
  <c r="H34" i="3"/>
  <c r="M34" i="3" s="1"/>
  <c r="H33" i="3"/>
  <c r="M33" i="3" s="1"/>
  <c r="H32" i="3"/>
  <c r="M32" i="3" s="1"/>
  <c r="H31" i="3"/>
  <c r="M31" i="3" s="1"/>
  <c r="H30" i="3"/>
  <c r="M30" i="3" s="1"/>
  <c r="M29" i="3"/>
  <c r="H29" i="3"/>
  <c r="H28" i="3"/>
  <c r="M28" i="3" s="1"/>
  <c r="H27" i="3"/>
  <c r="M26" i="3"/>
  <c r="H26" i="3"/>
  <c r="G26" i="3"/>
  <c r="F26" i="3"/>
  <c r="E26" i="3"/>
  <c r="D26" i="3"/>
  <c r="C26" i="3"/>
  <c r="B26" i="3"/>
  <c r="M25" i="3"/>
  <c r="H24" i="3"/>
  <c r="M24" i="3" s="1"/>
  <c r="H23" i="3"/>
  <c r="M23" i="3" s="1"/>
  <c r="H22" i="3"/>
  <c r="M22" i="3" s="1"/>
  <c r="H21" i="3"/>
  <c r="M21" i="3" s="1"/>
  <c r="H20" i="3"/>
  <c r="I28" i="3" s="1"/>
  <c r="M19" i="3"/>
  <c r="H19" i="3"/>
  <c r="G19" i="3"/>
  <c r="F19" i="3"/>
  <c r="E19" i="3"/>
  <c r="D19" i="3"/>
  <c r="C19" i="3"/>
  <c r="B19" i="3"/>
  <c r="M18" i="3"/>
  <c r="G17" i="3"/>
  <c r="F17" i="3"/>
  <c r="D17" i="3"/>
  <c r="C17" i="3"/>
  <c r="B17" i="3"/>
  <c r="H213" i="3" s="1"/>
  <c r="D213" i="6" s="1"/>
  <c r="H16" i="3"/>
  <c r="M16" i="3" s="1"/>
  <c r="H15" i="3"/>
  <c r="M15" i="3" s="1"/>
  <c r="H14" i="3"/>
  <c r="M14" i="3" s="1"/>
  <c r="H13" i="3"/>
  <c r="M13" i="3" s="1"/>
  <c r="H12" i="3"/>
  <c r="M12" i="3" s="1"/>
  <c r="H11" i="3"/>
  <c r="M11" i="3" s="1"/>
  <c r="H10" i="3"/>
  <c r="M10" i="3" s="1"/>
  <c r="M9" i="3"/>
  <c r="L9" i="3"/>
  <c r="I9" i="3"/>
  <c r="H9" i="3"/>
  <c r="L8" i="3"/>
  <c r="I8" i="3"/>
  <c r="H8" i="3"/>
  <c r="M8" i="3" s="1"/>
  <c r="L7" i="3"/>
  <c r="I7" i="3"/>
  <c r="H7" i="3"/>
  <c r="M7" i="3" s="1"/>
  <c r="M6" i="3"/>
  <c r="L6" i="3"/>
  <c r="I6" i="3"/>
  <c r="H6" i="3"/>
  <c r="L5" i="3"/>
  <c r="I5" i="3"/>
  <c r="H5" i="3"/>
  <c r="M5" i="3" s="1"/>
  <c r="L4" i="3"/>
  <c r="I4" i="3"/>
  <c r="I17" i="3" s="1"/>
  <c r="H4" i="3"/>
  <c r="M4" i="3" s="1"/>
  <c r="B3" i="3"/>
  <c r="B74" i="3" s="1"/>
  <c r="B200" i="2"/>
  <c r="B201" i="2"/>
  <c r="B202" i="2"/>
  <c r="B203" i="2"/>
  <c r="B204" i="2"/>
  <c r="B199" i="2"/>
  <c r="B181" i="2"/>
  <c r="B180" i="2"/>
  <c r="B179" i="2"/>
  <c r="B177" i="2"/>
  <c r="B176" i="2"/>
  <c r="B173" i="2"/>
  <c r="B172" i="2"/>
  <c r="B163" i="2"/>
  <c r="B162" i="2"/>
  <c r="G133" i="2"/>
  <c r="F133" i="2"/>
  <c r="E133" i="2"/>
  <c r="D133" i="2"/>
  <c r="C133" i="2"/>
  <c r="B133" i="2"/>
  <c r="C82" i="2"/>
  <c r="C79" i="2"/>
  <c r="B77" i="2"/>
  <c r="B75" i="2"/>
  <c r="D129" i="2"/>
  <c r="B118" i="2"/>
  <c r="B116" i="2"/>
  <c r="C115" i="2"/>
  <c r="B114" i="2"/>
  <c r="I114" i="1"/>
  <c r="B112"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B108" i="2"/>
  <c r="B109" i="2"/>
  <c r="B110" i="2"/>
  <c r="B111" i="2"/>
  <c r="B107" i="2"/>
  <c r="M129" i="5" l="1"/>
  <c r="M131" i="5" s="1"/>
  <c r="F129" i="6"/>
  <c r="F131" i="6" s="1"/>
  <c r="M115" i="5"/>
  <c r="F115" i="6"/>
  <c r="H121" i="5"/>
  <c r="H132" i="5" s="1"/>
  <c r="H69" i="5" s="1"/>
  <c r="F121" i="6"/>
  <c r="F132" i="6" s="1"/>
  <c r="F68" i="6" s="1"/>
  <c r="D141" i="5"/>
  <c r="D142" i="5" s="1"/>
  <c r="M121" i="5"/>
  <c r="M132" i="5" s="1"/>
  <c r="M196" i="5"/>
  <c r="F196" i="6"/>
  <c r="M169" i="5"/>
  <c r="F169" i="6"/>
  <c r="M74" i="5"/>
  <c r="M2" i="3"/>
  <c r="D2" i="6"/>
  <c r="M160" i="5"/>
  <c r="F160" i="6"/>
  <c r="F70" i="6"/>
  <c r="M94" i="3"/>
  <c r="M96" i="3" s="1"/>
  <c r="D94" i="6"/>
  <c r="D96" i="6" s="1"/>
  <c r="M94" i="4"/>
  <c r="M96" i="4" s="1"/>
  <c r="E94" i="6"/>
  <c r="E96" i="6" s="1"/>
  <c r="F209" i="6"/>
  <c r="F197" i="6"/>
  <c r="D141" i="6"/>
  <c r="D142" i="6" s="1"/>
  <c r="D68" i="6"/>
  <c r="B68" i="6"/>
  <c r="B69" i="6"/>
  <c r="E141" i="6"/>
  <c r="E142" i="6" s="1"/>
  <c r="F154" i="6"/>
  <c r="E154" i="6"/>
  <c r="C154" i="6"/>
  <c r="C141" i="6"/>
  <c r="C142" i="6" s="1"/>
  <c r="B154" i="6"/>
  <c r="B197" i="6"/>
  <c r="B80" i="5"/>
  <c r="B97" i="5" s="1"/>
  <c r="H151" i="5"/>
  <c r="M151" i="5" s="1"/>
  <c r="I28" i="5"/>
  <c r="M82" i="5"/>
  <c r="H79" i="5"/>
  <c r="H82" i="4"/>
  <c r="M82" i="4" s="1"/>
  <c r="H151" i="4"/>
  <c r="M151" i="4" s="1"/>
  <c r="C97" i="4"/>
  <c r="H79" i="4"/>
  <c r="M79" i="4" s="1"/>
  <c r="M20" i="4"/>
  <c r="M20" i="3"/>
  <c r="H151" i="3"/>
  <c r="M151" i="3" s="1"/>
  <c r="C90" i="3"/>
  <c r="B166" i="5"/>
  <c r="H166" i="5" s="1"/>
  <c r="B197" i="5"/>
  <c r="M199" i="5"/>
  <c r="M209" i="5" s="1"/>
  <c r="H209" i="5"/>
  <c r="B154" i="5"/>
  <c r="H144" i="5"/>
  <c r="F134" i="5"/>
  <c r="F133" i="5"/>
  <c r="F141" i="5" s="1"/>
  <c r="F142" i="5" s="1"/>
  <c r="F211" i="5" s="1"/>
  <c r="F219" i="5" s="1"/>
  <c r="F220" i="5" s="1"/>
  <c r="B133" i="5"/>
  <c r="B134" i="5"/>
  <c r="C170" i="5"/>
  <c r="H157" i="5"/>
  <c r="G141" i="5"/>
  <c r="G142" i="5" s="1"/>
  <c r="C121" i="5"/>
  <c r="C132" i="5" s="1"/>
  <c r="D90" i="5"/>
  <c r="D97" i="5" s="1"/>
  <c r="H83" i="5"/>
  <c r="H227" i="5"/>
  <c r="H231" i="5" s="1"/>
  <c r="M213" i="5"/>
  <c r="G161" i="5"/>
  <c r="G136" i="5"/>
  <c r="H136" i="5" s="1"/>
  <c r="M136" i="5" s="1"/>
  <c r="H182" i="5"/>
  <c r="D197" i="5"/>
  <c r="D211" i="5" s="1"/>
  <c r="H135" i="5"/>
  <c r="M135" i="5" s="1"/>
  <c r="H65" i="5"/>
  <c r="D132" i="4"/>
  <c r="H118" i="4"/>
  <c r="M118" i="4" s="1"/>
  <c r="H107" i="4"/>
  <c r="M107" i="4" s="1"/>
  <c r="H112" i="4"/>
  <c r="M112" i="4" s="1"/>
  <c r="B63" i="4"/>
  <c r="B65" i="4" s="1"/>
  <c r="M131" i="4"/>
  <c r="B196" i="4"/>
  <c r="H196" i="4" s="1"/>
  <c r="B74" i="4"/>
  <c r="H74" i="4" s="1"/>
  <c r="H17" i="4"/>
  <c r="M17" i="4" s="1"/>
  <c r="M36" i="4"/>
  <c r="M63" i="4" s="1"/>
  <c r="G133" i="4"/>
  <c r="M114" i="4"/>
  <c r="B136" i="4"/>
  <c r="D133" i="4"/>
  <c r="H227" i="4"/>
  <c r="H231" i="4" s="1"/>
  <c r="M213" i="4"/>
  <c r="G65" i="4"/>
  <c r="D136" i="4"/>
  <c r="E133" i="4"/>
  <c r="C121" i="4"/>
  <c r="C132" i="4" s="1"/>
  <c r="M61" i="4"/>
  <c r="M64" i="4" s="1"/>
  <c r="F133" i="4"/>
  <c r="B121" i="4"/>
  <c r="B132" i="4" s="1"/>
  <c r="B147" i="4"/>
  <c r="H147" i="4" s="1"/>
  <c r="M147" i="4" s="1"/>
  <c r="B164" i="4"/>
  <c r="H164" i="4" s="1"/>
  <c r="M164" i="4" s="1"/>
  <c r="B178" i="4"/>
  <c r="H178" i="4" s="1"/>
  <c r="M178" i="4" s="1"/>
  <c r="D182" i="4"/>
  <c r="M4" i="4"/>
  <c r="I27" i="4"/>
  <c r="H75" i="4"/>
  <c r="M75" i="4" s="1"/>
  <c r="B135" i="4"/>
  <c r="H135" i="4" s="1"/>
  <c r="M135" i="4" s="1"/>
  <c r="F140" i="4"/>
  <c r="H140" i="4" s="1"/>
  <c r="M140" i="4" s="1"/>
  <c r="H36" i="4"/>
  <c r="H63" i="4" s="1"/>
  <c r="H65" i="4" s="1"/>
  <c r="D83" i="4"/>
  <c r="H96" i="4"/>
  <c r="M99" i="4"/>
  <c r="D135" i="4"/>
  <c r="B148" i="4"/>
  <c r="H148" i="4" s="1"/>
  <c r="M148" i="4" s="1"/>
  <c r="C157" i="4"/>
  <c r="D183" i="4"/>
  <c r="H183" i="4" s="1"/>
  <c r="M183" i="4" s="1"/>
  <c r="G197" i="4"/>
  <c r="H199" i="4"/>
  <c r="M214" i="4"/>
  <c r="H115" i="4"/>
  <c r="M115" i="4" s="1"/>
  <c r="H2" i="4"/>
  <c r="G135" i="4"/>
  <c r="B144" i="4"/>
  <c r="D84" i="4"/>
  <c r="H84" i="4" s="1"/>
  <c r="M84" i="4" s="1"/>
  <c r="C63" i="4"/>
  <c r="C65" i="4" s="1"/>
  <c r="B149" i="4"/>
  <c r="H149" i="4" s="1"/>
  <c r="M149" i="4" s="1"/>
  <c r="B153" i="4"/>
  <c r="H153" i="4" s="1"/>
  <c r="M153" i="4" s="1"/>
  <c r="H131" i="4"/>
  <c r="B150" i="4"/>
  <c r="H150" i="4" s="1"/>
  <c r="M150" i="4" s="1"/>
  <c r="H172" i="4"/>
  <c r="H160" i="4"/>
  <c r="B209" i="3"/>
  <c r="D132" i="3"/>
  <c r="H112" i="3"/>
  <c r="M112" i="3" s="1"/>
  <c r="H113" i="3"/>
  <c r="M113" i="3" s="1"/>
  <c r="H110" i="3"/>
  <c r="M110" i="3" s="1"/>
  <c r="H107" i="3"/>
  <c r="H36" i="3"/>
  <c r="H63" i="3" s="1"/>
  <c r="H65" i="3" s="1"/>
  <c r="B144" i="3"/>
  <c r="H144" i="3" s="1"/>
  <c r="B153" i="3"/>
  <c r="H153" i="3" s="1"/>
  <c r="M153" i="3" s="1"/>
  <c r="B149" i="3"/>
  <c r="H149" i="3" s="1"/>
  <c r="M149" i="3" s="1"/>
  <c r="B150" i="3"/>
  <c r="H150" i="3" s="1"/>
  <c r="M150" i="3" s="1"/>
  <c r="B169" i="3"/>
  <c r="H169" i="3" s="1"/>
  <c r="H74" i="3"/>
  <c r="D74" i="6" s="1"/>
  <c r="D80" i="6" s="1"/>
  <c r="B80" i="3"/>
  <c r="B97" i="3" s="1"/>
  <c r="B166" i="3"/>
  <c r="H166" i="3" s="1"/>
  <c r="C136" i="3"/>
  <c r="D136" i="3"/>
  <c r="E65" i="3"/>
  <c r="H227" i="3"/>
  <c r="H231" i="3" s="1"/>
  <c r="M213" i="3"/>
  <c r="F65" i="3"/>
  <c r="I82" i="3"/>
  <c r="M82" i="3"/>
  <c r="M172" i="3"/>
  <c r="B136" i="3"/>
  <c r="F133" i="3"/>
  <c r="M199" i="3"/>
  <c r="M61" i="3"/>
  <c r="M64" i="3" s="1"/>
  <c r="G133" i="3"/>
  <c r="G136" i="3"/>
  <c r="G161" i="3"/>
  <c r="M107" i="3"/>
  <c r="M27" i="3"/>
  <c r="M36" i="3" s="1"/>
  <c r="M63" i="3" s="1"/>
  <c r="H61" i="3"/>
  <c r="H64" i="3" s="1"/>
  <c r="C80" i="3"/>
  <c r="D83" i="3"/>
  <c r="H96" i="3"/>
  <c r="M99" i="3"/>
  <c r="B135" i="3"/>
  <c r="H135" i="3" s="1"/>
  <c r="M135" i="3" s="1"/>
  <c r="H158" i="3"/>
  <c r="M158" i="3" s="1"/>
  <c r="B196" i="3"/>
  <c r="H196" i="3" s="1"/>
  <c r="I27" i="3"/>
  <c r="H109" i="3"/>
  <c r="M109" i="3" s="1"/>
  <c r="D182" i="3"/>
  <c r="C135" i="3"/>
  <c r="H3" i="3"/>
  <c r="M3" i="3" s="1"/>
  <c r="H114" i="3"/>
  <c r="H129" i="3"/>
  <c r="M129" i="3" s="1"/>
  <c r="M131" i="3" s="1"/>
  <c r="E140" i="3"/>
  <c r="B147" i="3"/>
  <c r="H147" i="3" s="1"/>
  <c r="M147" i="3" s="1"/>
  <c r="B178" i="3"/>
  <c r="H178" i="3" s="1"/>
  <c r="M178" i="3" s="1"/>
  <c r="H17" i="3"/>
  <c r="M17" i="3" s="1"/>
  <c r="E121" i="3"/>
  <c r="E132" i="3" s="1"/>
  <c r="D135" i="3"/>
  <c r="B148" i="3"/>
  <c r="H148" i="3" s="1"/>
  <c r="M148" i="3" s="1"/>
  <c r="C157" i="3"/>
  <c r="D183" i="3"/>
  <c r="H183" i="3" s="1"/>
  <c r="M183" i="3" s="1"/>
  <c r="G197" i="3"/>
  <c r="H200" i="3"/>
  <c r="M200" i="3" s="1"/>
  <c r="B140" i="3"/>
  <c r="H140" i="3" s="1"/>
  <c r="M140" i="3" s="1"/>
  <c r="B164" i="3"/>
  <c r="H164" i="3" s="1"/>
  <c r="M164" i="3" s="1"/>
  <c r="D84" i="3"/>
  <c r="H84" i="3" s="1"/>
  <c r="M84" i="3" s="1"/>
  <c r="H115" i="3"/>
  <c r="M115" i="3" s="1"/>
  <c r="H160" i="3"/>
  <c r="F69" i="6" l="1"/>
  <c r="H68" i="5"/>
  <c r="M166" i="5"/>
  <c r="F166" i="6"/>
  <c r="F170" i="6" s="1"/>
  <c r="M74" i="4"/>
  <c r="M80" i="4" s="1"/>
  <c r="E74" i="6"/>
  <c r="E80" i="6" s="1"/>
  <c r="M2" i="4"/>
  <c r="E2" i="6"/>
  <c r="M196" i="4"/>
  <c r="E196" i="6"/>
  <c r="E197" i="6" s="1"/>
  <c r="M166" i="3"/>
  <c r="D166" i="6"/>
  <c r="M169" i="3"/>
  <c r="D169" i="6"/>
  <c r="M196" i="3"/>
  <c r="D196" i="6"/>
  <c r="D197" i="6" s="1"/>
  <c r="M160" i="4"/>
  <c r="E160" i="6"/>
  <c r="M160" i="3"/>
  <c r="D160" i="6"/>
  <c r="D170" i="6" s="1"/>
  <c r="D211" i="6" s="1"/>
  <c r="D97" i="6"/>
  <c r="D70" i="6" s="1"/>
  <c r="E97" i="6"/>
  <c r="E70" i="6" s="1"/>
  <c r="B141" i="6"/>
  <c r="B142" i="6" s="1"/>
  <c r="B80" i="6"/>
  <c r="B97" i="6" s="1"/>
  <c r="B70" i="6" s="1"/>
  <c r="M79" i="5"/>
  <c r="M80" i="5" s="1"/>
  <c r="H80" i="5"/>
  <c r="I82" i="4"/>
  <c r="C97" i="3"/>
  <c r="B170" i="5"/>
  <c r="D219" i="5"/>
  <c r="D220" i="5" s="1"/>
  <c r="M83" i="5"/>
  <c r="M90" i="5" s="1"/>
  <c r="H90" i="5"/>
  <c r="B141" i="5"/>
  <c r="B142" i="5" s="1"/>
  <c r="C133" i="5"/>
  <c r="C134" i="5"/>
  <c r="H134" i="5" s="1"/>
  <c r="F134" i="6" s="1"/>
  <c r="M182" i="5"/>
  <c r="M197" i="5" s="1"/>
  <c r="H197" i="5"/>
  <c r="M144" i="5"/>
  <c r="M154" i="5" s="1"/>
  <c r="H154" i="5"/>
  <c r="G170" i="5"/>
  <c r="G211" i="5" s="1"/>
  <c r="G219" i="5" s="1"/>
  <c r="G220" i="5" s="1"/>
  <c r="H161" i="5"/>
  <c r="M161" i="5" s="1"/>
  <c r="M157" i="5"/>
  <c r="M170" i="5" s="1"/>
  <c r="H170" i="5"/>
  <c r="E141" i="4"/>
  <c r="E142" i="4" s="1"/>
  <c r="E211" i="4" s="1"/>
  <c r="E219" i="4" s="1"/>
  <c r="E220" i="4" s="1"/>
  <c r="M65" i="4"/>
  <c r="B166" i="4"/>
  <c r="H166" i="4" s="1"/>
  <c r="B169" i="4"/>
  <c r="H169" i="4" s="1"/>
  <c r="B80" i="4"/>
  <c r="B97" i="4" s="1"/>
  <c r="B197" i="4"/>
  <c r="B133" i="4"/>
  <c r="M172" i="4"/>
  <c r="F141" i="4"/>
  <c r="F142" i="4" s="1"/>
  <c r="F211" i="4" s="1"/>
  <c r="F219" i="4" s="1"/>
  <c r="F220" i="4" s="1"/>
  <c r="M199" i="4"/>
  <c r="M209" i="4" s="1"/>
  <c r="H209" i="4"/>
  <c r="D90" i="4"/>
  <c r="D97" i="4" s="1"/>
  <c r="H83" i="4"/>
  <c r="G136" i="4"/>
  <c r="G161" i="4"/>
  <c r="I114" i="4"/>
  <c r="G141" i="4"/>
  <c r="G142" i="4" s="1"/>
  <c r="C136" i="4"/>
  <c r="H136" i="4" s="1"/>
  <c r="M136" i="4" s="1"/>
  <c r="H182" i="4"/>
  <c r="M182" i="4" s="1"/>
  <c r="D197" i="4"/>
  <c r="M121" i="4"/>
  <c r="M132" i="4" s="1"/>
  <c r="B154" i="4"/>
  <c r="H144" i="4"/>
  <c r="H80" i="4"/>
  <c r="C133" i="4"/>
  <c r="C170" i="4"/>
  <c r="H157" i="4"/>
  <c r="H121" i="4"/>
  <c r="H132" i="4" s="1"/>
  <c r="H68" i="4" s="1"/>
  <c r="D141" i="4"/>
  <c r="D142" i="4" s="1"/>
  <c r="D133" i="3"/>
  <c r="D141" i="3" s="1"/>
  <c r="D142" i="3" s="1"/>
  <c r="B121" i="3"/>
  <c r="B132" i="3" s="1"/>
  <c r="D90" i="3"/>
  <c r="D97" i="3" s="1"/>
  <c r="H83" i="3"/>
  <c r="F141" i="3"/>
  <c r="F142" i="3" s="1"/>
  <c r="F211" i="3" s="1"/>
  <c r="F219" i="3" s="1"/>
  <c r="F220" i="3" s="1"/>
  <c r="H157" i="3"/>
  <c r="C170" i="3"/>
  <c r="D197" i="3"/>
  <c r="H182" i="3"/>
  <c r="M65" i="3"/>
  <c r="H161" i="3"/>
  <c r="M161" i="3" s="1"/>
  <c r="G170" i="3"/>
  <c r="H136" i="3"/>
  <c r="M136" i="3" s="1"/>
  <c r="B154" i="3"/>
  <c r="M114" i="3"/>
  <c r="M121" i="3" s="1"/>
  <c r="M132" i="3" s="1"/>
  <c r="I114" i="3"/>
  <c r="B197" i="3"/>
  <c r="E133" i="3"/>
  <c r="E141" i="3" s="1"/>
  <c r="E142" i="3" s="1"/>
  <c r="E211" i="3" s="1"/>
  <c r="E219" i="3" s="1"/>
  <c r="E220" i="3" s="1"/>
  <c r="H131" i="3"/>
  <c r="H121" i="3"/>
  <c r="H132" i="3" s="1"/>
  <c r="H209" i="3"/>
  <c r="H154" i="3"/>
  <c r="M144" i="3"/>
  <c r="M154" i="3" s="1"/>
  <c r="M74" i="3"/>
  <c r="M80" i="3" s="1"/>
  <c r="H80" i="3"/>
  <c r="B170" i="3"/>
  <c r="C121" i="3"/>
  <c r="C132" i="3" s="1"/>
  <c r="M209" i="3"/>
  <c r="G141" i="3"/>
  <c r="G142" i="3" s="1"/>
  <c r="G211" i="3" s="1"/>
  <c r="G219" i="3" s="1"/>
  <c r="G220" i="3" s="1"/>
  <c r="M169" i="4" l="1"/>
  <c r="E169" i="6"/>
  <c r="M166" i="4"/>
  <c r="E166" i="6"/>
  <c r="E170" i="6" s="1"/>
  <c r="E211" i="6" s="1"/>
  <c r="E67" i="6" s="1"/>
  <c r="D219" i="6"/>
  <c r="D67" i="6"/>
  <c r="B170" i="6"/>
  <c r="B211" i="6" s="1"/>
  <c r="H97" i="5"/>
  <c r="H70" i="5" s="1"/>
  <c r="M97" i="5"/>
  <c r="B211" i="5"/>
  <c r="B219" i="5" s="1"/>
  <c r="B220" i="5" s="1"/>
  <c r="M134" i="5"/>
  <c r="I134" i="5"/>
  <c r="C141" i="5"/>
  <c r="C142" i="5" s="1"/>
  <c r="C211" i="5" s="1"/>
  <c r="C219" i="5" s="1"/>
  <c r="C220" i="5" s="1"/>
  <c r="H133" i="5"/>
  <c r="F133" i="6" s="1"/>
  <c r="F141" i="6" s="1"/>
  <c r="F142" i="6" s="1"/>
  <c r="F211" i="6" s="1"/>
  <c r="F219" i="6" s="1"/>
  <c r="F220" i="6" s="1"/>
  <c r="H134" i="4"/>
  <c r="I134" i="4" s="1"/>
  <c r="B170" i="4"/>
  <c r="H197" i="4"/>
  <c r="M197" i="4"/>
  <c r="B141" i="4"/>
  <c r="B142" i="4" s="1"/>
  <c r="H133" i="4"/>
  <c r="M144" i="4"/>
  <c r="M154" i="4" s="1"/>
  <c r="H154" i="4"/>
  <c r="G170" i="4"/>
  <c r="H161" i="4"/>
  <c r="M161" i="4" s="1"/>
  <c r="G211" i="4"/>
  <c r="G219" i="4" s="1"/>
  <c r="G220" i="4" s="1"/>
  <c r="C141" i="4"/>
  <c r="C142" i="4" s="1"/>
  <c r="C211" i="4" s="1"/>
  <c r="C219" i="4" s="1"/>
  <c r="C220" i="4" s="1"/>
  <c r="M83" i="4"/>
  <c r="M90" i="4" s="1"/>
  <c r="M97" i="4" s="1"/>
  <c r="H90" i="4"/>
  <c r="H97" i="4" s="1"/>
  <c r="D211" i="4"/>
  <c r="D219" i="4" s="1"/>
  <c r="D220" i="4" s="1"/>
  <c r="H69" i="4"/>
  <c r="M157" i="4"/>
  <c r="D211" i="3"/>
  <c r="D219" i="3" s="1"/>
  <c r="D220" i="3" s="1"/>
  <c r="B133" i="3"/>
  <c r="C133" i="3"/>
  <c r="M83" i="3"/>
  <c r="M90" i="3" s="1"/>
  <c r="M97" i="3" s="1"/>
  <c r="H90" i="3"/>
  <c r="H97" i="3" s="1"/>
  <c r="H69" i="3"/>
  <c r="M182" i="3"/>
  <c r="M197" i="3" s="1"/>
  <c r="H197" i="3"/>
  <c r="H68" i="3"/>
  <c r="M157" i="3"/>
  <c r="M170" i="3" s="1"/>
  <c r="H170" i="3"/>
  <c r="F67" i="6" l="1"/>
  <c r="E219" i="6"/>
  <c r="E220" i="6" s="1"/>
  <c r="D220" i="6"/>
  <c r="B219" i="6"/>
  <c r="B67" i="6"/>
  <c r="H141" i="5"/>
  <c r="H142" i="5" s="1"/>
  <c r="M133" i="5"/>
  <c r="M141" i="5" s="1"/>
  <c r="M142" i="5" s="1"/>
  <c r="M211" i="5" s="1"/>
  <c r="M219" i="5" s="1"/>
  <c r="I133" i="5"/>
  <c r="H170" i="4"/>
  <c r="M134" i="4"/>
  <c r="M170" i="4"/>
  <c r="B211" i="4"/>
  <c r="B219" i="4" s="1"/>
  <c r="B220" i="4" s="1"/>
  <c r="H70" i="4"/>
  <c r="H141" i="4"/>
  <c r="H142" i="4" s="1"/>
  <c r="M133" i="4"/>
  <c r="I133" i="4"/>
  <c r="H70" i="3"/>
  <c r="C141" i="3"/>
  <c r="C142" i="3" s="1"/>
  <c r="C211" i="3" s="1"/>
  <c r="C219" i="3" s="1"/>
  <c r="C220" i="3" s="1"/>
  <c r="B141" i="3"/>
  <c r="B142" i="3" s="1"/>
  <c r="B211" i="3" s="1"/>
  <c r="B219" i="3" s="1"/>
  <c r="B220" i="3" s="1"/>
  <c r="H133" i="3"/>
  <c r="H134" i="3"/>
  <c r="B220" i="6" l="1"/>
  <c r="B224" i="6"/>
  <c r="H211" i="5"/>
  <c r="H67" i="5" s="1"/>
  <c r="M141" i="4"/>
  <c r="M142" i="4" s="1"/>
  <c r="M211" i="4" s="1"/>
  <c r="M219" i="4" s="1"/>
  <c r="H211" i="4"/>
  <c r="H141" i="3"/>
  <c r="H142" i="3" s="1"/>
  <c r="M133" i="3"/>
  <c r="I133" i="3"/>
  <c r="I134" i="3"/>
  <c r="M134" i="3"/>
  <c r="H239" i="5" l="1"/>
  <c r="H219" i="5"/>
  <c r="H225" i="5"/>
  <c r="H232" i="5" s="1"/>
  <c r="H239" i="4"/>
  <c r="H219" i="4"/>
  <c r="H225" i="4"/>
  <c r="H232" i="4" s="1"/>
  <c r="H67" i="4"/>
  <c r="M141" i="3"/>
  <c r="M142" i="3" s="1"/>
  <c r="M211" i="3" s="1"/>
  <c r="M219" i="3" s="1"/>
  <c r="H211" i="3"/>
  <c r="H67" i="3" s="1"/>
  <c r="H220" i="4" l="1"/>
  <c r="M220" i="4" s="1"/>
  <c r="E224" i="6"/>
  <c r="H220" i="5"/>
  <c r="M220" i="5" s="1"/>
  <c r="F224" i="6"/>
  <c r="H239" i="3"/>
  <c r="H225" i="3"/>
  <c r="H232" i="3" s="1"/>
  <c r="H219" i="3"/>
  <c r="H220" i="3" l="1"/>
  <c r="M220" i="3" s="1"/>
  <c r="D224" i="6"/>
  <c r="H238" i="2" l="1"/>
  <c r="A229" i="2"/>
  <c r="A228" i="2"/>
  <c r="A227" i="2"/>
  <c r="M222" i="2"/>
  <c r="H222" i="2"/>
  <c r="G222" i="2"/>
  <c r="F222" i="2"/>
  <c r="E222" i="2"/>
  <c r="D222" i="2"/>
  <c r="C222" i="2"/>
  <c r="B222" i="2"/>
  <c r="A222" i="2"/>
  <c r="H218" i="2"/>
  <c r="M218" i="2" s="1"/>
  <c r="H217" i="2"/>
  <c r="M217" i="2" s="1"/>
  <c r="H216" i="2"/>
  <c r="M216" i="2" s="1"/>
  <c r="H215" i="2"/>
  <c r="H229" i="2" s="1"/>
  <c r="H214" i="2"/>
  <c r="H228" i="2" s="1"/>
  <c r="M212" i="2"/>
  <c r="G209" i="2"/>
  <c r="F209" i="2"/>
  <c r="E209" i="2"/>
  <c r="D209" i="2"/>
  <c r="C209" i="2"/>
  <c r="B208" i="2"/>
  <c r="H208" i="2" s="1"/>
  <c r="H207" i="2"/>
  <c r="M207" i="2" s="1"/>
  <c r="H206" i="2"/>
  <c r="M206" i="2" s="1"/>
  <c r="H205" i="2"/>
  <c r="M205" i="2" s="1"/>
  <c r="B205" i="2"/>
  <c r="H204" i="2"/>
  <c r="H203" i="2"/>
  <c r="M203" i="2" s="1"/>
  <c r="H202" i="2"/>
  <c r="M202" i="2" s="1"/>
  <c r="H201" i="2"/>
  <c r="H200" i="2"/>
  <c r="M198" i="2"/>
  <c r="H198" i="2"/>
  <c r="G198" i="2"/>
  <c r="F198" i="2"/>
  <c r="E198" i="2"/>
  <c r="D198" i="2"/>
  <c r="C198" i="2"/>
  <c r="B198" i="2"/>
  <c r="F197" i="2"/>
  <c r="E197" i="2"/>
  <c r="C197" i="2"/>
  <c r="H195" i="2"/>
  <c r="H194" i="2"/>
  <c r="H193" i="2"/>
  <c r="M193" i="2" s="1"/>
  <c r="M192" i="2"/>
  <c r="H192" i="2"/>
  <c r="H191" i="2"/>
  <c r="M191" i="2" s="1"/>
  <c r="H190" i="2"/>
  <c r="M190" i="2" s="1"/>
  <c r="H189" i="2"/>
  <c r="M189" i="2" s="1"/>
  <c r="H188" i="2"/>
  <c r="M188" i="2" s="1"/>
  <c r="H187" i="2"/>
  <c r="M187" i="2" s="1"/>
  <c r="H186" i="2"/>
  <c r="M186" i="2" s="1"/>
  <c r="B186" i="2"/>
  <c r="G185" i="2"/>
  <c r="G197" i="2" s="1"/>
  <c r="H184" i="2"/>
  <c r="M184" i="2" s="1"/>
  <c r="H181" i="2"/>
  <c r="M181" i="2" s="1"/>
  <c r="H180" i="2"/>
  <c r="H179" i="2"/>
  <c r="H177" i="2"/>
  <c r="H176" i="2"/>
  <c r="M176" i="2" s="1"/>
  <c r="H175" i="2"/>
  <c r="M175" i="2" s="1"/>
  <c r="H174" i="2"/>
  <c r="M174" i="2" s="1"/>
  <c r="H173" i="2"/>
  <c r="M173" i="2" s="1"/>
  <c r="M171" i="2"/>
  <c r="H171" i="2"/>
  <c r="G171" i="2"/>
  <c r="F171" i="2"/>
  <c r="E171" i="2"/>
  <c r="D171" i="2"/>
  <c r="C171" i="2"/>
  <c r="B171" i="2"/>
  <c r="F170" i="2"/>
  <c r="E170" i="2"/>
  <c r="D170" i="2"/>
  <c r="G169" i="2"/>
  <c r="H168" i="2"/>
  <c r="M168" i="2" s="1"/>
  <c r="H167" i="2"/>
  <c r="M167" i="2" s="1"/>
  <c r="M165" i="2"/>
  <c r="H165" i="2"/>
  <c r="H163" i="2"/>
  <c r="C163" i="6" s="1"/>
  <c r="H162" i="2"/>
  <c r="M162" i="2" s="1"/>
  <c r="H159" i="2"/>
  <c r="M159" i="2" s="1"/>
  <c r="B158" i="2"/>
  <c r="H158" i="2" s="1"/>
  <c r="M156" i="2"/>
  <c r="H156" i="2"/>
  <c r="M155" i="2"/>
  <c r="H155" i="2"/>
  <c r="G155" i="2"/>
  <c r="F155" i="2"/>
  <c r="E155" i="2"/>
  <c r="D155" i="2"/>
  <c r="C155" i="2"/>
  <c r="B155" i="2"/>
  <c r="G154" i="2"/>
  <c r="F154" i="2"/>
  <c r="E154" i="2"/>
  <c r="D154" i="2"/>
  <c r="H152" i="2"/>
  <c r="M152" i="2" s="1"/>
  <c r="C151" i="2"/>
  <c r="C154" i="2" s="1"/>
  <c r="B151" i="2"/>
  <c r="H151" i="2" s="1"/>
  <c r="H146" i="2"/>
  <c r="M146" i="2" s="1"/>
  <c r="H145" i="2"/>
  <c r="M145" i="2" s="1"/>
  <c r="M143" i="2"/>
  <c r="H143" i="2"/>
  <c r="G143" i="2"/>
  <c r="F143" i="2"/>
  <c r="E143" i="2"/>
  <c r="D143" i="2"/>
  <c r="C143" i="2"/>
  <c r="B143" i="2"/>
  <c r="D140" i="2"/>
  <c r="H139" i="2"/>
  <c r="H138" i="2"/>
  <c r="H137" i="2"/>
  <c r="F131" i="2"/>
  <c r="E131" i="2"/>
  <c r="H130" i="2"/>
  <c r="M130" i="2" s="1"/>
  <c r="D131" i="2"/>
  <c r="C129" i="2"/>
  <c r="C131" i="2" s="1"/>
  <c r="B129" i="2"/>
  <c r="H128" i="2"/>
  <c r="H127" i="2"/>
  <c r="M127" i="2" s="1"/>
  <c r="H126" i="2"/>
  <c r="M126" i="2" s="1"/>
  <c r="H125" i="2"/>
  <c r="H124" i="2"/>
  <c r="H123" i="2"/>
  <c r="M122" i="2"/>
  <c r="G121" i="2"/>
  <c r="G132" i="2" s="1"/>
  <c r="H120" i="2"/>
  <c r="M120" i="2" s="1"/>
  <c r="B119" i="2"/>
  <c r="H119" i="2" s="1"/>
  <c r="F118" i="2"/>
  <c r="D118" i="2"/>
  <c r="D121" i="2" s="1"/>
  <c r="C118" i="2"/>
  <c r="C121" i="2" s="1"/>
  <c r="H118" i="2"/>
  <c r="B117" i="2"/>
  <c r="H117" i="2" s="1"/>
  <c r="H116" i="2"/>
  <c r="M116" i="2" s="1"/>
  <c r="H115" i="2"/>
  <c r="M115" i="2" s="1"/>
  <c r="H114" i="2"/>
  <c r="I114" i="2" s="1"/>
  <c r="E113" i="2"/>
  <c r="H113" i="2" s="1"/>
  <c r="H112" i="2"/>
  <c r="M112" i="2" s="1"/>
  <c r="H111" i="2"/>
  <c r="H110" i="2"/>
  <c r="F121" i="2"/>
  <c r="F132" i="2" s="1"/>
  <c r="H108" i="2"/>
  <c r="M108" i="2" s="1"/>
  <c r="H107" i="2"/>
  <c r="M106" i="2"/>
  <c r="M105" i="2"/>
  <c r="H105" i="2"/>
  <c r="G105" i="2"/>
  <c r="F105" i="2"/>
  <c r="E105" i="2"/>
  <c r="D105" i="2"/>
  <c r="C105" i="2"/>
  <c r="B105" i="2"/>
  <c r="M104" i="2"/>
  <c r="G103" i="2"/>
  <c r="F103" i="2"/>
  <c r="E103" i="2"/>
  <c r="D103" i="2"/>
  <c r="C103" i="2"/>
  <c r="B103" i="2"/>
  <c r="H102" i="2"/>
  <c r="H101" i="2"/>
  <c r="H100" i="2"/>
  <c r="M100" i="2" s="1"/>
  <c r="H99" i="2"/>
  <c r="M98" i="2"/>
  <c r="D96" i="2"/>
  <c r="C96" i="2"/>
  <c r="B96" i="2"/>
  <c r="H95" i="2"/>
  <c r="H94" i="2"/>
  <c r="C94" i="6" s="1"/>
  <c r="C96" i="6" s="1"/>
  <c r="H93" i="2"/>
  <c r="H92" i="2"/>
  <c r="M92" i="2" s="1"/>
  <c r="M91" i="2"/>
  <c r="G90" i="2"/>
  <c r="F90" i="2"/>
  <c r="E90" i="2"/>
  <c r="C90" i="2"/>
  <c r="B90" i="2"/>
  <c r="H89" i="2"/>
  <c r="M89" i="2" s="1"/>
  <c r="H88" i="2"/>
  <c r="H87" i="2"/>
  <c r="H86" i="2"/>
  <c r="M86" i="2" s="1"/>
  <c r="H85" i="2"/>
  <c r="M85" i="2" s="1"/>
  <c r="H82" i="2"/>
  <c r="I82" i="2" s="1"/>
  <c r="M81" i="2"/>
  <c r="G80" i="2"/>
  <c r="F80" i="2"/>
  <c r="E80" i="2"/>
  <c r="D80" i="2"/>
  <c r="C80" i="2"/>
  <c r="H79" i="2"/>
  <c r="M79" i="2" s="1"/>
  <c r="H78" i="2"/>
  <c r="M78" i="2" s="1"/>
  <c r="H77" i="2"/>
  <c r="M77" i="2" s="1"/>
  <c r="B76" i="2"/>
  <c r="H76" i="2" s="1"/>
  <c r="H75" i="2"/>
  <c r="M73" i="2"/>
  <c r="M72" i="2"/>
  <c r="H72" i="2"/>
  <c r="G72" i="2"/>
  <c r="F72" i="2"/>
  <c r="E72" i="2"/>
  <c r="D72" i="2"/>
  <c r="C72" i="2"/>
  <c r="B72" i="2"/>
  <c r="M71" i="2"/>
  <c r="M66" i="2"/>
  <c r="M62" i="2"/>
  <c r="G61" i="2"/>
  <c r="G64" i="2" s="1"/>
  <c r="F61" i="2"/>
  <c r="F64" i="2" s="1"/>
  <c r="E61" i="2"/>
  <c r="E64" i="2" s="1"/>
  <c r="D61" i="2"/>
  <c r="D64" i="2" s="1"/>
  <c r="C61" i="2"/>
  <c r="C64" i="2" s="1"/>
  <c r="B61" i="2"/>
  <c r="B64" i="2" s="1"/>
  <c r="H60" i="2"/>
  <c r="M60" i="2" s="1"/>
  <c r="H59" i="2"/>
  <c r="M59" i="2" s="1"/>
  <c r="H58" i="2"/>
  <c r="M58" i="2" s="1"/>
  <c r="H57" i="2"/>
  <c r="M57" i="2" s="1"/>
  <c r="H56" i="2"/>
  <c r="M56" i="2" s="1"/>
  <c r="H55" i="2"/>
  <c r="M55" i="2" s="1"/>
  <c r="H54" i="2"/>
  <c r="M54" i="2" s="1"/>
  <c r="H53" i="2"/>
  <c r="M53" i="2" s="1"/>
  <c r="H52" i="2"/>
  <c r="M52" i="2" s="1"/>
  <c r="H51" i="2"/>
  <c r="M51" i="2" s="1"/>
  <c r="H50" i="2"/>
  <c r="M50" i="2" s="1"/>
  <c r="H49" i="2"/>
  <c r="M49" i="2" s="1"/>
  <c r="H48" i="2"/>
  <c r="M48" i="2" s="1"/>
  <c r="H47" i="2"/>
  <c r="M47" i="2" s="1"/>
  <c r="H46" i="2"/>
  <c r="M46" i="2" s="1"/>
  <c r="H45" i="2"/>
  <c r="M45" i="2" s="1"/>
  <c r="H44" i="2"/>
  <c r="M44" i="2" s="1"/>
  <c r="H43" i="2"/>
  <c r="M43" i="2" s="1"/>
  <c r="H42" i="2"/>
  <c r="M42" i="2" s="1"/>
  <c r="H41" i="2"/>
  <c r="M41" i="2" s="1"/>
  <c r="H40" i="2"/>
  <c r="M40" i="2" s="1"/>
  <c r="H39" i="2"/>
  <c r="M39" i="2" s="1"/>
  <c r="M38" i="2"/>
  <c r="H38" i="2"/>
  <c r="G38" i="2"/>
  <c r="F38" i="2"/>
  <c r="E38" i="2"/>
  <c r="D38" i="2"/>
  <c r="C38" i="2"/>
  <c r="B38" i="2"/>
  <c r="M37" i="2"/>
  <c r="G36" i="2"/>
  <c r="G63" i="2" s="1"/>
  <c r="F36" i="2"/>
  <c r="F140" i="2" s="1"/>
  <c r="E36" i="2"/>
  <c r="E140" i="2" s="1"/>
  <c r="D36" i="2"/>
  <c r="D135" i="2" s="1"/>
  <c r="C36" i="2"/>
  <c r="C140" i="2" s="1"/>
  <c r="B36" i="2"/>
  <c r="B140" i="2" s="1"/>
  <c r="H35" i="2"/>
  <c r="H34" i="2"/>
  <c r="M34" i="2" s="1"/>
  <c r="H33" i="2"/>
  <c r="H32" i="2"/>
  <c r="H31" i="2"/>
  <c r="H30" i="2"/>
  <c r="M30" i="2" s="1"/>
  <c r="H29" i="2"/>
  <c r="H28" i="2"/>
  <c r="H27" i="2"/>
  <c r="M27" i="2" s="1"/>
  <c r="M26" i="2"/>
  <c r="H26" i="2"/>
  <c r="G26" i="2"/>
  <c r="F26" i="2"/>
  <c r="E26" i="2"/>
  <c r="D26" i="2"/>
  <c r="C26" i="2"/>
  <c r="B26" i="2"/>
  <c r="M25" i="2"/>
  <c r="H24" i="2"/>
  <c r="M24" i="2" s="1"/>
  <c r="H23" i="2"/>
  <c r="M23" i="2" s="1"/>
  <c r="H22" i="2"/>
  <c r="M22" i="2" s="1"/>
  <c r="H21" i="2"/>
  <c r="M21" i="2" s="1"/>
  <c r="H20" i="2"/>
  <c r="I28" i="2" s="1"/>
  <c r="M19" i="2"/>
  <c r="H19" i="2"/>
  <c r="G19" i="2"/>
  <c r="F19" i="2"/>
  <c r="E19" i="2"/>
  <c r="D19" i="2"/>
  <c r="C19" i="2"/>
  <c r="B19" i="2"/>
  <c r="M18" i="2"/>
  <c r="G17" i="2"/>
  <c r="F17" i="2"/>
  <c r="D17" i="2"/>
  <c r="C17" i="2"/>
  <c r="B17" i="2"/>
  <c r="H16" i="2"/>
  <c r="M16" i="2" s="1"/>
  <c r="H15" i="2"/>
  <c r="M15" i="2" s="1"/>
  <c r="H14" i="2"/>
  <c r="H13" i="2"/>
  <c r="H12" i="2"/>
  <c r="M12" i="2" s="1"/>
  <c r="H11" i="2"/>
  <c r="M11" i="2" s="1"/>
  <c r="H10" i="2"/>
  <c r="L9" i="2"/>
  <c r="I9" i="2"/>
  <c r="H9" i="2"/>
  <c r="M9" i="2" s="1"/>
  <c r="L8" i="2"/>
  <c r="I8" i="2"/>
  <c r="H8" i="2"/>
  <c r="L7" i="2"/>
  <c r="I7" i="2"/>
  <c r="H7" i="2"/>
  <c r="M7" i="2" s="1"/>
  <c r="L6" i="2"/>
  <c r="I6" i="2"/>
  <c r="H6" i="2"/>
  <c r="L5" i="2"/>
  <c r="I5" i="2"/>
  <c r="H5" i="2"/>
  <c r="M5" i="2" s="1"/>
  <c r="L4" i="2"/>
  <c r="I4" i="2"/>
  <c r="H4" i="2"/>
  <c r="B3" i="2"/>
  <c r="B196" i="2" s="1"/>
  <c r="H196" i="2" s="1"/>
  <c r="C196" i="6" s="1"/>
  <c r="C197" i="6" s="1"/>
  <c r="H2" i="2"/>
  <c r="M2" i="2" l="1"/>
  <c r="C2" i="6"/>
  <c r="H213" i="2"/>
  <c r="B144" i="2"/>
  <c r="H144" i="2" s="1"/>
  <c r="M144" i="2" s="1"/>
  <c r="B148" i="2"/>
  <c r="H148" i="2" s="1"/>
  <c r="M148" i="2" s="1"/>
  <c r="B153" i="2"/>
  <c r="H153" i="2" s="1"/>
  <c r="M153" i="2" s="1"/>
  <c r="M82" i="2"/>
  <c r="E97" i="2"/>
  <c r="C97" i="2"/>
  <c r="B209" i="2"/>
  <c r="F97" i="2"/>
  <c r="M20" i="2"/>
  <c r="E121" i="2"/>
  <c r="E132" i="2" s="1"/>
  <c r="B121" i="2"/>
  <c r="B132" i="2" s="1"/>
  <c r="H129" i="2"/>
  <c r="M129" i="2" s="1"/>
  <c r="C132" i="2"/>
  <c r="H199" i="2"/>
  <c r="M199" i="2" s="1"/>
  <c r="G140" i="2"/>
  <c r="H140" i="2" s="1"/>
  <c r="M215" i="2"/>
  <c r="H3" i="2"/>
  <c r="M3" i="2" s="1"/>
  <c r="C63" i="2"/>
  <c r="C65" i="2" s="1"/>
  <c r="I17" i="2"/>
  <c r="D63" i="2"/>
  <c r="D65" i="2" s="1"/>
  <c r="D136" i="2" s="1"/>
  <c r="D132" i="2"/>
  <c r="C135" i="2"/>
  <c r="E63" i="2"/>
  <c r="E65" i="2" s="1"/>
  <c r="G97" i="2"/>
  <c r="H36" i="2"/>
  <c r="H63" i="2" s="1"/>
  <c r="F63" i="2"/>
  <c r="F65" i="2" s="1"/>
  <c r="E135" i="2"/>
  <c r="H61" i="2"/>
  <c r="H64" i="2" s="1"/>
  <c r="I27" i="2"/>
  <c r="G135" i="2"/>
  <c r="M13" i="2"/>
  <c r="M119" i="2"/>
  <c r="M137" i="2"/>
  <c r="M177" i="2"/>
  <c r="M204" i="2"/>
  <c r="M179" i="2"/>
  <c r="M180" i="2"/>
  <c r="M196" i="2"/>
  <c r="M76" i="2"/>
  <c r="G65" i="2"/>
  <c r="M61" i="2"/>
  <c r="M64" i="2" s="1"/>
  <c r="M208" i="2"/>
  <c r="M151" i="2"/>
  <c r="M118" i="2"/>
  <c r="M87" i="2"/>
  <c r="H96" i="2"/>
  <c r="H103" i="2"/>
  <c r="M103" i="2" s="1"/>
  <c r="H109" i="2"/>
  <c r="H160" i="2"/>
  <c r="C160" i="6" s="1"/>
  <c r="H172" i="2"/>
  <c r="D182" i="2"/>
  <c r="H185" i="2"/>
  <c r="M31" i="2"/>
  <c r="M35" i="2"/>
  <c r="M75" i="2"/>
  <c r="D84" i="2"/>
  <c r="H84" i="2" s="1"/>
  <c r="M93" i="2"/>
  <c r="M101" i="2"/>
  <c r="M123" i="2"/>
  <c r="C157" i="2"/>
  <c r="M14" i="2"/>
  <c r="M163" i="2"/>
  <c r="M200" i="2"/>
  <c r="M214" i="2"/>
  <c r="M10" i="2"/>
  <c r="M88" i="2"/>
  <c r="M113" i="2"/>
  <c r="B131" i="2"/>
  <c r="H17" i="2"/>
  <c r="M17" i="2" s="1"/>
  <c r="M28" i="2"/>
  <c r="M32" i="2"/>
  <c r="M94" i="2"/>
  <c r="M102" i="2"/>
  <c r="M110" i="2"/>
  <c r="M124" i="2"/>
  <c r="M128" i="2"/>
  <c r="M138" i="2"/>
  <c r="D183" i="2"/>
  <c r="H183" i="2" s="1"/>
  <c r="M4" i="2"/>
  <c r="M6" i="2"/>
  <c r="M8" i="2"/>
  <c r="M107" i="2"/>
  <c r="B164" i="2"/>
  <c r="H164" i="2" s="1"/>
  <c r="B149" i="2"/>
  <c r="H149" i="2" s="1"/>
  <c r="M29" i="2"/>
  <c r="M95" i="2"/>
  <c r="M99" i="2"/>
  <c r="M111" i="2"/>
  <c r="M117" i="2"/>
  <c r="M125" i="2"/>
  <c r="M139" i="2"/>
  <c r="M158" i="2"/>
  <c r="M195" i="2"/>
  <c r="M201" i="2"/>
  <c r="M33" i="2"/>
  <c r="B63" i="2"/>
  <c r="B65" i="2" s="1"/>
  <c r="B74" i="2"/>
  <c r="M114" i="2"/>
  <c r="B135" i="2"/>
  <c r="B178" i="2"/>
  <c r="H178" i="2" s="1"/>
  <c r="D83" i="2"/>
  <c r="B147" i="2"/>
  <c r="B150" i="2"/>
  <c r="H150" i="2" s="1"/>
  <c r="H227" i="2" l="1"/>
  <c r="H231" i="2" s="1"/>
  <c r="C213" i="6"/>
  <c r="M213" i="2"/>
  <c r="H135" i="2"/>
  <c r="H65" i="2"/>
  <c r="E141" i="2"/>
  <c r="E142" i="2" s="1"/>
  <c r="E211" i="2" s="1"/>
  <c r="E219" i="2" s="1"/>
  <c r="E220" i="2" s="1"/>
  <c r="F141" i="2"/>
  <c r="F142" i="2" s="1"/>
  <c r="F211" i="2" s="1"/>
  <c r="F219" i="2" s="1"/>
  <c r="F220" i="2" s="1"/>
  <c r="H131" i="2"/>
  <c r="H209" i="2"/>
  <c r="D141" i="2"/>
  <c r="D142" i="2" s="1"/>
  <c r="M209" i="2"/>
  <c r="M131" i="2"/>
  <c r="M36" i="2"/>
  <c r="M63" i="2" s="1"/>
  <c r="M65" i="2" s="1"/>
  <c r="M96" i="2"/>
  <c r="M178" i="2"/>
  <c r="M183" i="2"/>
  <c r="M84" i="2"/>
  <c r="C141" i="2"/>
  <c r="C142" i="2" s="1"/>
  <c r="C136" i="2"/>
  <c r="M140" i="2"/>
  <c r="M164" i="2"/>
  <c r="M135" i="2"/>
  <c r="B169" i="2"/>
  <c r="H169" i="2" s="1"/>
  <c r="C169" i="6" s="1"/>
  <c r="H74" i="2"/>
  <c r="C74" i="6" s="1"/>
  <c r="C80" i="6" s="1"/>
  <c r="C97" i="6" s="1"/>
  <c r="B80" i="2"/>
  <c r="B97" i="2" s="1"/>
  <c r="B166" i="2"/>
  <c r="G136" i="2"/>
  <c r="G161" i="2"/>
  <c r="B197" i="2"/>
  <c r="D90" i="2"/>
  <c r="D97" i="2" s="1"/>
  <c r="H83" i="2"/>
  <c r="H157" i="2"/>
  <c r="C170" i="2"/>
  <c r="M160" i="2"/>
  <c r="M149" i="2"/>
  <c r="D197" i="2"/>
  <c r="H182" i="2"/>
  <c r="H197" i="2" s="1"/>
  <c r="M172" i="2"/>
  <c r="M109" i="2"/>
  <c r="M121" i="2" s="1"/>
  <c r="B136" i="2"/>
  <c r="M150" i="2"/>
  <c r="H121" i="2"/>
  <c r="B154" i="2"/>
  <c r="H147" i="2"/>
  <c r="M185" i="2"/>
  <c r="C70" i="6" l="1"/>
  <c r="C211" i="2"/>
  <c r="C219" i="2" s="1"/>
  <c r="C220" i="2" s="1"/>
  <c r="G141" i="2"/>
  <c r="G142" i="2" s="1"/>
  <c r="H132" i="2"/>
  <c r="H69" i="2" s="1"/>
  <c r="D211" i="2"/>
  <c r="D219" i="2" s="1"/>
  <c r="D220" i="2" s="1"/>
  <c r="M132" i="2"/>
  <c r="H136" i="2"/>
  <c r="H134" i="2"/>
  <c r="M157" i="2"/>
  <c r="H80" i="2"/>
  <c r="M74" i="2"/>
  <c r="M80" i="2" s="1"/>
  <c r="H166" i="2"/>
  <c r="C166" i="6" s="1"/>
  <c r="C170" i="6" s="1"/>
  <c r="C211" i="6" s="1"/>
  <c r="B170" i="2"/>
  <c r="M147" i="2"/>
  <c r="M154" i="2" s="1"/>
  <c r="H154" i="2"/>
  <c r="H90" i="2"/>
  <c r="M83" i="2"/>
  <c r="M90" i="2" s="1"/>
  <c r="M169" i="2"/>
  <c r="M182" i="2"/>
  <c r="M197" i="2" s="1"/>
  <c r="G170" i="2"/>
  <c r="H161" i="2"/>
  <c r="B141" i="2"/>
  <c r="B142" i="2" s="1"/>
  <c r="H133" i="2"/>
  <c r="C67" i="6" l="1"/>
  <c r="C243" i="6"/>
  <c r="H243" i="6" s="1"/>
  <c r="C255" i="6"/>
  <c r="H255" i="6" s="1"/>
  <c r="C244" i="6"/>
  <c r="H244" i="6" s="1"/>
  <c r="C250" i="6"/>
  <c r="H250" i="6" s="1"/>
  <c r="C246" i="6"/>
  <c r="H246" i="6" s="1"/>
  <c r="C252" i="6"/>
  <c r="H252" i="6" s="1"/>
  <c r="C247" i="6"/>
  <c r="H247" i="6" s="1"/>
  <c r="C242" i="6"/>
  <c r="C245" i="6"/>
  <c r="H245" i="6" s="1"/>
  <c r="C248" i="6"/>
  <c r="H248" i="6" s="1"/>
  <c r="C251" i="6"/>
  <c r="H251" i="6" s="1"/>
  <c r="C254" i="6"/>
  <c r="H254" i="6" s="1"/>
  <c r="C249" i="6"/>
  <c r="H249" i="6" s="1"/>
  <c r="C225" i="6"/>
  <c r="C232" i="6" s="1"/>
  <c r="C253" i="6"/>
  <c r="H253" i="6" s="1"/>
  <c r="C219" i="6"/>
  <c r="M97" i="2"/>
  <c r="G211" i="2"/>
  <c r="G219" i="2" s="1"/>
  <c r="G220" i="2" s="1"/>
  <c r="H97" i="2"/>
  <c r="H70" i="2" s="1"/>
  <c r="H68" i="2"/>
  <c r="M136" i="2"/>
  <c r="M134" i="2"/>
  <c r="I134" i="2"/>
  <c r="M133" i="2"/>
  <c r="I133" i="2"/>
  <c r="H141" i="2"/>
  <c r="H142" i="2" s="1"/>
  <c r="B211" i="2"/>
  <c r="B219" i="2" s="1"/>
  <c r="B220" i="2" s="1"/>
  <c r="M161" i="2"/>
  <c r="M166" i="2"/>
  <c r="H170" i="2"/>
  <c r="C220" i="6" l="1"/>
  <c r="C237" i="6"/>
  <c r="C238" i="6" s="1"/>
  <c r="C257" i="6"/>
  <c r="H242" i="6"/>
  <c r="H257" i="6" s="1"/>
  <c r="M170" i="2"/>
  <c r="H211" i="2"/>
  <c r="H67" i="2" s="1"/>
  <c r="M141" i="2"/>
  <c r="M142" i="2" s="1"/>
  <c r="C239" i="6" l="1"/>
  <c r="D235" i="6"/>
  <c r="D238" i="6" s="1"/>
  <c r="M211" i="2"/>
  <c r="M219" i="2" s="1"/>
  <c r="H239" i="2"/>
  <c r="H219" i="2"/>
  <c r="H225" i="2"/>
  <c r="H232" i="2" s="1"/>
  <c r="E235" i="6" l="1"/>
  <c r="E238" i="6" s="1"/>
  <c r="D239" i="6"/>
  <c r="H220" i="2"/>
  <c r="M220" i="2" s="1"/>
  <c r="C224" i="6"/>
  <c r="F235" i="6" l="1"/>
  <c r="F238" i="6" s="1"/>
  <c r="F239" i="6" s="1"/>
  <c r="E239" i="6"/>
  <c r="O222" i="1"/>
  <c r="K222" i="1"/>
  <c r="H222" i="1"/>
  <c r="G222" i="1"/>
  <c r="F222" i="1"/>
  <c r="E222" i="1"/>
  <c r="D222" i="1"/>
  <c r="C222" i="1"/>
  <c r="B222" i="1"/>
  <c r="A222" i="1"/>
  <c r="H218" i="1"/>
  <c r="H217" i="1"/>
  <c r="H216" i="1"/>
  <c r="H215" i="1"/>
  <c r="H214" i="1"/>
  <c r="G209" i="1"/>
  <c r="F209" i="1"/>
  <c r="E209" i="1"/>
  <c r="D209" i="1"/>
  <c r="C209" i="1"/>
  <c r="H208" i="1"/>
  <c r="B208" i="1"/>
  <c r="H207" i="1"/>
  <c r="H206" i="1"/>
  <c r="Q206" i="1" s="1"/>
  <c r="H205" i="1"/>
  <c r="Q205" i="1" s="1"/>
  <c r="B205" i="1"/>
  <c r="B204" i="1"/>
  <c r="H204" i="1" s="1"/>
  <c r="Q204" i="1" s="1"/>
  <c r="H203" i="1"/>
  <c r="B202" i="1"/>
  <c r="H202" i="1" s="1"/>
  <c r="Q202" i="1" s="1"/>
  <c r="H201" i="1"/>
  <c r="B201" i="1"/>
  <c r="B200" i="1"/>
  <c r="H200" i="1" s="1"/>
  <c r="Q200" i="1" s="1"/>
  <c r="B199" i="1"/>
  <c r="B209" i="1" s="1"/>
  <c r="H198" i="1"/>
  <c r="G198" i="1"/>
  <c r="F198" i="1"/>
  <c r="E198" i="1"/>
  <c r="D198" i="1"/>
  <c r="C198" i="1"/>
  <c r="B198" i="1"/>
  <c r="F197" i="1"/>
  <c r="E197" i="1"/>
  <c r="C197" i="1"/>
  <c r="H195" i="1"/>
  <c r="H194" i="1"/>
  <c r="Q194" i="1" s="1"/>
  <c r="H193" i="1"/>
  <c r="Q193" i="1" s="1"/>
  <c r="H192" i="1"/>
  <c r="H191" i="1"/>
  <c r="H190" i="1"/>
  <c r="H189" i="1"/>
  <c r="H188" i="1"/>
  <c r="H187" i="1"/>
  <c r="B186" i="1"/>
  <c r="H186" i="1" s="1"/>
  <c r="Q186" i="1" s="1"/>
  <c r="G185" i="1"/>
  <c r="H185" i="1" s="1"/>
  <c r="Q185" i="1" s="1"/>
  <c r="H184" i="1"/>
  <c r="B181" i="1"/>
  <c r="H181" i="1" s="1"/>
  <c r="Q181" i="1" s="1"/>
  <c r="B180" i="1"/>
  <c r="H180" i="1" s="1"/>
  <c r="Q180" i="1" s="1"/>
  <c r="H179" i="1"/>
  <c r="Q179" i="1" s="1"/>
  <c r="B179" i="1"/>
  <c r="H177" i="1"/>
  <c r="B177" i="1"/>
  <c r="H176" i="1"/>
  <c r="H175" i="1"/>
  <c r="H174" i="1"/>
  <c r="H173" i="1"/>
  <c r="B173" i="1"/>
  <c r="B172" i="1"/>
  <c r="H171" i="1"/>
  <c r="G171" i="1"/>
  <c r="F171" i="1"/>
  <c r="E171" i="1"/>
  <c r="D171" i="1"/>
  <c r="C171" i="1"/>
  <c r="B171" i="1"/>
  <c r="F170" i="1"/>
  <c r="E170" i="1"/>
  <c r="D170" i="1"/>
  <c r="G169" i="1"/>
  <c r="H168" i="1"/>
  <c r="H167" i="1"/>
  <c r="H165" i="1"/>
  <c r="Q165" i="1" s="1"/>
  <c r="B163" i="1"/>
  <c r="H163" i="1" s="1"/>
  <c r="Q163" i="1" s="1"/>
  <c r="H162" i="1"/>
  <c r="Q162" i="1" s="1"/>
  <c r="B162" i="1"/>
  <c r="B161" i="1"/>
  <c r="H159" i="1"/>
  <c r="B158" i="1"/>
  <c r="H158" i="1" s="1"/>
  <c r="Q158" i="1" s="1"/>
  <c r="H156" i="1"/>
  <c r="Q156" i="1" s="1"/>
  <c r="H155" i="1"/>
  <c r="G155" i="1"/>
  <c r="F155" i="1"/>
  <c r="E155" i="1"/>
  <c r="D155" i="1"/>
  <c r="C155" i="1"/>
  <c r="B155" i="1"/>
  <c r="G154" i="1"/>
  <c r="F154" i="1"/>
  <c r="E154" i="1"/>
  <c r="D154" i="1"/>
  <c r="C154" i="1"/>
  <c r="B153" i="1"/>
  <c r="H153" i="1" s="1"/>
  <c r="Q153" i="1" s="1"/>
  <c r="H152" i="1"/>
  <c r="H151" i="1"/>
  <c r="Q151" i="1" s="1"/>
  <c r="C151" i="1"/>
  <c r="B151" i="1"/>
  <c r="H148" i="1"/>
  <c r="Q148" i="1" s="1"/>
  <c r="H146" i="1"/>
  <c r="H145" i="1"/>
  <c r="H144" i="1"/>
  <c r="H143" i="1"/>
  <c r="G143" i="1"/>
  <c r="F143" i="1"/>
  <c r="E143" i="1"/>
  <c r="D143" i="1"/>
  <c r="C143" i="1"/>
  <c r="B143" i="1"/>
  <c r="D140" i="1"/>
  <c r="H139" i="1"/>
  <c r="Q139" i="1" s="1"/>
  <c r="H138" i="1"/>
  <c r="H137" i="1"/>
  <c r="B137" i="1"/>
  <c r="D135" i="1"/>
  <c r="F131" i="1"/>
  <c r="E131" i="1"/>
  <c r="C131" i="1"/>
  <c r="H130" i="1"/>
  <c r="D129" i="1"/>
  <c r="D131" i="1" s="1"/>
  <c r="C129" i="1"/>
  <c r="B129" i="1"/>
  <c r="H129" i="1" s="1"/>
  <c r="Q129" i="1" s="1"/>
  <c r="H128" i="1"/>
  <c r="H127" i="1"/>
  <c r="H131" i="1" s="1"/>
  <c r="H126" i="1"/>
  <c r="H125" i="1"/>
  <c r="H124" i="1"/>
  <c r="H123" i="1"/>
  <c r="G121" i="1"/>
  <c r="G132" i="1" s="1"/>
  <c r="C121" i="1"/>
  <c r="C132" i="1" s="1"/>
  <c r="H120" i="1"/>
  <c r="B119" i="1"/>
  <c r="H119" i="1" s="1"/>
  <c r="Q119" i="1" s="1"/>
  <c r="F118" i="1"/>
  <c r="D118" i="1"/>
  <c r="D121" i="1" s="1"/>
  <c r="C118" i="1"/>
  <c r="B118" i="1"/>
  <c r="H118" i="1" s="1"/>
  <c r="Q118" i="1" s="1"/>
  <c r="H117" i="1"/>
  <c r="B117" i="1"/>
  <c r="H116" i="1"/>
  <c r="Q116" i="1" s="1"/>
  <c r="B116" i="1"/>
  <c r="H115" i="1"/>
  <c r="B114" i="1"/>
  <c r="H114" i="1" s="1"/>
  <c r="E113" i="1"/>
  <c r="E121" i="1" s="1"/>
  <c r="E132" i="1" s="1"/>
  <c r="H112" i="1"/>
  <c r="Q112" i="1" s="1"/>
  <c r="B112" i="1"/>
  <c r="H111" i="1"/>
  <c r="Q111" i="1" s="1"/>
  <c r="H110" i="1"/>
  <c r="Q110" i="1" s="1"/>
  <c r="H109" i="1"/>
  <c r="Q109" i="1" s="1"/>
  <c r="F109" i="1"/>
  <c r="F121" i="1" s="1"/>
  <c r="F132" i="1" s="1"/>
  <c r="B109" i="1"/>
  <c r="B121" i="1" s="1"/>
  <c r="H108" i="1"/>
  <c r="H107" i="1"/>
  <c r="H105" i="1"/>
  <c r="G105" i="1"/>
  <c r="F105" i="1"/>
  <c r="E105" i="1"/>
  <c r="D105" i="1"/>
  <c r="C105" i="1"/>
  <c r="B105" i="1"/>
  <c r="H103" i="1"/>
  <c r="G103" i="1"/>
  <c r="F103" i="1"/>
  <c r="E103" i="1"/>
  <c r="D103" i="1"/>
  <c r="C103" i="1"/>
  <c r="B103" i="1"/>
  <c r="H102" i="1"/>
  <c r="Q102" i="1" s="1"/>
  <c r="H101" i="1"/>
  <c r="Q101" i="1" s="1"/>
  <c r="H100" i="1"/>
  <c r="H99" i="1"/>
  <c r="Q99" i="1" s="1"/>
  <c r="G97" i="1"/>
  <c r="F97" i="1"/>
  <c r="E97" i="1"/>
  <c r="D96" i="1"/>
  <c r="C96" i="1"/>
  <c r="B96" i="1"/>
  <c r="H95" i="1"/>
  <c r="H94" i="1"/>
  <c r="H93" i="1"/>
  <c r="Q93" i="1" s="1"/>
  <c r="H92" i="1"/>
  <c r="H96" i="1" s="1"/>
  <c r="G90" i="1"/>
  <c r="F90" i="1"/>
  <c r="E90" i="1"/>
  <c r="C90" i="1"/>
  <c r="B90" i="1"/>
  <c r="H89" i="1"/>
  <c r="Q89" i="1" s="1"/>
  <c r="H88" i="1"/>
  <c r="Q88" i="1" s="1"/>
  <c r="H87" i="1"/>
  <c r="Q87" i="1" s="1"/>
  <c r="H86" i="1"/>
  <c r="H85" i="1"/>
  <c r="H82" i="1"/>
  <c r="Q82" i="1" s="1"/>
  <c r="G80" i="1"/>
  <c r="F80" i="1"/>
  <c r="E80" i="1"/>
  <c r="D80" i="1"/>
  <c r="C80" i="1"/>
  <c r="C97" i="1" s="1"/>
  <c r="B80" i="1"/>
  <c r="B97" i="1" s="1"/>
  <c r="H79" i="1"/>
  <c r="H78" i="1"/>
  <c r="H77" i="1"/>
  <c r="B76" i="1"/>
  <c r="H76" i="1" s="1"/>
  <c r="Q76" i="1" s="1"/>
  <c r="H75" i="1"/>
  <c r="H74" i="1"/>
  <c r="H80" i="1" s="1"/>
  <c r="B74" i="1"/>
  <c r="B169" i="1" s="1"/>
  <c r="H169" i="1" s="1"/>
  <c r="Q169" i="1" s="1"/>
  <c r="H72" i="1"/>
  <c r="G72" i="1"/>
  <c r="F72" i="1"/>
  <c r="E72" i="1"/>
  <c r="D72" i="1"/>
  <c r="C72" i="1"/>
  <c r="B72" i="1"/>
  <c r="D64" i="1"/>
  <c r="G63" i="1"/>
  <c r="F63" i="1"/>
  <c r="G61" i="1"/>
  <c r="G64" i="1" s="1"/>
  <c r="F61" i="1"/>
  <c r="F64" i="1" s="1"/>
  <c r="F65" i="1" s="1"/>
  <c r="F134" i="1" s="1"/>
  <c r="E61" i="1"/>
  <c r="E64" i="1" s="1"/>
  <c r="D61" i="1"/>
  <c r="C61" i="1"/>
  <c r="C64" i="1" s="1"/>
  <c r="B61" i="1"/>
  <c r="B64" i="1" s="1"/>
  <c r="H60" i="1"/>
  <c r="H59" i="1"/>
  <c r="H58" i="1"/>
  <c r="H57" i="1"/>
  <c r="H56" i="1"/>
  <c r="H55" i="1"/>
  <c r="H54" i="1"/>
  <c r="H53" i="1"/>
  <c r="Q53" i="1" s="1"/>
  <c r="H52" i="1"/>
  <c r="Q52" i="1" s="1"/>
  <c r="H51" i="1"/>
  <c r="Q51" i="1" s="1"/>
  <c r="H50" i="1"/>
  <c r="Q50" i="1" s="1"/>
  <c r="H49" i="1"/>
  <c r="H48" i="1"/>
  <c r="H47" i="1"/>
  <c r="H46" i="1"/>
  <c r="H45" i="1"/>
  <c r="H44" i="1"/>
  <c r="H43" i="1"/>
  <c r="H42" i="1"/>
  <c r="H41" i="1"/>
  <c r="Q41" i="1" s="1"/>
  <c r="H40" i="1"/>
  <c r="H61" i="1" s="1"/>
  <c r="H64" i="1" s="1"/>
  <c r="H39" i="1"/>
  <c r="H38" i="1"/>
  <c r="G38" i="1"/>
  <c r="F38" i="1"/>
  <c r="E38" i="1"/>
  <c r="D38" i="1"/>
  <c r="C38" i="1"/>
  <c r="B38" i="1"/>
  <c r="G36" i="1"/>
  <c r="G135" i="1" s="1"/>
  <c r="F36" i="1"/>
  <c r="F140" i="1" s="1"/>
  <c r="E36" i="1"/>
  <c r="E140" i="1" s="1"/>
  <c r="D36" i="1"/>
  <c r="D63" i="1" s="1"/>
  <c r="D65" i="1" s="1"/>
  <c r="C36" i="1"/>
  <c r="C140" i="1" s="1"/>
  <c r="B36" i="1"/>
  <c r="B140" i="1" s="1"/>
  <c r="H35" i="1"/>
  <c r="Q35" i="1" s="1"/>
  <c r="H34" i="1"/>
  <c r="H33" i="1"/>
  <c r="H32" i="1"/>
  <c r="H31" i="1"/>
  <c r="H30" i="1"/>
  <c r="Q30" i="1" s="1"/>
  <c r="H29" i="1"/>
  <c r="Q29" i="1" s="1"/>
  <c r="H28" i="1"/>
  <c r="Q28" i="1" s="1"/>
  <c r="H27" i="1"/>
  <c r="I27" i="1" s="1"/>
  <c r="H26" i="1"/>
  <c r="G26" i="1"/>
  <c r="F26" i="1"/>
  <c r="E26" i="1"/>
  <c r="D26" i="1"/>
  <c r="C26" i="1"/>
  <c r="B26" i="1"/>
  <c r="H24" i="1"/>
  <c r="Q24" i="1" s="1"/>
  <c r="H23" i="1"/>
  <c r="Q23" i="1" s="1"/>
  <c r="H22" i="1"/>
  <c r="H21" i="1"/>
  <c r="H20" i="1"/>
  <c r="I28" i="1" s="1"/>
  <c r="H19" i="1"/>
  <c r="G19" i="1"/>
  <c r="F19" i="1"/>
  <c r="E19" i="1"/>
  <c r="D19" i="1"/>
  <c r="C19" i="1"/>
  <c r="B19" i="1"/>
  <c r="G17" i="1"/>
  <c r="F17" i="1"/>
  <c r="D17" i="1"/>
  <c r="C17" i="1"/>
  <c r="B17" i="1"/>
  <c r="B164" i="1" s="1"/>
  <c r="H164" i="1" s="1"/>
  <c r="Q164" i="1" s="1"/>
  <c r="H16" i="1"/>
  <c r="H15" i="1"/>
  <c r="H14" i="1"/>
  <c r="H13" i="1"/>
  <c r="Q13" i="1" s="1"/>
  <c r="H12" i="1"/>
  <c r="Q12" i="1" s="1"/>
  <c r="H11" i="1"/>
  <c r="Q11" i="1" s="1"/>
  <c r="H10" i="1"/>
  <c r="I9" i="1"/>
  <c r="H9" i="1"/>
  <c r="I8" i="1"/>
  <c r="H8" i="1"/>
  <c r="I7" i="1"/>
  <c r="H7" i="1"/>
  <c r="I6" i="1"/>
  <c r="H6" i="1"/>
  <c r="I5" i="1"/>
  <c r="H5" i="1"/>
  <c r="I4" i="1"/>
  <c r="I17" i="1" s="1"/>
  <c r="H4" i="1"/>
  <c r="H17" i="1" s="1"/>
  <c r="M17" i="1" s="1"/>
  <c r="H3" i="1"/>
  <c r="B3" i="1"/>
  <c r="B196" i="1" s="1"/>
  <c r="H196" i="1" s="1"/>
  <c r="Q196" i="1" s="1"/>
  <c r="H2" i="1"/>
  <c r="Q2" i="1" s="1"/>
  <c r="Q21" i="1"/>
  <c r="Q22" i="1"/>
  <c r="Q214" i="1"/>
  <c r="Q215" i="1"/>
  <c r="Q216" i="1"/>
  <c r="Q217" i="1"/>
  <c r="Q201" i="1"/>
  <c r="Q203" i="1"/>
  <c r="Q207" i="1"/>
  <c r="Q208" i="1"/>
  <c r="Q173" i="1"/>
  <c r="Q174" i="1"/>
  <c r="Q175" i="1"/>
  <c r="Q176" i="1"/>
  <c r="Q177" i="1"/>
  <c r="Q184" i="1"/>
  <c r="Q187" i="1"/>
  <c r="Q188" i="1"/>
  <c r="Q189" i="1"/>
  <c r="Q190" i="1"/>
  <c r="Q191" i="1"/>
  <c r="Q192" i="1"/>
  <c r="Q195" i="1"/>
  <c r="Q159" i="1"/>
  <c r="Q167" i="1"/>
  <c r="Q168" i="1"/>
  <c r="Q145" i="1"/>
  <c r="Q146" i="1"/>
  <c r="Q152" i="1"/>
  <c r="Q144" i="1"/>
  <c r="Q137" i="1"/>
  <c r="Q138" i="1"/>
  <c r="Q124" i="1"/>
  <c r="Q125" i="1"/>
  <c r="Q126" i="1"/>
  <c r="Q127" i="1"/>
  <c r="Q128" i="1"/>
  <c r="Q130" i="1"/>
  <c r="Q123" i="1"/>
  <c r="Q108" i="1"/>
  <c r="Q115" i="1"/>
  <c r="Q117" i="1"/>
  <c r="Q120" i="1"/>
  <c r="Q107" i="1"/>
  <c r="O132" i="1"/>
  <c r="O131" i="1"/>
  <c r="O121" i="1"/>
  <c r="K219" i="1"/>
  <c r="O209" i="1"/>
  <c r="K209" i="1"/>
  <c r="K211" i="1" s="1"/>
  <c r="O197" i="1"/>
  <c r="K197" i="1"/>
  <c r="O170" i="1"/>
  <c r="K170" i="1"/>
  <c r="O154" i="1"/>
  <c r="K154" i="1"/>
  <c r="O141" i="1"/>
  <c r="K141" i="1"/>
  <c r="K142" i="1" s="1"/>
  <c r="K131" i="1"/>
  <c r="K132" i="1" s="1"/>
  <c r="K121" i="1"/>
  <c r="O80" i="1"/>
  <c r="K80" i="1"/>
  <c r="O90" i="1"/>
  <c r="K90" i="1"/>
  <c r="K97" i="1" s="1"/>
  <c r="K70" i="1" s="1"/>
  <c r="O96" i="1"/>
  <c r="K96" i="1"/>
  <c r="Q100" i="1"/>
  <c r="Q103" i="1"/>
  <c r="Q94" i="1"/>
  <c r="Q95" i="1"/>
  <c r="Q92" i="1"/>
  <c r="Q85" i="1"/>
  <c r="Q86" i="1"/>
  <c r="Q75" i="1"/>
  <c r="Q77" i="1"/>
  <c r="Q78" i="1"/>
  <c r="Q79" i="1"/>
  <c r="Q74" i="1"/>
  <c r="O36" i="1"/>
  <c r="O63" i="1" s="1"/>
  <c r="K36" i="1"/>
  <c r="Q42" i="1"/>
  <c r="Q43" i="1"/>
  <c r="Q44" i="1"/>
  <c r="Q45" i="1"/>
  <c r="Q46" i="1"/>
  <c r="Q47" i="1"/>
  <c r="Q48" i="1"/>
  <c r="Q49" i="1"/>
  <c r="Q54" i="1"/>
  <c r="Q55" i="1"/>
  <c r="Q56" i="1"/>
  <c r="Q57" i="1"/>
  <c r="Q58" i="1"/>
  <c r="Q59" i="1"/>
  <c r="Q60" i="1"/>
  <c r="Q39" i="1"/>
  <c r="Q31" i="1"/>
  <c r="Q32" i="1"/>
  <c r="Q33" i="1"/>
  <c r="Q34" i="1"/>
  <c r="O61" i="1"/>
  <c r="O64" i="1" s="1"/>
  <c r="K64" i="1"/>
  <c r="K63" i="1"/>
  <c r="K65" i="1" s="1"/>
  <c r="K61" i="1"/>
  <c r="O17" i="1"/>
  <c r="Q5" i="1"/>
  <c r="Q6" i="1"/>
  <c r="Q7" i="1"/>
  <c r="Q8" i="1"/>
  <c r="Q9" i="1"/>
  <c r="Q10" i="1"/>
  <c r="Q14" i="1"/>
  <c r="Q15" i="1"/>
  <c r="Q16" i="1"/>
  <c r="Q4" i="1"/>
  <c r="Q17" i="1" s="1"/>
  <c r="Q114" i="1" l="1"/>
  <c r="G133" i="1"/>
  <c r="D136" i="1"/>
  <c r="B197" i="1"/>
  <c r="G65" i="1"/>
  <c r="Q80" i="1"/>
  <c r="H140" i="1"/>
  <c r="Q140" i="1" s="1"/>
  <c r="E133" i="1"/>
  <c r="C133" i="1"/>
  <c r="F133" i="1"/>
  <c r="F141" i="1" s="1"/>
  <c r="F142" i="1" s="1"/>
  <c r="F211" i="1" s="1"/>
  <c r="F219" i="1" s="1"/>
  <c r="F220" i="1" s="1"/>
  <c r="D132" i="1"/>
  <c r="H36" i="1"/>
  <c r="H63" i="1" s="1"/>
  <c r="H65" i="1" s="1"/>
  <c r="B131" i="1"/>
  <c r="B132" i="1" s="1"/>
  <c r="B160" i="1"/>
  <c r="B166" i="1"/>
  <c r="H166" i="1" s="1"/>
  <c r="Q166" i="1" s="1"/>
  <c r="B63" i="1"/>
  <c r="B65" i="1" s="1"/>
  <c r="I82" i="1"/>
  <c r="Q40" i="1"/>
  <c r="Q61" i="1" s="1"/>
  <c r="Q64" i="1" s="1"/>
  <c r="Q20" i="1"/>
  <c r="C63" i="1"/>
  <c r="C65" i="1" s="1"/>
  <c r="D83" i="1"/>
  <c r="D182" i="1"/>
  <c r="B147" i="1"/>
  <c r="G197" i="1"/>
  <c r="H113" i="1"/>
  <c r="Q113" i="1" s="1"/>
  <c r="Q121" i="1" s="1"/>
  <c r="Q132" i="1" s="1"/>
  <c r="G140" i="1"/>
  <c r="H199" i="1"/>
  <c r="E63" i="1"/>
  <c r="E65" i="1" s="1"/>
  <c r="E134" i="1" s="1"/>
  <c r="D84" i="1"/>
  <c r="H84" i="1" s="1"/>
  <c r="Q84" i="1" s="1"/>
  <c r="D183" i="1"/>
  <c r="H183" i="1" s="1"/>
  <c r="Q183" i="1" s="1"/>
  <c r="B135" i="1"/>
  <c r="C135" i="1"/>
  <c r="B149" i="1"/>
  <c r="H149" i="1" s="1"/>
  <c r="Q149" i="1" s="1"/>
  <c r="B178" i="1"/>
  <c r="H178" i="1" s="1"/>
  <c r="Q178" i="1" s="1"/>
  <c r="C157" i="1"/>
  <c r="B213" i="1"/>
  <c r="H213" i="1" s="1"/>
  <c r="Q131" i="1"/>
  <c r="Q27" i="1"/>
  <c r="Q36" i="1" s="1"/>
  <c r="E135" i="1"/>
  <c r="B150" i="1"/>
  <c r="H150" i="1" s="1"/>
  <c r="Q150" i="1" s="1"/>
  <c r="Q96" i="1"/>
  <c r="H172" i="1"/>
  <c r="O142" i="1"/>
  <c r="O211" i="1" s="1"/>
  <c r="O97" i="1"/>
  <c r="O70" i="1" s="1"/>
  <c r="K67" i="1"/>
  <c r="O69" i="1"/>
  <c r="O68" i="1"/>
  <c r="K68" i="1"/>
  <c r="K69" i="1"/>
  <c r="O65" i="1"/>
  <c r="B133" i="1" l="1"/>
  <c r="H209" i="1"/>
  <c r="Q199" i="1"/>
  <c r="Q209" i="1" s="1"/>
  <c r="G161" i="1"/>
  <c r="G136" i="1"/>
  <c r="G134" i="1"/>
  <c r="E141" i="1"/>
  <c r="E142" i="1" s="1"/>
  <c r="E211" i="1" s="1"/>
  <c r="E219" i="1" s="1"/>
  <c r="E220" i="1" s="1"/>
  <c r="B136" i="1"/>
  <c r="H136" i="1" s="1"/>
  <c r="Q136" i="1" s="1"/>
  <c r="B134" i="1"/>
  <c r="C170" i="1"/>
  <c r="H157" i="1"/>
  <c r="B154" i="1"/>
  <c r="H147" i="1"/>
  <c r="B170" i="1"/>
  <c r="H160" i="1"/>
  <c r="Q160" i="1" s="1"/>
  <c r="Q213" i="1"/>
  <c r="H121" i="1"/>
  <c r="H132" i="1" s="1"/>
  <c r="H135" i="1"/>
  <c r="Q135" i="1" s="1"/>
  <c r="D197" i="1"/>
  <c r="H182" i="1"/>
  <c r="Q182" i="1" s="1"/>
  <c r="D133" i="1"/>
  <c r="D134" i="1"/>
  <c r="H197" i="1"/>
  <c r="Q172" i="1"/>
  <c r="D90" i="1"/>
  <c r="D97" i="1" s="1"/>
  <c r="H83" i="1"/>
  <c r="C134" i="1"/>
  <c r="C141" i="1" s="1"/>
  <c r="C142" i="1" s="1"/>
  <c r="C211" i="1" s="1"/>
  <c r="C219" i="1" s="1"/>
  <c r="C220" i="1" s="1"/>
  <c r="C136" i="1"/>
  <c r="G141" i="1"/>
  <c r="G142" i="1" s="1"/>
  <c r="O67" i="1"/>
  <c r="O219" i="1"/>
  <c r="H134" i="1" l="1"/>
  <c r="Q147" i="1"/>
  <c r="Q154" i="1" s="1"/>
  <c r="H154" i="1"/>
  <c r="H133" i="1"/>
  <c r="B141" i="1"/>
  <c r="B142" i="1" s="1"/>
  <c r="B211" i="1" s="1"/>
  <c r="B219" i="1" s="1"/>
  <c r="B220" i="1" s="1"/>
  <c r="D141" i="1"/>
  <c r="D142" i="1" s="1"/>
  <c r="D211" i="1" s="1"/>
  <c r="G211" i="1"/>
  <c r="G219" i="1" s="1"/>
  <c r="G220" i="1" s="1"/>
  <c r="H69" i="1"/>
  <c r="H68" i="1"/>
  <c r="Q157" i="1"/>
  <c r="H170" i="1"/>
  <c r="Q83" i="1"/>
  <c r="Q90" i="1" s="1"/>
  <c r="Q97" i="1" s="1"/>
  <c r="H90" i="1"/>
  <c r="H97" i="1" s="1"/>
  <c r="D219" i="1"/>
  <c r="D220" i="1" s="1"/>
  <c r="G170" i="1"/>
  <c r="H161" i="1"/>
  <c r="Q161" i="1" s="1"/>
  <c r="Q197" i="1"/>
  <c r="Q222" i="1"/>
  <c r="Q220" i="1"/>
  <c r="Q218" i="1"/>
  <c r="Q212" i="1"/>
  <c r="Q198" i="1"/>
  <c r="Q171" i="1"/>
  <c r="Q155" i="1"/>
  <c r="Q143" i="1"/>
  <c r="Q122" i="1"/>
  <c r="Q106" i="1"/>
  <c r="Q105" i="1"/>
  <c r="Q104" i="1"/>
  <c r="Q98" i="1"/>
  <c r="Q91" i="1"/>
  <c r="Q81" i="1"/>
  <c r="Q73" i="1"/>
  <c r="Q72" i="1"/>
  <c r="Q71" i="1"/>
  <c r="Q66" i="1"/>
  <c r="Q62" i="1"/>
  <c r="Q38" i="1"/>
  <c r="Q37" i="1"/>
  <c r="Q63" i="1"/>
  <c r="Q65" i="1" s="1"/>
  <c r="Q26" i="1"/>
  <c r="Q25" i="1"/>
  <c r="Q19" i="1"/>
  <c r="Q18" i="1"/>
  <c r="P9" i="1"/>
  <c r="P8" i="1"/>
  <c r="P7" i="1"/>
  <c r="P6" i="1"/>
  <c r="P5" i="1"/>
  <c r="P4" i="1"/>
  <c r="Q3" i="1"/>
  <c r="H238" i="1"/>
  <c r="H229" i="1"/>
  <c r="A229" i="1"/>
  <c r="A228" i="1"/>
  <c r="A227" i="1"/>
  <c r="M222" i="1"/>
  <c r="M218" i="1"/>
  <c r="M217" i="1"/>
  <c r="M216" i="1"/>
  <c r="M215" i="1"/>
  <c r="H228" i="1"/>
  <c r="M212" i="1"/>
  <c r="M208" i="1"/>
  <c r="M207" i="1"/>
  <c r="M206" i="1"/>
  <c r="M205" i="1"/>
  <c r="M204" i="1"/>
  <c r="M203" i="1"/>
  <c r="M202" i="1"/>
  <c r="M201" i="1"/>
  <c r="M200" i="1"/>
  <c r="M198" i="1"/>
  <c r="M195" i="1"/>
  <c r="M193" i="1"/>
  <c r="M192" i="1"/>
  <c r="M191" i="1"/>
  <c r="M190" i="1"/>
  <c r="M189" i="1"/>
  <c r="M188" i="1"/>
  <c r="M187" i="1"/>
  <c r="M186" i="1"/>
  <c r="M185" i="1"/>
  <c r="M184" i="1"/>
  <c r="M181" i="1"/>
  <c r="M180" i="1"/>
  <c r="M179" i="1"/>
  <c r="M177" i="1"/>
  <c r="M176" i="1"/>
  <c r="M175" i="1"/>
  <c r="M174" i="1"/>
  <c r="M173" i="1"/>
  <c r="M172" i="1"/>
  <c r="M171" i="1"/>
  <c r="M168" i="1"/>
  <c r="M167" i="1"/>
  <c r="M165" i="1"/>
  <c r="M163" i="1"/>
  <c r="M162" i="1"/>
  <c r="M160" i="1"/>
  <c r="M159" i="1"/>
  <c r="M158" i="1"/>
  <c r="M156" i="1"/>
  <c r="M155" i="1"/>
  <c r="M153" i="1"/>
  <c r="M152" i="1"/>
  <c r="M150" i="1"/>
  <c r="M149" i="1"/>
  <c r="M148" i="1"/>
  <c r="T146" i="1"/>
  <c r="M146" i="1"/>
  <c r="M145" i="1"/>
  <c r="M144" i="1"/>
  <c r="M143" i="1"/>
  <c r="M139" i="1"/>
  <c r="M138" i="1"/>
  <c r="M137" i="1"/>
  <c r="M130" i="1"/>
  <c r="M128" i="1"/>
  <c r="M127" i="1"/>
  <c r="M126" i="1"/>
  <c r="M125" i="1"/>
  <c r="M124" i="1"/>
  <c r="M123" i="1"/>
  <c r="M122" i="1"/>
  <c r="M120" i="1"/>
  <c r="M119" i="1"/>
  <c r="M117" i="1"/>
  <c r="M116" i="1"/>
  <c r="M115" i="1"/>
  <c r="M112" i="1"/>
  <c r="M111" i="1"/>
  <c r="M110" i="1"/>
  <c r="M109" i="1"/>
  <c r="M108" i="1"/>
  <c r="M107" i="1"/>
  <c r="M106" i="1"/>
  <c r="M105" i="1"/>
  <c r="M104" i="1"/>
  <c r="M102" i="1"/>
  <c r="M101" i="1"/>
  <c r="M100" i="1"/>
  <c r="M99" i="1"/>
  <c r="M98" i="1"/>
  <c r="M95" i="1"/>
  <c r="M94" i="1"/>
  <c r="M93" i="1"/>
  <c r="M91" i="1"/>
  <c r="M89" i="1"/>
  <c r="M88" i="1"/>
  <c r="M87" i="1"/>
  <c r="M86" i="1"/>
  <c r="M84" i="1"/>
  <c r="M81" i="1"/>
  <c r="M79" i="1"/>
  <c r="M78" i="1"/>
  <c r="M77" i="1"/>
  <c r="M76" i="1"/>
  <c r="M75" i="1"/>
  <c r="M73" i="1"/>
  <c r="M72" i="1"/>
  <c r="M71" i="1"/>
  <c r="M66" i="1"/>
  <c r="M62" i="1"/>
  <c r="M60" i="1"/>
  <c r="M59" i="1"/>
  <c r="M58" i="1"/>
  <c r="M57" i="1"/>
  <c r="M56" i="1"/>
  <c r="M55" i="1"/>
  <c r="M54" i="1"/>
  <c r="M53" i="1"/>
  <c r="M52" i="1"/>
  <c r="M51" i="1"/>
  <c r="M50" i="1"/>
  <c r="M49" i="1"/>
  <c r="M48" i="1"/>
  <c r="M47" i="1"/>
  <c r="M46" i="1"/>
  <c r="M45" i="1"/>
  <c r="M44" i="1"/>
  <c r="M43" i="1"/>
  <c r="M42" i="1"/>
  <c r="M41" i="1"/>
  <c r="M40" i="1"/>
  <c r="M39" i="1"/>
  <c r="M38" i="1"/>
  <c r="M37" i="1"/>
  <c r="M35" i="1"/>
  <c r="M34" i="1"/>
  <c r="M33" i="1"/>
  <c r="M32" i="1"/>
  <c r="M31" i="1"/>
  <c r="M30" i="1"/>
  <c r="M29" i="1"/>
  <c r="M28" i="1"/>
  <c r="M26" i="1"/>
  <c r="M25" i="1"/>
  <c r="M24" i="1"/>
  <c r="M23" i="1"/>
  <c r="M22" i="1"/>
  <c r="M21" i="1"/>
  <c r="M19" i="1"/>
  <c r="M18" i="1"/>
  <c r="M16" i="1"/>
  <c r="M15" i="1"/>
  <c r="M14" i="1"/>
  <c r="M13" i="1"/>
  <c r="M12" i="1"/>
  <c r="M11" i="1"/>
  <c r="M10" i="1"/>
  <c r="L9" i="1"/>
  <c r="M9" i="1"/>
  <c r="L8" i="1"/>
  <c r="M8" i="1"/>
  <c r="L7" i="1"/>
  <c r="M7" i="1"/>
  <c r="L6" i="1"/>
  <c r="M6" i="1"/>
  <c r="L5" i="1"/>
  <c r="M5" i="1"/>
  <c r="L4" i="1"/>
  <c r="M4" i="1"/>
  <c r="M196" i="1"/>
  <c r="M2" i="1"/>
  <c r="Q170" i="1" l="1"/>
  <c r="H70" i="1"/>
  <c r="Q134" i="1"/>
  <c r="M61" i="1"/>
  <c r="M64" i="1" s="1"/>
  <c r="H141" i="1"/>
  <c r="H142" i="1" s="1"/>
  <c r="I133" i="1"/>
  <c r="Q133" i="1"/>
  <c r="M114" i="1"/>
  <c r="M27" i="1"/>
  <c r="M36" i="1" s="1"/>
  <c r="M129" i="1"/>
  <c r="M131" i="1" s="1"/>
  <c r="M151" i="1"/>
  <c r="M164" i="1"/>
  <c r="M82" i="1"/>
  <c r="M103" i="1"/>
  <c r="M140" i="1"/>
  <c r="M178" i="1"/>
  <c r="M63" i="1"/>
  <c r="M65" i="1" s="1"/>
  <c r="M92" i="1"/>
  <c r="M96" i="1" s="1"/>
  <c r="M135" i="1"/>
  <c r="M83" i="1"/>
  <c r="M182" i="1"/>
  <c r="M197" i="1" s="1"/>
  <c r="M213" i="1"/>
  <c r="M85" i="1"/>
  <c r="M113" i="1"/>
  <c r="M121" i="1" s="1"/>
  <c r="M183" i="1"/>
  <c r="M214" i="1"/>
  <c r="H227" i="1"/>
  <c r="H231" i="1" s="1"/>
  <c r="M3" i="1"/>
  <c r="M20" i="1"/>
  <c r="M118" i="1"/>
  <c r="M132" i="1" l="1"/>
  <c r="Q141" i="1"/>
  <c r="Q142" i="1" s="1"/>
  <c r="Q211" i="1" s="1"/>
  <c r="Q219" i="1" s="1"/>
  <c r="H67" i="1"/>
  <c r="H211" i="1"/>
  <c r="H219" i="1" s="1"/>
  <c r="H220" i="1" s="1"/>
  <c r="M90" i="1"/>
  <c r="M136" i="1"/>
  <c r="M199" i="1"/>
  <c r="M209" i="1" s="1"/>
  <c r="M169" i="1"/>
  <c r="M157" i="1"/>
  <c r="M134" i="1" l="1"/>
  <c r="M147" i="1"/>
  <c r="M154" i="1" s="1"/>
  <c r="M166" i="1"/>
  <c r="M74" i="1"/>
  <c r="M80" i="1" s="1"/>
  <c r="M161" i="1" l="1"/>
  <c r="M170" i="1" s="1"/>
  <c r="M133" i="1"/>
  <c r="M141" i="1" s="1"/>
  <c r="M142" i="1" s="1"/>
  <c r="M211" i="1" s="1"/>
  <c r="M97" i="1"/>
  <c r="M219" i="1" s="1"/>
  <c r="H239" i="1" l="1"/>
  <c r="H225" i="1"/>
  <c r="H232" i="1" s="1"/>
  <c r="M2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Padron</author>
  </authors>
  <commentList>
    <comment ref="R1" authorId="0" shapeId="0" xr:uid="{33CB461B-59BC-4C07-BC02-7D7408A6121B}">
      <text>
        <r>
          <rPr>
            <b/>
            <sz val="9"/>
            <color indexed="81"/>
            <rFont val="Tahoma"/>
            <family val="2"/>
          </rPr>
          <t>Matt Padron:</t>
        </r>
        <r>
          <rPr>
            <sz val="9"/>
            <color indexed="81"/>
            <rFont val="Tahoma"/>
            <family val="2"/>
          </rPr>
          <t xml:space="preserve">
1 49432-Mater Mountain Vista
2 49433-Mater Bonanza
3 49434-Mater East
4 47434-Sports Leadership Mgmt
5 55000-Doral Academy of Nevada
6 55200-Doral - Cactus
7 55201-Doral - Fire Mesa
8 55202-Doral - Red Rock
9 55203-Doral - Saddle
10 55204-Doral - Pebble
11 66436-Doral of Northern Nevada
13 44437-Mater of Northern Nevada
14 58000-Pinecrest Academy of NV
15 58422-Pinecrest - Horizon
16 58423-Pinecrest - Cadence
17 58425-Pinecrest - Inspirada
18 58427-Pinecrest - St Rose
19 58428-Pinecrest - Sloan Canyon
20 59000-Somerset Academy of LV
21 59119-Somerset - North LV
22 59120-Somerset - Losee
23 59121-Somerset - Lone Mountain
24 59122-Somerset - Sky Pointe
25 59123-Somerset - Stephanie
26 59124-Somerset - Aliante
27 59125-Somerset - Skye Canyon
28 106101-Pinecrest of Northern NV
105 Red Rock Elementary
106 Red Rock Middle High
109 Somerset AZ
114 110100-CIVICA NV
115 SLAM Elementary
116 SLAM Middle High
117 113100-Young Womens Leadership
121 SLAM Arizona Inc
122 Pinecrest Academy of Nevada Virtual
123 Mater Executive Director
124 Mater Academy of Nevada
125 Pinecrest Academy of Idaho
126 Doral Academy of Idaho
127 58429-Pinecrest - Springs
128 Pinecrest Academy of Idaho Lewiston
129 American Legacy Academy
130 Cheyenne Classical Academy
131 Wyoming Classical Academy
132 Civica Colorado
</t>
        </r>
      </text>
    </comment>
    <comment ref="V1" authorId="0" shapeId="0" xr:uid="{35D759E5-D9D6-4396-AB18-92770C141968}">
      <text>
        <r>
          <rPr>
            <b/>
            <sz val="9"/>
            <color indexed="81"/>
            <rFont val="Tahoma"/>
            <family val="2"/>
          </rPr>
          <t>Matt Padron:</t>
        </r>
        <r>
          <rPr>
            <sz val="9"/>
            <color indexed="81"/>
            <rFont val="Tahoma"/>
            <family val="2"/>
          </rPr>
          <t xml:space="preserve">
-Right click corresponding CSV tab
-Move or copy into new book
-Format all cells: General
-Delete all zeros 
-Save As (CSV comma delimited)- ready for import</t>
        </r>
      </text>
    </comment>
  </commentList>
</comments>
</file>

<file path=xl/sharedStrings.xml><?xml version="1.0" encoding="utf-8"?>
<sst xmlns="http://schemas.openxmlformats.org/spreadsheetml/2006/main" count="1554" uniqueCount="260">
  <si>
    <t>Young Women's Academy of Las Vegas - FY25</t>
  </si>
  <si>
    <t>Operating</t>
  </si>
  <si>
    <t>SPED</t>
  </si>
  <si>
    <t>NSLP</t>
  </si>
  <si>
    <t>Other</t>
  </si>
  <si>
    <t>Title I</t>
  </si>
  <si>
    <t>Title II/III/IV</t>
  </si>
  <si>
    <t>Total (24-25)</t>
  </si>
  <si>
    <t>24-25 (Final)</t>
  </si>
  <si>
    <t>Variance</t>
  </si>
  <si>
    <t>Internal ID</t>
  </si>
  <si>
    <t>FY 2025</t>
  </si>
  <si>
    <t>Import Instructions</t>
  </si>
  <si>
    <t>Statewide Base (w/ District Adj)</t>
  </si>
  <si>
    <t>Total Students (FTEs)</t>
  </si>
  <si>
    <t>Kinder</t>
  </si>
  <si>
    <t>1st Grade</t>
  </si>
  <si>
    <t>2nd Grade</t>
  </si>
  <si>
    <t>3rd Grade</t>
  </si>
  <si>
    <t>4th Grade</t>
  </si>
  <si>
    <t>5th Grade</t>
  </si>
  <si>
    <t>6th Grade</t>
  </si>
  <si>
    <t>7th Grade</t>
  </si>
  <si>
    <t>8th Grade</t>
  </si>
  <si>
    <t>9th Grade</t>
  </si>
  <si>
    <t>10th Grade</t>
  </si>
  <si>
    <t>11th Grade</t>
  </si>
  <si>
    <t>12th Grade</t>
  </si>
  <si>
    <t xml:space="preserve">Prior Year Numbers </t>
  </si>
  <si>
    <t>SPED Count</t>
  </si>
  <si>
    <t>October 1st counts</t>
  </si>
  <si>
    <t>EL Count</t>
  </si>
  <si>
    <t>GATE Count</t>
  </si>
  <si>
    <t>FRL Count and %</t>
  </si>
  <si>
    <t>At-Risk Count</t>
  </si>
  <si>
    <t>Teaching Staff</t>
  </si>
  <si>
    <t>Classroom Teachers</t>
  </si>
  <si>
    <t>SPED Teachers</t>
  </si>
  <si>
    <t>Art Teacher</t>
  </si>
  <si>
    <t>Music</t>
  </si>
  <si>
    <t>PE Teacher</t>
  </si>
  <si>
    <t>Technology (STEM)</t>
  </si>
  <si>
    <t>Spanish / Language</t>
  </si>
  <si>
    <t>Additional Elective Teachers</t>
  </si>
  <si>
    <t>Gate Teacher</t>
  </si>
  <si>
    <t xml:space="preserve">     Total Teaching Staff</t>
  </si>
  <si>
    <t>Admin &amp; Support</t>
  </si>
  <si>
    <t xml:space="preserve">Executive Director </t>
  </si>
  <si>
    <t>Principal</t>
  </si>
  <si>
    <t>Director of Ed &amp; Org Programs</t>
  </si>
  <si>
    <t>Dean</t>
  </si>
  <si>
    <t>Curriculum Coach</t>
  </si>
  <si>
    <t>School Counselor / College Bound Initiative Coordinator</t>
  </si>
  <si>
    <t>Social Worker/ Mental Health</t>
  </si>
  <si>
    <t>Office Manager/Banker</t>
  </si>
  <si>
    <t>Registrar</t>
  </si>
  <si>
    <t>Clinic Aide/ FASA</t>
  </si>
  <si>
    <t>Receptionist</t>
  </si>
  <si>
    <t>Teacher Assistants (SPED Included)</t>
  </si>
  <si>
    <t>Campus Monitor/Custodian</t>
  </si>
  <si>
    <t>Cafeteria Manager</t>
  </si>
  <si>
    <t>Parent Engagement Corrdinator</t>
  </si>
  <si>
    <t>SPED Facilitator</t>
  </si>
  <si>
    <t>Speech Pathologist</t>
  </si>
  <si>
    <t>School Psychologist</t>
  </si>
  <si>
    <t>OT</t>
  </si>
  <si>
    <t>School Nurse</t>
  </si>
  <si>
    <t>On Campus Sub</t>
  </si>
  <si>
    <t>Other: NSLP staff</t>
  </si>
  <si>
    <t xml:space="preserve">     Total Admin &amp; Support</t>
  </si>
  <si>
    <t>Total # Teachers</t>
  </si>
  <si>
    <t>Total # Admin &amp; Support</t>
  </si>
  <si>
    <t>Total Staff</t>
  </si>
  <si>
    <t>Total Salaries &amp; Benefits as % of Expenses</t>
  </si>
  <si>
    <t>Instruction Salaries as % of Total Salaries</t>
  </si>
  <si>
    <t>Admin &amp; Support Salaries as % of Total Salaries</t>
  </si>
  <si>
    <t>Rent as % of Revenue</t>
  </si>
  <si>
    <t xml:space="preserve">REVENUE </t>
  </si>
  <si>
    <t>State Revenue</t>
  </si>
  <si>
    <t>State Base Budget Revenue</t>
  </si>
  <si>
    <t>ELL Weight</t>
  </si>
  <si>
    <t>Gifted and Talented Education (GATE)</t>
  </si>
  <si>
    <t>At-Risk Weight</t>
  </si>
  <si>
    <t>Local SPED</t>
  </si>
  <si>
    <t xml:space="preserve">SPED Discretionary Unit </t>
  </si>
  <si>
    <t xml:space="preserve">Total State Revenues </t>
  </si>
  <si>
    <t>Federal Revenue</t>
  </si>
  <si>
    <t>SPED Funding (Part B)</t>
  </si>
  <si>
    <t>National School Lunch Program (NSLP) - Breakfast</t>
  </si>
  <si>
    <t>National School Lunch Program (NSLP) - Lunch</t>
  </si>
  <si>
    <t>Title II</t>
  </si>
  <si>
    <t>Title III</t>
  </si>
  <si>
    <t>Title IV</t>
  </si>
  <si>
    <t>Other: Transportation Grant / AB495</t>
  </si>
  <si>
    <t xml:space="preserve">Total Federal Revenues </t>
  </si>
  <si>
    <t>Other Revenue</t>
  </si>
  <si>
    <t>Interest Income</t>
  </si>
  <si>
    <t>Student Generated Funds (SGF)</t>
  </si>
  <si>
    <t>Donation(s)</t>
  </si>
  <si>
    <t>Earnings on Investments</t>
  </si>
  <si>
    <t xml:space="preserve">Total Other Revenues </t>
  </si>
  <si>
    <t>Total Revenues (consolidated)</t>
  </si>
  <si>
    <t>Other Sources of Funds</t>
  </si>
  <si>
    <t>Use of Beginning Fund Balances</t>
  </si>
  <si>
    <t>Borrowings</t>
  </si>
  <si>
    <t>Total Other Sources of Funds</t>
  </si>
  <si>
    <t>EXPENSES</t>
  </si>
  <si>
    <t>Personnel Costs - Unrestricted Salaries</t>
  </si>
  <si>
    <t>Social Worker / Mental Health</t>
  </si>
  <si>
    <t xml:space="preserve">Teachers Salaries </t>
  </si>
  <si>
    <t>Office Manager/ Registrar / Banker</t>
  </si>
  <si>
    <t>Secretary &amp; FASA</t>
  </si>
  <si>
    <t>Instructional Aide(s)</t>
  </si>
  <si>
    <t>Campus Monitors/Plant Operator</t>
  </si>
  <si>
    <t xml:space="preserve">Total Unrestricted Salaries </t>
  </si>
  <si>
    <t>Personnel Costs - Restricted Salaries</t>
  </si>
  <si>
    <t xml:space="preserve">OT </t>
  </si>
  <si>
    <t>GATE Teacher</t>
  </si>
  <si>
    <t>National School Lunch Program (NSLP) Staff</t>
  </si>
  <si>
    <t xml:space="preserve">Total Restricted Salaries </t>
  </si>
  <si>
    <t xml:space="preserve">Total Salaries and Wages </t>
  </si>
  <si>
    <t>PERS - 33.5%</t>
  </si>
  <si>
    <t xml:space="preserve">Insurances/Employment Taxes/Other Benefits </t>
  </si>
  <si>
    <t>Retention</t>
  </si>
  <si>
    <t>Holiday</t>
  </si>
  <si>
    <t>Stipend</t>
  </si>
  <si>
    <t>Additional Bonuses</t>
  </si>
  <si>
    <t>Tuition Reimbursements</t>
  </si>
  <si>
    <t>Subst. Teachers (11 days/Teacher)</t>
  </si>
  <si>
    <t>$185 per day</t>
  </si>
  <si>
    <t xml:space="preserve">Total Benefits and Related </t>
  </si>
  <si>
    <t>Total Payroll / Benefits and Related</t>
  </si>
  <si>
    <t>Material Equipment and Supplies</t>
  </si>
  <si>
    <t xml:space="preserve">Consumables </t>
  </si>
  <si>
    <t>$210/student</t>
  </si>
  <si>
    <t>Dual Enrollment - College Bound Initiative</t>
  </si>
  <si>
    <t>Curriculum/Tech/Furniture</t>
  </si>
  <si>
    <t>ixl site license</t>
  </si>
  <si>
    <t>Office Supplies</t>
  </si>
  <si>
    <t>$30/student</t>
  </si>
  <si>
    <t>Classroom Supplies</t>
  </si>
  <si>
    <t>$40/student</t>
  </si>
  <si>
    <t>Copier Supplies</t>
  </si>
  <si>
    <t>$10/student</t>
  </si>
  <si>
    <t>Nursing Supplies</t>
  </si>
  <si>
    <t>$8/student</t>
  </si>
  <si>
    <t>SPED Supplies</t>
  </si>
  <si>
    <t>$150/sped student</t>
  </si>
  <si>
    <t>Athletics/Extra</t>
  </si>
  <si>
    <t>Custodial Supplies</t>
  </si>
  <si>
    <t>$45/student</t>
  </si>
  <si>
    <t xml:space="preserve">Total Material Equipment and Supplies </t>
  </si>
  <si>
    <t>Purchased Services</t>
  </si>
  <si>
    <t>Contracted Services: Other Professional Services</t>
  </si>
  <si>
    <t>Contracted Services: SPED</t>
  </si>
  <si>
    <t>$425 per</t>
  </si>
  <si>
    <t>Contracted Services: Transportation</t>
  </si>
  <si>
    <t xml:space="preserve">$7,500/month 10months </t>
  </si>
  <si>
    <t xml:space="preserve">Contracted Services: SLN Support Services </t>
  </si>
  <si>
    <t>Management Fee (Academica Nevada)</t>
  </si>
  <si>
    <t>$495 per</t>
  </si>
  <si>
    <t>Payroll Services</t>
  </si>
  <si>
    <t>new paycom - $6,813 annual + $960 startup</t>
  </si>
  <si>
    <t>Audit/Tax</t>
  </si>
  <si>
    <t xml:space="preserve">$25k + $5k tax return </t>
  </si>
  <si>
    <t>Legal Fees</t>
  </si>
  <si>
    <t xml:space="preserve">IT Services </t>
  </si>
  <si>
    <t>$48 per student + $60per month for back-up</t>
  </si>
  <si>
    <t>IT Set-up Fees</t>
  </si>
  <si>
    <t xml:space="preserve">State Administrative Fee </t>
  </si>
  <si>
    <t xml:space="preserve">Affiliation Fee - Student Leadership Network </t>
  </si>
  <si>
    <t>Student Leadership Network</t>
  </si>
  <si>
    <t>Affiliation Fee - Professional Development</t>
  </si>
  <si>
    <t>0.5% of Per Pupil</t>
  </si>
  <si>
    <t xml:space="preserve">Professional Development </t>
  </si>
  <si>
    <t xml:space="preserve">Total Purchased Services </t>
  </si>
  <si>
    <t>General Operations</t>
  </si>
  <si>
    <t>Telephone</t>
  </si>
  <si>
    <t>Cox (E-Rate Discount) + E-Rate application</t>
  </si>
  <si>
    <t>Internet</t>
  </si>
  <si>
    <t>Cell Phones</t>
  </si>
  <si>
    <t>Postage</t>
  </si>
  <si>
    <t>Website</t>
  </si>
  <si>
    <t>Copier / Printing</t>
  </si>
  <si>
    <t>Infinite Campus</t>
  </si>
  <si>
    <t>Property Insurance</t>
  </si>
  <si>
    <t>Liability Insurance</t>
  </si>
  <si>
    <t>Other Insurances</t>
  </si>
  <si>
    <t xml:space="preserve">NSLP - Breakfast </t>
  </si>
  <si>
    <t xml:space="preserve">NSLP - Lunch </t>
  </si>
  <si>
    <t>Advertising/Marketing</t>
  </si>
  <si>
    <t xml:space="preserve">Travel </t>
  </si>
  <si>
    <t>Background and Fingerprinting</t>
  </si>
  <si>
    <t>Dues and Fees</t>
  </si>
  <si>
    <t>Prior Year Surplus allocated by board</t>
  </si>
  <si>
    <t>Graduation</t>
  </si>
  <si>
    <t>Loan Repayments</t>
  </si>
  <si>
    <t>Cap Lease - Interest</t>
  </si>
  <si>
    <t>Cap Lease - Principal</t>
  </si>
  <si>
    <t>Cap Lease - Buyout</t>
  </si>
  <si>
    <t>SGF Expenditures</t>
  </si>
  <si>
    <t>Misc Purchases</t>
  </si>
  <si>
    <t>Contingencies</t>
  </si>
  <si>
    <t xml:space="preserve">0.00% of Per Pupil </t>
  </si>
  <si>
    <t xml:space="preserve">Total Other </t>
  </si>
  <si>
    <t>Facilities</t>
  </si>
  <si>
    <t>Public Utilities (Electricity)</t>
  </si>
  <si>
    <t>Natural Gas</t>
  </si>
  <si>
    <t xml:space="preserve">$4261 per month covered in lease for all utilities </t>
  </si>
  <si>
    <t>Water / Sewer</t>
  </si>
  <si>
    <t>Garbage/Disposal</t>
  </si>
  <si>
    <t>Fire and Security alarms</t>
  </si>
  <si>
    <t>Contracted Janitorial Services</t>
  </si>
  <si>
    <t>Brilliant General Maintenance (contracted janitorial)</t>
  </si>
  <si>
    <t>Facility Maintenance/Repairs/Capital Outlay</t>
  </si>
  <si>
    <t>Snow removal</t>
  </si>
  <si>
    <t>Lawn Care</t>
  </si>
  <si>
    <t>AC Maintenance &amp; Repair</t>
  </si>
  <si>
    <t xml:space="preserve">Total Facilities </t>
  </si>
  <si>
    <t xml:space="preserve">Total Expenses Before Bldg </t>
  </si>
  <si>
    <t>Scheduled Lease Payment</t>
  </si>
  <si>
    <t>Scheduled Bond Payment - Principal</t>
  </si>
  <si>
    <t>Scheduled Bond Payment - Interest</t>
  </si>
  <si>
    <t>HOA/Parking/ Other</t>
  </si>
  <si>
    <t>Surplus (Revenues-Total Expenses-Lease-Bond)</t>
  </si>
  <si>
    <t>Adjusted Net Income Available Before Lease and Debt Service</t>
  </si>
  <si>
    <t>Total Lease Payments &amp; Net Debt Service</t>
  </si>
  <si>
    <t xml:space="preserve">Annual Debt Service Coverage </t>
  </si>
  <si>
    <t>Days Cash on Hand Calculation</t>
  </si>
  <si>
    <t>Beginning Cash Balance - FYE 2022 Audited (System)</t>
  </si>
  <si>
    <t>Accounts Receivable</t>
  </si>
  <si>
    <t>Plus:  Operating Surplus (Deficit)</t>
  </si>
  <si>
    <t>Ending Cash Balance</t>
  </si>
  <si>
    <t>Projected Days Cash on Hand</t>
  </si>
  <si>
    <t>24-25 (Accelerated)</t>
  </si>
  <si>
    <t>Young Women's Academy of Las Vegas - FY26</t>
  </si>
  <si>
    <t>Total (25-26)</t>
  </si>
  <si>
    <t>Young Women's Academy of Las Vegas - FY27</t>
  </si>
  <si>
    <t>Total (26-27)</t>
  </si>
  <si>
    <t>Young Women's Academy of Las Vegas - FY28</t>
  </si>
  <si>
    <t>Total (27-28)</t>
  </si>
  <si>
    <t>Young Women's Academy of Las Vegas</t>
  </si>
  <si>
    <t>24-25</t>
  </si>
  <si>
    <t>25-26</t>
  </si>
  <si>
    <t>26-27</t>
  </si>
  <si>
    <t>27-28</t>
  </si>
  <si>
    <t>28-29</t>
  </si>
  <si>
    <t>Donation(s): SANDS</t>
  </si>
  <si>
    <t>Personnel</t>
  </si>
  <si>
    <t>Benefits</t>
  </si>
  <si>
    <t>Contractual</t>
  </si>
  <si>
    <t>Contracted Services</t>
  </si>
  <si>
    <t>Equipment</t>
  </si>
  <si>
    <t>Supplies</t>
  </si>
  <si>
    <t>Facility</t>
  </si>
  <si>
    <t xml:space="preserve">Insurance </t>
  </si>
  <si>
    <t>Travel</t>
  </si>
  <si>
    <t>Accounting, Audit, &amp; Legal Fees</t>
  </si>
  <si>
    <t>Technology</t>
  </si>
  <si>
    <t>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</si>
</sst>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
  </numFmts>
  <fonts count="11"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sz val="10"/>
      <color rgb="FF0000FF"/>
      <name val="Aptos Narrow"/>
      <family val="2"/>
      <scheme val="minor"/>
    </font>
    <font>
      <b/>
      <i/>
      <sz val="11"/>
      <name val="Aptos Narrow"/>
      <family val="2"/>
      <scheme val="minor"/>
    </font>
    <font>
      <sz val="11"/>
      <color rgb="FF0000FF"/>
      <name val="Aptos Narrow"/>
      <family val="2"/>
      <scheme val="minor"/>
    </font>
    <font>
      <b/>
      <sz val="9"/>
      <color indexed="81"/>
      <name val="Tahoma"/>
      <family val="2"/>
    </font>
    <font>
      <sz val="9"/>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indexed="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164" fontId="4" fillId="0" borderId="0" xfId="1" applyNumberFormat="1" applyFont="1" applyAlignment="1">
      <alignment horizontal="center"/>
    </xf>
    <xf numFmtId="0" fontId="4" fillId="0" borderId="0" xfId="0" applyFont="1" applyAlignment="1">
      <alignment horizontal="left"/>
    </xf>
    <xf numFmtId="0" fontId="4" fillId="2" borderId="0" xfId="0" applyFont="1" applyFill="1" applyAlignment="1">
      <alignment horizontal="center"/>
    </xf>
    <xf numFmtId="0" fontId="4" fillId="0" borderId="0" xfId="0" applyFont="1"/>
    <xf numFmtId="0" fontId="4" fillId="0" borderId="0" xfId="0" applyFont="1" applyAlignment="1">
      <alignment horizontal="center"/>
    </xf>
    <xf numFmtId="0" fontId="5" fillId="0" borderId="1" xfId="2" applyNumberFormat="1" applyFont="1" applyFill="1" applyBorder="1" applyAlignment="1">
      <alignment horizontal="right"/>
    </xf>
    <xf numFmtId="164" fontId="5" fillId="0" borderId="2" xfId="1" applyNumberFormat="1" applyFont="1" applyBorder="1"/>
    <xf numFmtId="6" fontId="5" fillId="0" borderId="3" xfId="0" applyNumberFormat="1" applyFont="1" applyBorder="1" applyAlignment="1">
      <alignment horizontal="left"/>
    </xf>
    <xf numFmtId="6" fontId="5" fillId="0" borderId="0" xfId="0" applyNumberFormat="1" applyFont="1" applyAlignment="1">
      <alignment horizontal="left"/>
    </xf>
    <xf numFmtId="0" fontId="5" fillId="0" borderId="0" xfId="0" applyFont="1"/>
    <xf numFmtId="0" fontId="5" fillId="0" borderId="4" xfId="2" applyNumberFormat="1" applyFont="1" applyFill="1" applyBorder="1" applyAlignment="1">
      <alignment horizontal="right"/>
    </xf>
    <xf numFmtId="164" fontId="4" fillId="0" borderId="2" xfId="1" applyNumberFormat="1" applyFont="1" applyBorder="1"/>
    <xf numFmtId="0" fontId="5" fillId="0" borderId="1" xfId="0" applyFont="1" applyBorder="1" applyAlignment="1">
      <alignment horizontal="right"/>
    </xf>
    <xf numFmtId="164" fontId="5" fillId="0" borderId="2" xfId="1" applyNumberFormat="1" applyFont="1" applyFill="1" applyBorder="1"/>
    <xf numFmtId="165" fontId="6" fillId="0" borderId="3" xfId="0" applyNumberFormat="1" applyFont="1" applyBorder="1" applyAlignment="1">
      <alignment horizontal="left"/>
    </xf>
    <xf numFmtId="165" fontId="6" fillId="0" borderId="0" xfId="0" applyNumberFormat="1" applyFont="1" applyAlignment="1">
      <alignment horizontal="left"/>
    </xf>
    <xf numFmtId="0" fontId="5" fillId="0" borderId="4" xfId="0" applyFont="1" applyBorder="1" applyAlignment="1">
      <alignment horizontal="right"/>
    </xf>
    <xf numFmtId="0" fontId="5" fillId="0" borderId="0" xfId="0" applyFont="1" applyAlignment="1">
      <alignment horizontal="left"/>
    </xf>
    <xf numFmtId="0" fontId="5" fillId="0" borderId="3" xfId="0" applyFont="1" applyBorder="1" applyAlignment="1">
      <alignment horizontal="left"/>
    </xf>
    <xf numFmtId="0" fontId="5" fillId="0" borderId="5" xfId="0" applyFont="1" applyBorder="1" applyAlignment="1">
      <alignment horizontal="right"/>
    </xf>
    <xf numFmtId="164" fontId="5" fillId="0" borderId="0" xfId="0" applyNumberFormat="1" applyFont="1" applyAlignment="1">
      <alignment horizontal="right"/>
    </xf>
    <xf numFmtId="164" fontId="5" fillId="0" borderId="2" xfId="3" applyNumberFormat="1" applyFont="1" applyBorder="1"/>
    <xf numFmtId="0" fontId="4" fillId="3" borderId="2" xfId="0" applyFont="1" applyFill="1" applyBorder="1" applyAlignment="1">
      <alignment horizontal="right"/>
    </xf>
    <xf numFmtId="164" fontId="4" fillId="3" borderId="2" xfId="1" applyNumberFormat="1" applyFont="1" applyFill="1" applyBorder="1" applyAlignment="1">
      <alignment horizontal="center"/>
    </xf>
    <xf numFmtId="164" fontId="5" fillId="0" borderId="0" xfId="0" applyNumberFormat="1" applyFont="1"/>
    <xf numFmtId="43" fontId="5" fillId="0" borderId="3" xfId="0" applyNumberFormat="1" applyFont="1" applyBorder="1" applyAlignment="1">
      <alignment horizontal="left"/>
    </xf>
    <xf numFmtId="43" fontId="5" fillId="0" borderId="0" xfId="0" applyNumberFormat="1" applyFont="1" applyAlignment="1">
      <alignment horizontal="left"/>
    </xf>
    <xf numFmtId="43" fontId="5" fillId="0" borderId="0" xfId="0" applyNumberFormat="1" applyFont="1"/>
    <xf numFmtId="9" fontId="5" fillId="0" borderId="2" xfId="3" applyFont="1" applyFill="1" applyBorder="1"/>
    <xf numFmtId="9" fontId="5" fillId="0" borderId="3" xfId="0" applyNumberFormat="1" applyFont="1" applyBorder="1" applyAlignment="1">
      <alignment horizontal="left"/>
    </xf>
    <xf numFmtId="9" fontId="5" fillId="0" borderId="0" xfId="0" applyNumberFormat="1" applyFont="1" applyAlignment="1">
      <alignment horizontal="left"/>
    </xf>
    <xf numFmtId="0" fontId="4" fillId="3" borderId="2" xfId="0" applyFont="1" applyFill="1" applyBorder="1"/>
    <xf numFmtId="0" fontId="5" fillId="0" borderId="4" xfId="0" applyFont="1" applyBorder="1" applyProtection="1">
      <protection locked="0"/>
    </xf>
    <xf numFmtId="43" fontId="5" fillId="0" borderId="2" xfId="1" applyFont="1" applyBorder="1"/>
    <xf numFmtId="0" fontId="5" fillId="0" borderId="0" xfId="0" applyFont="1" applyProtection="1">
      <protection locked="0"/>
    </xf>
    <xf numFmtId="43" fontId="5" fillId="0" borderId="2" xfId="1" applyFont="1" applyFill="1" applyBorder="1"/>
    <xf numFmtId="0" fontId="5" fillId="0" borderId="0" xfId="0" applyFont="1" applyAlignment="1" applyProtection="1">
      <alignment horizontal="left"/>
      <protection locked="0"/>
    </xf>
    <xf numFmtId="0" fontId="5" fillId="0" borderId="4" xfId="0" applyFont="1" applyBorder="1" applyAlignment="1" applyProtection="1">
      <alignment horizontal="left"/>
      <protection locked="0"/>
    </xf>
    <xf numFmtId="0" fontId="5" fillId="0" borderId="4" xfId="0" applyFont="1" applyBorder="1"/>
    <xf numFmtId="43" fontId="4" fillId="3" borderId="2" xfId="1" applyFont="1" applyFill="1" applyBorder="1"/>
    <xf numFmtId="0" fontId="4" fillId="0" borderId="4" xfId="0" applyFont="1" applyBorder="1"/>
    <xf numFmtId="0" fontId="5" fillId="0" borderId="4" xfId="0" applyFont="1" applyBorder="1" applyAlignment="1" applyProtection="1">
      <alignment wrapText="1"/>
      <protection locked="0"/>
    </xf>
    <xf numFmtId="0" fontId="2" fillId="0" borderId="0" xfId="0" quotePrefix="1" applyFont="1"/>
    <xf numFmtId="165" fontId="4" fillId="3" borderId="2" xfId="1" applyNumberFormat="1" applyFont="1" applyFill="1" applyBorder="1"/>
    <xf numFmtId="0" fontId="4" fillId="4" borderId="4" xfId="0" applyFont="1" applyFill="1" applyBorder="1"/>
    <xf numFmtId="164" fontId="5" fillId="0" borderId="1" xfId="1" applyNumberFormat="1" applyFont="1" applyBorder="1"/>
    <xf numFmtId="0" fontId="4" fillId="4" borderId="6" xfId="0" applyFont="1" applyFill="1" applyBorder="1"/>
    <xf numFmtId="43" fontId="4" fillId="0" borderId="6" xfId="1" applyFont="1" applyBorder="1"/>
    <xf numFmtId="0" fontId="4" fillId="4" borderId="1" xfId="0" applyFont="1" applyFill="1" applyBorder="1"/>
    <xf numFmtId="43" fontId="4" fillId="0" borderId="2" xfId="1" applyFont="1" applyBorder="1"/>
    <xf numFmtId="0" fontId="4" fillId="4" borderId="7" xfId="0" applyFont="1" applyFill="1" applyBorder="1"/>
    <xf numFmtId="43" fontId="4" fillId="0" borderId="7" xfId="1" applyFont="1" applyBorder="1"/>
    <xf numFmtId="164" fontId="5" fillId="0" borderId="4" xfId="1" applyNumberFormat="1" applyFont="1" applyBorder="1"/>
    <xf numFmtId="0" fontId="4" fillId="0" borderId="2" xfId="0" applyFont="1" applyBorder="1"/>
    <xf numFmtId="166" fontId="5" fillId="0" borderId="2" xfId="3" applyNumberFormat="1" applyFont="1" applyBorder="1"/>
    <xf numFmtId="166" fontId="5" fillId="0" borderId="2" xfId="3" applyNumberFormat="1" applyFont="1" applyBorder="1" applyAlignment="1">
      <alignment horizontal="center"/>
    </xf>
    <xf numFmtId="0" fontId="4" fillId="5" borderId="8" xfId="0" applyFont="1" applyFill="1" applyBorder="1"/>
    <xf numFmtId="164" fontId="4" fillId="5" borderId="8" xfId="1" applyNumberFormat="1" applyFont="1" applyFill="1" applyBorder="1" applyAlignment="1">
      <alignment horizontal="center"/>
    </xf>
    <xf numFmtId="0" fontId="7" fillId="3" borderId="6" xfId="0" applyFont="1" applyFill="1" applyBorder="1"/>
    <xf numFmtId="164" fontId="4" fillId="3" borderId="9" xfId="1" applyNumberFormat="1" applyFont="1" applyFill="1" applyBorder="1" applyAlignment="1">
      <alignment horizontal="center"/>
    </xf>
    <xf numFmtId="164" fontId="4" fillId="3" borderId="10" xfId="1" applyNumberFormat="1" applyFont="1" applyFill="1" applyBorder="1" applyAlignment="1">
      <alignment horizontal="center"/>
    </xf>
    <xf numFmtId="164" fontId="5" fillId="0" borderId="5" xfId="1" applyNumberFormat="1" applyFont="1" applyBorder="1" applyAlignment="1">
      <alignment horizontal="center"/>
    </xf>
    <xf numFmtId="164" fontId="5" fillId="0" borderId="5" xfId="1" applyNumberFormat="1" applyFont="1" applyBorder="1"/>
    <xf numFmtId="6" fontId="5" fillId="0" borderId="0" xfId="0" applyNumberFormat="1" applyFont="1"/>
    <xf numFmtId="164" fontId="5" fillId="0" borderId="0" xfId="0" applyNumberFormat="1" applyFont="1" applyAlignment="1">
      <alignment horizontal="left"/>
    </xf>
    <xf numFmtId="0" fontId="4" fillId="6" borderId="2" xfId="0" applyFont="1" applyFill="1" applyBorder="1" applyAlignment="1">
      <alignment horizontal="right"/>
    </xf>
    <xf numFmtId="164" fontId="4" fillId="6" borderId="2" xfId="1" applyNumberFormat="1" applyFont="1" applyFill="1" applyBorder="1"/>
    <xf numFmtId="0" fontId="7" fillId="3" borderId="2" xfId="0" applyFont="1" applyFill="1" applyBorder="1"/>
    <xf numFmtId="8" fontId="5" fillId="0" borderId="3" xfId="0" applyNumberFormat="1" applyFont="1" applyBorder="1" applyAlignment="1">
      <alignment horizontal="left"/>
    </xf>
    <xf numFmtId="8" fontId="5" fillId="0" borderId="0" xfId="0" applyNumberFormat="1" applyFont="1" applyAlignment="1">
      <alignment horizontal="left"/>
    </xf>
    <xf numFmtId="8" fontId="5" fillId="0" borderId="0" xfId="0" applyNumberFormat="1" applyFont="1"/>
    <xf numFmtId="164" fontId="5" fillId="0" borderId="1" xfId="1" applyNumberFormat="1" applyFont="1" applyFill="1" applyBorder="1"/>
    <xf numFmtId="0" fontId="4" fillId="5" borderId="2" xfId="0" applyFont="1" applyFill="1" applyBorder="1" applyAlignment="1">
      <alignment horizontal="right"/>
    </xf>
    <xf numFmtId="164" fontId="4" fillId="5" borderId="2" xfId="1" applyNumberFormat="1" applyFont="1" applyFill="1" applyBorder="1"/>
    <xf numFmtId="0" fontId="4" fillId="7" borderId="8" xfId="0" applyFont="1" applyFill="1" applyBorder="1" applyAlignment="1">
      <alignment horizontal="left"/>
    </xf>
    <xf numFmtId="164" fontId="4" fillId="7" borderId="8" xfId="1" applyNumberFormat="1" applyFont="1" applyFill="1" applyBorder="1" applyAlignment="1">
      <alignment horizontal="center"/>
    </xf>
    <xf numFmtId="0" fontId="4" fillId="8" borderId="2" xfId="0" applyFont="1" applyFill="1" applyBorder="1" applyAlignment="1">
      <alignment horizontal="right"/>
    </xf>
    <xf numFmtId="164" fontId="4" fillId="8" borderId="2" xfId="1" applyNumberFormat="1" applyFont="1" applyFill="1" applyBorder="1"/>
    <xf numFmtId="0" fontId="7" fillId="3" borderId="11" xfId="0" applyFont="1" applyFill="1" applyBorder="1"/>
    <xf numFmtId="0" fontId="4" fillId="8" borderId="1" xfId="0" applyFont="1" applyFill="1" applyBorder="1" applyAlignment="1">
      <alignment horizontal="right"/>
    </xf>
    <xf numFmtId="164" fontId="4" fillId="8" borderId="1" xfId="1" applyNumberFormat="1" applyFont="1" applyFill="1" applyBorder="1"/>
    <xf numFmtId="0" fontId="4" fillId="7" borderId="2" xfId="0" applyFont="1" applyFill="1" applyBorder="1" applyAlignment="1">
      <alignment horizontal="right"/>
    </xf>
    <xf numFmtId="164" fontId="4" fillId="7" borderId="2" xfId="1" applyNumberFormat="1" applyFont="1" applyFill="1" applyBorder="1"/>
    <xf numFmtId="10" fontId="5" fillId="0" borderId="3" xfId="3" applyNumberFormat="1" applyFont="1" applyBorder="1" applyAlignment="1">
      <alignment horizontal="left"/>
    </xf>
    <xf numFmtId="10" fontId="5" fillId="0" borderId="0" xfId="3" applyNumberFormat="1" applyFont="1" applyBorder="1" applyAlignment="1">
      <alignment horizontal="left"/>
    </xf>
    <xf numFmtId="0" fontId="5" fillId="0" borderId="12" xfId="0" applyFont="1" applyBorder="1"/>
    <xf numFmtId="164" fontId="0" fillId="0" borderId="2" xfId="1" applyNumberFormat="1" applyFont="1" applyFill="1" applyBorder="1"/>
    <xf numFmtId="164" fontId="5" fillId="0" borderId="10" xfId="1" applyNumberFormat="1" applyFont="1" applyFill="1" applyBorder="1"/>
    <xf numFmtId="10" fontId="5" fillId="0" borderId="0" xfId="0" applyNumberFormat="1" applyFont="1"/>
    <xf numFmtId="0" fontId="4" fillId="7" borderId="1" xfId="0" applyFont="1" applyFill="1" applyBorder="1" applyAlignment="1">
      <alignment horizontal="right"/>
    </xf>
    <xf numFmtId="164" fontId="4" fillId="7" borderId="1" xfId="1" applyNumberFormat="1" applyFont="1" applyFill="1" applyBorder="1"/>
    <xf numFmtId="0" fontId="7" fillId="3" borderId="2" xfId="0" applyFont="1" applyFill="1" applyBorder="1" applyAlignment="1">
      <alignment horizontal="left"/>
    </xf>
    <xf numFmtId="0" fontId="5" fillId="0" borderId="1" xfId="0" applyFont="1" applyBorder="1" applyAlignment="1">
      <alignment horizontal="left"/>
    </xf>
    <xf numFmtId="0" fontId="5" fillId="0" borderId="4" xfId="0" applyFont="1" applyBorder="1" applyAlignment="1">
      <alignment horizontal="left"/>
    </xf>
    <xf numFmtId="0" fontId="5" fillId="0" borderId="5" xfId="0" applyFont="1" applyBorder="1"/>
    <xf numFmtId="164" fontId="0" fillId="0" borderId="2" xfId="1" applyNumberFormat="1" applyFont="1" applyBorder="1"/>
    <xf numFmtId="10" fontId="5" fillId="0" borderId="3" xfId="0" applyNumberFormat="1" applyFont="1" applyBorder="1" applyAlignment="1">
      <alignment horizontal="left"/>
    </xf>
    <xf numFmtId="10" fontId="5" fillId="0" borderId="0" xfId="0" applyNumberFormat="1" applyFont="1" applyAlignment="1">
      <alignment horizontal="left"/>
    </xf>
    <xf numFmtId="0" fontId="5" fillId="0" borderId="1" xfId="0" applyFont="1" applyBorder="1"/>
    <xf numFmtId="2" fontId="5" fillId="0" borderId="0" xfId="0" applyNumberFormat="1" applyFont="1" applyAlignment="1">
      <alignment horizontal="left"/>
    </xf>
    <xf numFmtId="2" fontId="5" fillId="0" borderId="0" xfId="0" applyNumberFormat="1" applyFont="1"/>
    <xf numFmtId="164" fontId="5" fillId="0" borderId="3" xfId="0" applyNumberFormat="1" applyFont="1" applyBorder="1" applyAlignment="1">
      <alignment horizontal="left"/>
    </xf>
    <xf numFmtId="164" fontId="0" fillId="0" borderId="5" xfId="1" applyNumberFormat="1" applyFont="1" applyBorder="1"/>
    <xf numFmtId="0" fontId="7" fillId="0" borderId="2" xfId="0" applyFont="1" applyBorder="1" applyAlignment="1">
      <alignment horizontal="right"/>
    </xf>
    <xf numFmtId="0" fontId="7" fillId="0" borderId="4" xfId="0" applyFont="1" applyBorder="1"/>
    <xf numFmtId="0" fontId="4" fillId="5" borderId="8" xfId="0" applyFont="1" applyFill="1" applyBorder="1" applyAlignment="1">
      <alignment horizontal="right" wrapText="1"/>
    </xf>
    <xf numFmtId="164" fontId="4" fillId="5" borderId="8" xfId="0" applyNumberFormat="1" applyFont="1" applyFill="1" applyBorder="1"/>
    <xf numFmtId="0" fontId="5" fillId="0" borderId="6" xfId="0" applyFont="1" applyBorder="1"/>
    <xf numFmtId="10" fontId="5" fillId="0" borderId="6" xfId="3" applyNumberFormat="1" applyFont="1" applyBorder="1"/>
    <xf numFmtId="10" fontId="5" fillId="0" borderId="0" xfId="3" applyNumberFormat="1" applyFont="1" applyBorder="1"/>
    <xf numFmtId="164" fontId="5" fillId="0" borderId="0" xfId="1" applyNumberFormat="1" applyFont="1"/>
    <xf numFmtId="0" fontId="3" fillId="8" borderId="9" xfId="0" applyFont="1" applyFill="1" applyBorder="1"/>
    <xf numFmtId="164" fontId="5" fillId="8" borderId="9" xfId="0" applyNumberFormat="1" applyFont="1" applyFill="1" applyBorder="1"/>
    <xf numFmtId="0" fontId="3" fillId="0" borderId="0" xfId="0" applyFont="1"/>
    <xf numFmtId="164" fontId="5" fillId="0" borderId="0" xfId="1" applyNumberFormat="1" applyFont="1" applyBorder="1"/>
    <xf numFmtId="164" fontId="5" fillId="8" borderId="9" xfId="1" applyNumberFormat="1" applyFont="1" applyFill="1" applyBorder="1"/>
    <xf numFmtId="0" fontId="3" fillId="7" borderId="9" xfId="0" applyFont="1" applyFill="1" applyBorder="1"/>
    <xf numFmtId="43" fontId="4" fillId="7" borderId="9" xfId="1" applyFont="1" applyFill="1" applyBorder="1"/>
    <xf numFmtId="10" fontId="5" fillId="0" borderId="0" xfId="3" applyNumberFormat="1" applyFont="1" applyFill="1"/>
    <xf numFmtId="0" fontId="0" fillId="6" borderId="9" xfId="0" applyFill="1" applyBorder="1"/>
    <xf numFmtId="0" fontId="3" fillId="6" borderId="9" xfId="0" applyFont="1" applyFill="1" applyBorder="1"/>
    <xf numFmtId="41" fontId="5" fillId="9" borderId="0" xfId="0" applyNumberFormat="1" applyFont="1" applyFill="1"/>
    <xf numFmtId="41" fontId="5" fillId="10" borderId="0" xfId="0" applyNumberFormat="1" applyFont="1" applyFill="1"/>
    <xf numFmtId="0" fontId="1" fillId="6" borderId="9" xfId="0" applyFont="1" applyFill="1" applyBorder="1"/>
    <xf numFmtId="164" fontId="8" fillId="6" borderId="9" xfId="1" applyNumberFormat="1" applyFont="1" applyFill="1" applyBorder="1"/>
    <xf numFmtId="0" fontId="3" fillId="5" borderId="9" xfId="0" applyFont="1" applyFill="1" applyBorder="1"/>
    <xf numFmtId="43" fontId="4" fillId="5" borderId="9" xfId="1" applyFont="1" applyFill="1" applyBorder="1"/>
    <xf numFmtId="164" fontId="0" fillId="0" borderId="0" xfId="1" applyNumberFormat="1" applyFont="1"/>
    <xf numFmtId="43" fontId="5" fillId="0" borderId="0" xfId="1" applyFont="1"/>
    <xf numFmtId="164" fontId="5" fillId="11" borderId="1" xfId="1" applyNumberFormat="1" applyFont="1" applyFill="1" applyBorder="1"/>
    <xf numFmtId="9" fontId="5" fillId="0" borderId="2" xfId="3" applyFont="1" applyBorder="1"/>
    <xf numFmtId="164" fontId="5" fillId="11" borderId="2" xfId="1" applyNumberFormat="1" applyFont="1" applyFill="1" applyBorder="1"/>
    <xf numFmtId="0" fontId="5" fillId="10" borderId="4" xfId="0" applyFont="1" applyFill="1" applyBorder="1"/>
    <xf numFmtId="164" fontId="5" fillId="10" borderId="2" xfId="1" applyNumberFormat="1" applyFont="1" applyFill="1" applyBorder="1"/>
    <xf numFmtId="10" fontId="5" fillId="0" borderId="0" xfId="3" applyNumberFormat="1" applyFont="1"/>
    <xf numFmtId="0" fontId="0" fillId="0" borderId="0" xfId="0" applyAlignment="1">
      <alignment horizontal="right"/>
    </xf>
    <xf numFmtId="10" fontId="0" fillId="0" borderId="0" xfId="3" applyNumberFormat="1" applyFont="1"/>
    <xf numFmtId="10" fontId="0" fillId="0" borderId="0" xfId="0" applyNumberFormat="1"/>
    <xf numFmtId="43" fontId="0" fillId="0" borderId="0" xfId="0" applyNumberFormat="1"/>
    <xf numFmtId="0" fontId="3" fillId="0" borderId="0" xfId="0" applyFont="1" applyAlignment="1">
      <alignment horizontal="center"/>
    </xf>
    <xf numFmtId="0" fontId="4" fillId="4" borderId="0" xfId="0" applyFont="1" applyFill="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B429-326B-4E33-B92C-B6CFDD2135CA}">
  <dimension ref="A1:V241"/>
  <sheetViews>
    <sheetView topLeftCell="A144" zoomScale="85" zoomScaleNormal="85" workbookViewId="0">
      <selection activeCell="B172" sqref="B172:B173"/>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5" width="19" style="111" bestFit="1" customWidth="1"/>
    <col min="16" max="16" width="6.5703125" style="18" customWidth="1"/>
    <col min="17" max="17" width="14.7109375" style="18" customWidth="1"/>
    <col min="18" max="16384" width="8.7109375" style="10"/>
  </cols>
  <sheetData>
    <row r="1" spans="1:22" s="5" customFormat="1" x14ac:dyDescent="0.25">
      <c r="A1" s="1" t="s">
        <v>0</v>
      </c>
      <c r="B1" s="1" t="s">
        <v>1</v>
      </c>
      <c r="C1" s="1" t="s">
        <v>2</v>
      </c>
      <c r="D1" s="1" t="s">
        <v>3</v>
      </c>
      <c r="E1" s="1" t="s">
        <v>4</v>
      </c>
      <c r="F1" s="1" t="s">
        <v>5</v>
      </c>
      <c r="G1" s="1" t="s">
        <v>6</v>
      </c>
      <c r="H1" s="1" t="s">
        <v>7</v>
      </c>
      <c r="I1" s="2"/>
      <c r="J1" s="2"/>
      <c r="K1" s="1" t="s">
        <v>8</v>
      </c>
      <c r="L1" s="2"/>
      <c r="M1" s="1" t="s">
        <v>9</v>
      </c>
      <c r="N1" s="2"/>
      <c r="O1" s="1" t="s">
        <v>234</v>
      </c>
      <c r="P1" s="2"/>
      <c r="Q1" s="1" t="s">
        <v>9</v>
      </c>
      <c r="R1" s="3">
        <v>117</v>
      </c>
      <c r="S1" s="4" t="s">
        <v>10</v>
      </c>
      <c r="T1" s="5" t="s">
        <v>11</v>
      </c>
      <c r="U1" s="5" t="s">
        <v>1</v>
      </c>
      <c r="V1" s="2" t="s">
        <v>12</v>
      </c>
    </row>
    <row r="2" spans="1:22" x14ac:dyDescent="0.25">
      <c r="A2" s="6" t="s">
        <v>13</v>
      </c>
      <c r="B2" s="7">
        <v>9414</v>
      </c>
      <c r="C2" s="7"/>
      <c r="D2" s="7"/>
      <c r="E2" s="7"/>
      <c r="F2" s="7"/>
      <c r="G2" s="7"/>
      <c r="H2" s="7">
        <f t="shared" ref="H2:H16" si="0">SUM(B2:G2)</f>
        <v>9414</v>
      </c>
      <c r="I2" s="8"/>
      <c r="J2" s="9"/>
      <c r="K2" s="7">
        <v>9414</v>
      </c>
      <c r="L2" s="9"/>
      <c r="M2" s="7">
        <f t="shared" ref="M2:M62" si="1">H2-K2</f>
        <v>0</v>
      </c>
      <c r="N2" s="9"/>
      <c r="O2" s="7">
        <v>9414</v>
      </c>
      <c r="P2" s="9"/>
      <c r="Q2" s="7">
        <f>H2-O2</f>
        <v>0</v>
      </c>
    </row>
    <row r="3" spans="1:22" x14ac:dyDescent="0.25">
      <c r="A3" s="11" t="s">
        <v>14</v>
      </c>
      <c r="B3" s="12">
        <f t="shared" ref="B3" si="2">B4+B5+B6+B7+B8+B9+B10+B11+B12+B13+B14+B15+B16</f>
        <v>111</v>
      </c>
      <c r="C3" s="12"/>
      <c r="D3" s="12"/>
      <c r="E3" s="12"/>
      <c r="F3" s="12"/>
      <c r="G3" s="12"/>
      <c r="H3" s="12">
        <f t="shared" si="0"/>
        <v>111</v>
      </c>
      <c r="I3" s="8"/>
      <c r="J3" s="9"/>
      <c r="K3" s="12">
        <v>135</v>
      </c>
      <c r="L3" s="9"/>
      <c r="M3" s="12">
        <f t="shared" si="1"/>
        <v>-24</v>
      </c>
      <c r="N3" s="9"/>
      <c r="O3" s="12">
        <v>135</v>
      </c>
      <c r="P3" s="9"/>
      <c r="Q3" s="12">
        <f t="shared" ref="Q3:Q18" si="3">L3-O3</f>
        <v>-135</v>
      </c>
    </row>
    <row r="4" spans="1:22" x14ac:dyDescent="0.25">
      <c r="A4" s="13" t="s">
        <v>15</v>
      </c>
      <c r="B4" s="7">
        <v>0</v>
      </c>
      <c r="C4" s="14"/>
      <c r="D4" s="14"/>
      <c r="E4" s="14"/>
      <c r="F4" s="14"/>
      <c r="G4" s="14"/>
      <c r="H4" s="14">
        <f t="shared" si="0"/>
        <v>0</v>
      </c>
      <c r="I4" s="15">
        <f>B4/25</f>
        <v>0</v>
      </c>
      <c r="J4" s="16"/>
      <c r="K4" s="14">
        <v>0</v>
      </c>
      <c r="L4" s="16">
        <f>K4/25</f>
        <v>0</v>
      </c>
      <c r="M4" s="14">
        <f t="shared" si="1"/>
        <v>0</v>
      </c>
      <c r="N4" s="16"/>
      <c r="O4" s="14">
        <v>0</v>
      </c>
      <c r="P4" s="16">
        <f>O4/25</f>
        <v>0</v>
      </c>
      <c r="Q4" s="14">
        <f>H4-O4</f>
        <v>0</v>
      </c>
    </row>
    <row r="5" spans="1:22" x14ac:dyDescent="0.25">
      <c r="A5" s="11" t="s">
        <v>16</v>
      </c>
      <c r="B5" s="7">
        <v>0</v>
      </c>
      <c r="C5" s="14"/>
      <c r="D5" s="14"/>
      <c r="E5" s="14"/>
      <c r="F5" s="14"/>
      <c r="G5" s="14"/>
      <c r="H5" s="14">
        <f t="shared" si="0"/>
        <v>0</v>
      </c>
      <c r="I5" s="15">
        <f>B5/26</f>
        <v>0</v>
      </c>
      <c r="J5" s="16"/>
      <c r="K5" s="14">
        <v>0</v>
      </c>
      <c r="L5" s="16">
        <f t="shared" ref="L5" si="4">K5/25</f>
        <v>0</v>
      </c>
      <c r="M5" s="14">
        <f t="shared" si="1"/>
        <v>0</v>
      </c>
      <c r="N5" s="16"/>
      <c r="O5" s="14">
        <v>0</v>
      </c>
      <c r="P5" s="16">
        <f t="shared" ref="P5" si="5">O5/25</f>
        <v>0</v>
      </c>
      <c r="Q5" s="14">
        <f t="shared" ref="Q5:Q16" si="6">H5-O5</f>
        <v>0</v>
      </c>
    </row>
    <row r="6" spans="1:22" x14ac:dyDescent="0.25">
      <c r="A6" s="11" t="s">
        <v>17</v>
      </c>
      <c r="B6" s="7">
        <v>0</v>
      </c>
      <c r="C6" s="14"/>
      <c r="D6" s="14"/>
      <c r="E6" s="14"/>
      <c r="F6" s="14"/>
      <c r="G6" s="14"/>
      <c r="H6" s="14">
        <f t="shared" si="0"/>
        <v>0</v>
      </c>
      <c r="I6" s="15">
        <f>B6/26</f>
        <v>0</v>
      </c>
      <c r="J6" s="16"/>
      <c r="K6" s="14">
        <v>0</v>
      </c>
      <c r="L6" s="16">
        <f>K6/26</f>
        <v>0</v>
      </c>
      <c r="M6" s="14">
        <f t="shared" si="1"/>
        <v>0</v>
      </c>
      <c r="N6" s="16"/>
      <c r="O6" s="14">
        <v>0</v>
      </c>
      <c r="P6" s="16">
        <f>O6/26</f>
        <v>0</v>
      </c>
      <c r="Q6" s="14">
        <f t="shared" si="6"/>
        <v>0</v>
      </c>
    </row>
    <row r="7" spans="1:22" x14ac:dyDescent="0.25">
      <c r="A7" s="17" t="s">
        <v>18</v>
      </c>
      <c r="B7" s="7">
        <v>0</v>
      </c>
      <c r="C7" s="14"/>
      <c r="D7" s="14"/>
      <c r="E7" s="14"/>
      <c r="F7" s="14"/>
      <c r="G7" s="14"/>
      <c r="H7" s="14">
        <f t="shared" si="0"/>
        <v>0</v>
      </c>
      <c r="I7" s="15">
        <f>B7/26</f>
        <v>0</v>
      </c>
      <c r="J7" s="16"/>
      <c r="K7" s="14">
        <v>0</v>
      </c>
      <c r="L7" s="16">
        <f>K7/27</f>
        <v>0</v>
      </c>
      <c r="M7" s="14">
        <f t="shared" si="1"/>
        <v>0</v>
      </c>
      <c r="N7" s="16"/>
      <c r="O7" s="14">
        <v>0</v>
      </c>
      <c r="P7" s="16">
        <f>O7/27</f>
        <v>0</v>
      </c>
      <c r="Q7" s="14">
        <f t="shared" si="6"/>
        <v>0</v>
      </c>
    </row>
    <row r="8" spans="1:22" x14ac:dyDescent="0.25">
      <c r="A8" s="17" t="s">
        <v>19</v>
      </c>
      <c r="B8" s="7">
        <v>0</v>
      </c>
      <c r="C8" s="14"/>
      <c r="D8" s="14"/>
      <c r="E8" s="14"/>
      <c r="F8" s="14"/>
      <c r="G8" s="14"/>
      <c r="H8" s="14">
        <f t="shared" si="0"/>
        <v>0</v>
      </c>
      <c r="I8" s="15">
        <f>B8/27</f>
        <v>0</v>
      </c>
      <c r="J8" s="16"/>
      <c r="K8" s="14">
        <v>0</v>
      </c>
      <c r="L8" s="16">
        <f>K8/27</f>
        <v>0</v>
      </c>
      <c r="M8" s="14">
        <f t="shared" si="1"/>
        <v>0</v>
      </c>
      <c r="N8" s="16"/>
      <c r="O8" s="14">
        <v>0</v>
      </c>
      <c r="P8" s="16">
        <f>O8/27</f>
        <v>0</v>
      </c>
      <c r="Q8" s="14">
        <f t="shared" si="6"/>
        <v>0</v>
      </c>
    </row>
    <row r="9" spans="1:22" x14ac:dyDescent="0.25">
      <c r="A9" s="17" t="s">
        <v>20</v>
      </c>
      <c r="B9" s="7">
        <v>0</v>
      </c>
      <c r="C9" s="14"/>
      <c r="D9" s="14"/>
      <c r="E9" s="14"/>
      <c r="F9" s="14"/>
      <c r="G9" s="14"/>
      <c r="H9" s="14">
        <f t="shared" si="0"/>
        <v>0</v>
      </c>
      <c r="I9" s="15">
        <f>B9/27</f>
        <v>0</v>
      </c>
      <c r="J9" s="16"/>
      <c r="K9" s="14">
        <v>0</v>
      </c>
      <c r="L9" s="16">
        <f>K9/31</f>
        <v>0</v>
      </c>
      <c r="M9" s="14">
        <f t="shared" si="1"/>
        <v>0</v>
      </c>
      <c r="N9" s="16"/>
      <c r="O9" s="14">
        <v>0</v>
      </c>
      <c r="P9" s="16">
        <f>O9/31</f>
        <v>0</v>
      </c>
      <c r="Q9" s="14">
        <f t="shared" si="6"/>
        <v>0</v>
      </c>
    </row>
    <row r="10" spans="1:22" x14ac:dyDescent="0.25">
      <c r="A10" s="17" t="s">
        <v>21</v>
      </c>
      <c r="B10" s="7">
        <v>35</v>
      </c>
      <c r="C10" s="7"/>
      <c r="D10" s="7"/>
      <c r="E10" s="7"/>
      <c r="F10" s="7"/>
      <c r="G10" s="7"/>
      <c r="H10" s="14">
        <f t="shared" si="0"/>
        <v>35</v>
      </c>
      <c r="I10" s="15">
        <v>1</v>
      </c>
      <c r="J10" s="16"/>
      <c r="K10" s="14">
        <v>30</v>
      </c>
      <c r="L10" s="16">
        <v>1</v>
      </c>
      <c r="M10" s="14">
        <f t="shared" si="1"/>
        <v>5</v>
      </c>
      <c r="N10" s="16"/>
      <c r="O10" s="7">
        <v>35</v>
      </c>
      <c r="P10" s="16">
        <v>1</v>
      </c>
      <c r="Q10" s="14">
        <f t="shared" si="6"/>
        <v>0</v>
      </c>
    </row>
    <row r="11" spans="1:22" x14ac:dyDescent="0.25">
      <c r="A11" s="17" t="s">
        <v>22</v>
      </c>
      <c r="B11" s="7">
        <v>29</v>
      </c>
      <c r="C11" s="7"/>
      <c r="D11" s="7"/>
      <c r="E11" s="7"/>
      <c r="F11" s="7"/>
      <c r="G11" s="7"/>
      <c r="H11" s="14">
        <f t="shared" si="0"/>
        <v>29</v>
      </c>
      <c r="I11" s="15">
        <v>1</v>
      </c>
      <c r="J11" s="16"/>
      <c r="K11" s="14">
        <v>25</v>
      </c>
      <c r="L11" s="16">
        <v>1</v>
      </c>
      <c r="M11" s="14">
        <f t="shared" si="1"/>
        <v>4</v>
      </c>
      <c r="N11" s="16"/>
      <c r="O11" s="7">
        <v>35</v>
      </c>
      <c r="P11" s="16">
        <v>1</v>
      </c>
      <c r="Q11" s="14">
        <f t="shared" si="6"/>
        <v>-6</v>
      </c>
    </row>
    <row r="12" spans="1:22" x14ac:dyDescent="0.25">
      <c r="A12" s="17" t="s">
        <v>23</v>
      </c>
      <c r="B12" s="7">
        <v>29</v>
      </c>
      <c r="C12" s="7"/>
      <c r="D12" s="7"/>
      <c r="E12" s="7"/>
      <c r="F12" s="7"/>
      <c r="G12" s="7"/>
      <c r="H12" s="14">
        <f t="shared" si="0"/>
        <v>29</v>
      </c>
      <c r="I12" s="15">
        <v>1</v>
      </c>
      <c r="J12" s="16"/>
      <c r="K12" s="14">
        <v>25</v>
      </c>
      <c r="L12" s="16">
        <v>1</v>
      </c>
      <c r="M12" s="14">
        <f t="shared" si="1"/>
        <v>4</v>
      </c>
      <c r="N12" s="16"/>
      <c r="O12" s="7">
        <v>35</v>
      </c>
      <c r="P12" s="16">
        <v>1</v>
      </c>
      <c r="Q12" s="14">
        <f t="shared" si="6"/>
        <v>-6</v>
      </c>
    </row>
    <row r="13" spans="1:22" x14ac:dyDescent="0.25">
      <c r="A13" s="17" t="s">
        <v>24</v>
      </c>
      <c r="B13" s="7">
        <v>18</v>
      </c>
      <c r="C13" s="7"/>
      <c r="D13" s="7"/>
      <c r="E13" s="7"/>
      <c r="F13" s="7"/>
      <c r="G13" s="7"/>
      <c r="H13" s="14">
        <f t="shared" si="0"/>
        <v>18</v>
      </c>
      <c r="I13" s="15">
        <v>1</v>
      </c>
      <c r="K13" s="14">
        <v>25</v>
      </c>
      <c r="L13" s="16">
        <v>1</v>
      </c>
      <c r="M13" s="14">
        <f t="shared" si="1"/>
        <v>-7</v>
      </c>
      <c r="O13" s="7">
        <v>30</v>
      </c>
      <c r="P13" s="16">
        <v>1</v>
      </c>
      <c r="Q13" s="14">
        <f t="shared" si="6"/>
        <v>-12</v>
      </c>
    </row>
    <row r="14" spans="1:22" x14ac:dyDescent="0.25">
      <c r="A14" s="17" t="s">
        <v>25</v>
      </c>
      <c r="B14" s="7">
        <v>0</v>
      </c>
      <c r="C14" s="7"/>
      <c r="D14" s="7"/>
      <c r="E14" s="7"/>
      <c r="F14" s="7"/>
      <c r="G14" s="7"/>
      <c r="H14" s="14">
        <f t="shared" si="0"/>
        <v>0</v>
      </c>
      <c r="I14" s="15">
        <v>0</v>
      </c>
      <c r="K14" s="14">
        <v>15</v>
      </c>
      <c r="L14" s="16">
        <v>1</v>
      </c>
      <c r="M14" s="14">
        <f t="shared" si="1"/>
        <v>-15</v>
      </c>
      <c r="O14" s="7">
        <v>0</v>
      </c>
      <c r="P14" s="16">
        <v>1</v>
      </c>
      <c r="Q14" s="14">
        <f t="shared" si="6"/>
        <v>0</v>
      </c>
    </row>
    <row r="15" spans="1:22" x14ac:dyDescent="0.25">
      <c r="A15" s="17" t="s">
        <v>26</v>
      </c>
      <c r="B15" s="7">
        <v>0</v>
      </c>
      <c r="C15" s="7"/>
      <c r="D15" s="7"/>
      <c r="E15" s="7"/>
      <c r="F15" s="7"/>
      <c r="G15" s="7"/>
      <c r="H15" s="14">
        <f t="shared" si="0"/>
        <v>0</v>
      </c>
      <c r="I15" s="15">
        <v>0</v>
      </c>
      <c r="K15" s="14">
        <v>15</v>
      </c>
      <c r="L15" s="16">
        <v>1</v>
      </c>
      <c r="M15" s="14">
        <f t="shared" si="1"/>
        <v>-15</v>
      </c>
      <c r="O15" s="7">
        <v>0</v>
      </c>
      <c r="P15" s="16">
        <v>1</v>
      </c>
      <c r="Q15" s="14">
        <f t="shared" si="6"/>
        <v>0</v>
      </c>
    </row>
    <row r="16" spans="1:22" x14ac:dyDescent="0.25">
      <c r="A16" s="17" t="s">
        <v>27</v>
      </c>
      <c r="B16" s="7">
        <v>0</v>
      </c>
      <c r="C16" s="7"/>
      <c r="D16" s="7"/>
      <c r="E16" s="7"/>
      <c r="F16" s="7"/>
      <c r="G16" s="7"/>
      <c r="H16" s="14">
        <f t="shared" si="0"/>
        <v>0</v>
      </c>
      <c r="I16" s="19"/>
      <c r="K16" s="14">
        <v>0</v>
      </c>
      <c r="M16" s="14">
        <f t="shared" si="1"/>
        <v>0</v>
      </c>
      <c r="O16" s="7">
        <v>0</v>
      </c>
      <c r="Q16" s="14">
        <f t="shared" si="6"/>
        <v>0</v>
      </c>
    </row>
    <row r="17" spans="1:19" x14ac:dyDescent="0.25">
      <c r="A17" s="20" t="s">
        <v>14</v>
      </c>
      <c r="B17" s="12">
        <f t="shared" ref="B17:G17" si="7">SUM(B4:B16)</f>
        <v>111</v>
      </c>
      <c r="C17" s="12">
        <f t="shared" si="7"/>
        <v>0</v>
      </c>
      <c r="D17" s="12">
        <f t="shared" si="7"/>
        <v>0</v>
      </c>
      <c r="E17" s="12"/>
      <c r="F17" s="12">
        <f t="shared" si="7"/>
        <v>0</v>
      </c>
      <c r="G17" s="12">
        <f t="shared" si="7"/>
        <v>0</v>
      </c>
      <c r="H17" s="12">
        <f>SUM(H4:H16)</f>
        <v>111</v>
      </c>
      <c r="I17" s="15">
        <f>SUM(I4:I16)</f>
        <v>4</v>
      </c>
      <c r="J17" s="21"/>
      <c r="K17" s="12">
        <v>135</v>
      </c>
      <c r="L17" s="21"/>
      <c r="M17" s="12">
        <f>H17-K17</f>
        <v>-24</v>
      </c>
      <c r="N17" s="21"/>
      <c r="O17" s="12">
        <f>SUM(O4:O16)</f>
        <v>135</v>
      </c>
      <c r="P17" s="21"/>
      <c r="Q17" s="12">
        <f>SUM(Q4:Q16)</f>
        <v>-24</v>
      </c>
    </row>
    <row r="18" spans="1:19" x14ac:dyDescent="0.25">
      <c r="A18" s="17"/>
      <c r="B18" s="7"/>
      <c r="C18" s="22"/>
      <c r="D18" s="22"/>
      <c r="E18" s="22"/>
      <c r="F18" s="22"/>
      <c r="G18" s="22"/>
      <c r="H18" s="22"/>
      <c r="I18" s="10"/>
      <c r="J18" s="10"/>
      <c r="K18" s="22"/>
      <c r="L18" s="10"/>
      <c r="M18" s="22">
        <f t="shared" si="1"/>
        <v>0</v>
      </c>
      <c r="N18" s="10"/>
      <c r="O18" s="22"/>
      <c r="P18" s="10"/>
      <c r="Q18" s="22">
        <f t="shared" si="3"/>
        <v>0</v>
      </c>
    </row>
    <row r="19" spans="1:19" x14ac:dyDescent="0.25">
      <c r="A19" s="23" t="s">
        <v>28</v>
      </c>
      <c r="B19" s="24" t="str">
        <f>B1</f>
        <v>Operating</v>
      </c>
      <c r="C19" s="24" t="str">
        <f>C1</f>
        <v>SPED</v>
      </c>
      <c r="D19" s="24" t="str">
        <f>D1</f>
        <v>NSLP</v>
      </c>
      <c r="E19" s="24" t="str">
        <f>E1</f>
        <v>Other</v>
      </c>
      <c r="F19" s="24" t="str">
        <f t="shared" ref="F19:G19" si="8">F1</f>
        <v>Title I</v>
      </c>
      <c r="G19" s="24" t="str">
        <f t="shared" si="8"/>
        <v>Title II/III/IV</v>
      </c>
      <c r="H19" s="24" t="str">
        <f>H1</f>
        <v>Total (24-25)</v>
      </c>
      <c r="I19" s="25"/>
      <c r="J19" s="25"/>
      <c r="K19" s="24" t="s">
        <v>7</v>
      </c>
      <c r="L19" s="25"/>
      <c r="M19" s="24" t="str">
        <f>M1</f>
        <v>Variance</v>
      </c>
      <c r="N19" s="25"/>
      <c r="O19" s="24" t="s">
        <v>7</v>
      </c>
      <c r="P19" s="25"/>
      <c r="Q19" s="24" t="str">
        <f>Q1</f>
        <v>Variance</v>
      </c>
      <c r="R19" s="25"/>
    </row>
    <row r="20" spans="1:19" x14ac:dyDescent="0.25">
      <c r="A20" s="17" t="s">
        <v>29</v>
      </c>
      <c r="B20" s="7"/>
      <c r="C20" s="7">
        <v>17</v>
      </c>
      <c r="D20" s="7"/>
      <c r="E20" s="7"/>
      <c r="F20" s="7"/>
      <c r="G20" s="7"/>
      <c r="H20" s="7">
        <f>SUM(B20:G20)</f>
        <v>17</v>
      </c>
      <c r="I20" s="26" t="s">
        <v>30</v>
      </c>
      <c r="J20" s="27"/>
      <c r="K20" s="7">
        <v>17</v>
      </c>
      <c r="L20" s="27"/>
      <c r="M20" s="7">
        <f t="shared" si="1"/>
        <v>0</v>
      </c>
      <c r="N20" s="27"/>
      <c r="O20" s="7">
        <v>17</v>
      </c>
      <c r="P20" s="27"/>
      <c r="Q20" s="7">
        <f>H20-O20</f>
        <v>0</v>
      </c>
      <c r="R20" s="28"/>
    </row>
    <row r="21" spans="1:19" x14ac:dyDescent="0.25">
      <c r="A21" s="17" t="s">
        <v>31</v>
      </c>
      <c r="B21" s="7">
        <v>23</v>
      </c>
      <c r="C21" s="7"/>
      <c r="D21" s="7"/>
      <c r="E21" s="7"/>
      <c r="F21" s="7"/>
      <c r="G21" s="7"/>
      <c r="H21" s="7">
        <f>SUM(B21:G21)</f>
        <v>23</v>
      </c>
      <c r="I21" s="26"/>
      <c r="J21" s="27"/>
      <c r="K21" s="7">
        <v>23</v>
      </c>
      <c r="L21" s="27"/>
      <c r="M21" s="7">
        <f t="shared" si="1"/>
        <v>0</v>
      </c>
      <c r="N21" s="27"/>
      <c r="O21" s="7">
        <v>23</v>
      </c>
      <c r="P21" s="27"/>
      <c r="Q21" s="7">
        <f t="shared" ref="Q21:Q24" si="9">H21-O21</f>
        <v>0</v>
      </c>
      <c r="R21" s="28"/>
    </row>
    <row r="22" spans="1:19" x14ac:dyDescent="0.25">
      <c r="A22" s="17" t="s">
        <v>32</v>
      </c>
      <c r="B22" s="14">
        <v>0</v>
      </c>
      <c r="C22" s="14"/>
      <c r="D22" s="14"/>
      <c r="E22" s="14"/>
      <c r="F22" s="14"/>
      <c r="G22" s="14"/>
      <c r="H22" s="7">
        <f>SUM(B22:G22)</f>
        <v>0</v>
      </c>
      <c r="I22" s="19"/>
      <c r="K22" s="7">
        <v>0</v>
      </c>
      <c r="M22" s="7">
        <f t="shared" si="1"/>
        <v>0</v>
      </c>
      <c r="O22" s="7">
        <v>0</v>
      </c>
      <c r="Q22" s="7">
        <f t="shared" si="9"/>
        <v>0</v>
      </c>
    </row>
    <row r="23" spans="1:19" x14ac:dyDescent="0.25">
      <c r="A23" s="17" t="s">
        <v>33</v>
      </c>
      <c r="B23" s="7">
        <v>101</v>
      </c>
      <c r="C23" s="29"/>
      <c r="D23" s="29">
        <v>1</v>
      </c>
      <c r="E23" s="29"/>
      <c r="F23" s="29"/>
      <c r="G23" s="29"/>
      <c r="H23" s="29">
        <f>D23</f>
        <v>1</v>
      </c>
      <c r="I23" s="30"/>
      <c r="J23" s="31"/>
      <c r="K23" s="29">
        <v>1</v>
      </c>
      <c r="L23" s="31"/>
      <c r="M23" s="29">
        <f t="shared" si="1"/>
        <v>0</v>
      </c>
      <c r="N23" s="31"/>
      <c r="O23" s="29">
        <v>1</v>
      </c>
      <c r="P23" s="31"/>
      <c r="Q23" s="7">
        <f t="shared" si="9"/>
        <v>0</v>
      </c>
    </row>
    <row r="24" spans="1:19" x14ac:dyDescent="0.25">
      <c r="A24" s="17" t="s">
        <v>34</v>
      </c>
      <c r="B24" s="7">
        <v>38</v>
      </c>
      <c r="C24" s="7"/>
      <c r="D24" s="7"/>
      <c r="E24" s="7"/>
      <c r="F24" s="7"/>
      <c r="G24" s="7"/>
      <c r="H24" s="7">
        <f>SUM(B24:G24)</f>
        <v>38</v>
      </c>
      <c r="I24" s="30"/>
      <c r="J24" s="31"/>
      <c r="K24" s="7">
        <v>38</v>
      </c>
      <c r="L24" s="31"/>
      <c r="M24" s="7">
        <f t="shared" si="1"/>
        <v>0</v>
      </c>
      <c r="N24" s="31"/>
      <c r="O24" s="7">
        <v>38</v>
      </c>
      <c r="P24" s="31"/>
      <c r="Q24" s="7">
        <f t="shared" si="9"/>
        <v>0</v>
      </c>
    </row>
    <row r="25" spans="1:19" x14ac:dyDescent="0.25">
      <c r="A25" s="17"/>
      <c r="B25" s="7"/>
      <c r="C25" s="7"/>
      <c r="D25" s="7"/>
      <c r="E25" s="7"/>
      <c r="F25" s="7"/>
      <c r="G25" s="7"/>
      <c r="H25" s="7"/>
      <c r="I25" s="25"/>
      <c r="J25" s="10"/>
      <c r="K25" s="7"/>
      <c r="L25" s="10"/>
      <c r="M25" s="7">
        <f t="shared" si="1"/>
        <v>0</v>
      </c>
      <c r="N25" s="10"/>
      <c r="O25" s="7"/>
      <c r="P25" s="10"/>
      <c r="Q25" s="7">
        <f t="shared" ref="Q25" si="10">L25-O25</f>
        <v>0</v>
      </c>
    </row>
    <row r="26" spans="1:19" x14ac:dyDescent="0.25">
      <c r="A26" s="32" t="s">
        <v>35</v>
      </c>
      <c r="B26" s="24" t="str">
        <f>B1</f>
        <v>Operating</v>
      </c>
      <c r="C26" s="24" t="str">
        <f>C1</f>
        <v>SPED</v>
      </c>
      <c r="D26" s="24" t="str">
        <f>D1</f>
        <v>NSLP</v>
      </c>
      <c r="E26" s="24" t="str">
        <f>E1</f>
        <v>Other</v>
      </c>
      <c r="F26" s="24" t="str">
        <f t="shared" ref="F26:G26" si="11">F1</f>
        <v>Title I</v>
      </c>
      <c r="G26" s="24" t="str">
        <f t="shared" si="11"/>
        <v>Title II/III/IV</v>
      </c>
      <c r="H26" s="24" t="str">
        <f>H1</f>
        <v>Total (24-25)</v>
      </c>
      <c r="I26" s="25"/>
      <c r="J26" s="25"/>
      <c r="K26" s="24" t="s">
        <v>7</v>
      </c>
      <c r="L26" s="25"/>
      <c r="M26" s="24" t="str">
        <f>M1</f>
        <v>Variance</v>
      </c>
      <c r="N26" s="25"/>
      <c r="O26" s="24" t="s">
        <v>7</v>
      </c>
      <c r="P26" s="25"/>
      <c r="Q26" s="24" t="str">
        <f>Q1</f>
        <v>Variance</v>
      </c>
      <c r="R26" s="4"/>
      <c r="S26" s="4"/>
    </row>
    <row r="27" spans="1:19" x14ac:dyDescent="0.25">
      <c r="A27" s="33" t="s">
        <v>36</v>
      </c>
      <c r="B27" s="34">
        <v>4</v>
      </c>
      <c r="C27" s="34"/>
      <c r="D27" s="34"/>
      <c r="E27" s="34"/>
      <c r="F27" s="34"/>
      <c r="G27" s="34"/>
      <c r="H27" s="34">
        <f t="shared" ref="H27:H35" si="12">SUM(B27:G27)</f>
        <v>4</v>
      </c>
      <c r="I27" s="15">
        <f>H27/6</f>
        <v>0.66666666666666663</v>
      </c>
      <c r="J27" s="16"/>
      <c r="K27" s="34">
        <v>6</v>
      </c>
      <c r="L27" s="16"/>
      <c r="M27" s="34">
        <f t="shared" si="1"/>
        <v>-2</v>
      </c>
      <c r="N27" s="16"/>
      <c r="O27" s="34">
        <v>6</v>
      </c>
      <c r="P27" s="16"/>
      <c r="Q27" s="34">
        <f>H27-O27</f>
        <v>-2</v>
      </c>
      <c r="S27" s="35"/>
    </row>
    <row r="28" spans="1:19" x14ac:dyDescent="0.25">
      <c r="A28" s="33" t="s">
        <v>37</v>
      </c>
      <c r="B28" s="36">
        <v>0</v>
      </c>
      <c r="C28" s="36">
        <v>1</v>
      </c>
      <c r="D28" s="36"/>
      <c r="E28" s="36"/>
      <c r="F28" s="36"/>
      <c r="G28" s="36"/>
      <c r="H28" s="34">
        <f t="shared" si="12"/>
        <v>1</v>
      </c>
      <c r="I28" s="15">
        <f>H20/21</f>
        <v>0.80952380952380953</v>
      </c>
      <c r="J28" s="16"/>
      <c r="K28" s="34">
        <v>1</v>
      </c>
      <c r="L28" s="16"/>
      <c r="M28" s="34">
        <f t="shared" si="1"/>
        <v>0</v>
      </c>
      <c r="N28" s="16"/>
      <c r="O28" s="34">
        <v>1</v>
      </c>
      <c r="P28" s="16"/>
      <c r="Q28" s="34">
        <f t="shared" ref="Q28:Q35" si="13">H28-O28</f>
        <v>0</v>
      </c>
      <c r="S28" s="35"/>
    </row>
    <row r="29" spans="1:19" x14ac:dyDescent="0.25">
      <c r="A29" s="33" t="s">
        <v>38</v>
      </c>
      <c r="B29" s="34">
        <v>0</v>
      </c>
      <c r="C29" s="34"/>
      <c r="D29" s="34"/>
      <c r="E29" s="34"/>
      <c r="F29" s="34"/>
      <c r="G29" s="34"/>
      <c r="H29" s="34">
        <f t="shared" si="12"/>
        <v>0</v>
      </c>
      <c r="I29" s="19"/>
      <c r="K29" s="34">
        <v>0</v>
      </c>
      <c r="M29" s="34">
        <f t="shared" si="1"/>
        <v>0</v>
      </c>
      <c r="O29" s="34">
        <v>0</v>
      </c>
      <c r="Q29" s="34">
        <f t="shared" si="13"/>
        <v>0</v>
      </c>
      <c r="S29" s="35"/>
    </row>
    <row r="30" spans="1:19" x14ac:dyDescent="0.25">
      <c r="A30" s="33" t="s">
        <v>39</v>
      </c>
      <c r="B30" s="34">
        <v>0</v>
      </c>
      <c r="C30" s="34"/>
      <c r="D30" s="34"/>
      <c r="E30" s="34"/>
      <c r="F30" s="34"/>
      <c r="G30" s="34"/>
      <c r="H30" s="34">
        <f t="shared" si="12"/>
        <v>0</v>
      </c>
      <c r="I30" s="19"/>
      <c r="K30" s="34">
        <v>0</v>
      </c>
      <c r="M30" s="34">
        <f t="shared" si="1"/>
        <v>0</v>
      </c>
      <c r="O30" s="34">
        <v>0</v>
      </c>
      <c r="Q30" s="34">
        <f t="shared" si="13"/>
        <v>0</v>
      </c>
      <c r="S30" s="35"/>
    </row>
    <row r="31" spans="1:19" x14ac:dyDescent="0.25">
      <c r="A31" s="33" t="s">
        <v>40</v>
      </c>
      <c r="B31" s="34">
        <v>0</v>
      </c>
      <c r="C31" s="34"/>
      <c r="D31" s="34"/>
      <c r="E31" s="34"/>
      <c r="F31" s="34"/>
      <c r="G31" s="34"/>
      <c r="H31" s="34">
        <f t="shared" si="12"/>
        <v>0</v>
      </c>
      <c r="I31" s="19"/>
      <c r="K31" s="34">
        <v>0</v>
      </c>
      <c r="M31" s="34">
        <f t="shared" si="1"/>
        <v>0</v>
      </c>
      <c r="O31" s="34">
        <v>0</v>
      </c>
      <c r="Q31" s="34">
        <f t="shared" si="13"/>
        <v>0</v>
      </c>
      <c r="S31" s="37"/>
    </row>
    <row r="32" spans="1:19" x14ac:dyDescent="0.25">
      <c r="A32" s="38" t="s">
        <v>41</v>
      </c>
      <c r="B32" s="34">
        <v>0</v>
      </c>
      <c r="C32" s="34"/>
      <c r="D32" s="34"/>
      <c r="E32" s="34"/>
      <c r="F32" s="34"/>
      <c r="G32" s="34"/>
      <c r="H32" s="34">
        <f t="shared" si="12"/>
        <v>0</v>
      </c>
      <c r="I32" s="19"/>
      <c r="K32" s="34">
        <v>0</v>
      </c>
      <c r="M32" s="34">
        <f t="shared" si="1"/>
        <v>0</v>
      </c>
      <c r="O32" s="34">
        <v>0</v>
      </c>
      <c r="Q32" s="34">
        <f t="shared" si="13"/>
        <v>0</v>
      </c>
      <c r="S32" s="37"/>
    </row>
    <row r="33" spans="1:19" x14ac:dyDescent="0.25">
      <c r="A33" s="38" t="s">
        <v>42</v>
      </c>
      <c r="B33" s="34">
        <v>0</v>
      </c>
      <c r="C33" s="34"/>
      <c r="D33" s="34"/>
      <c r="E33" s="34"/>
      <c r="F33" s="34"/>
      <c r="G33" s="34"/>
      <c r="H33" s="34">
        <f t="shared" si="12"/>
        <v>0</v>
      </c>
      <c r="I33" s="19"/>
      <c r="K33" s="34">
        <v>0</v>
      </c>
      <c r="M33" s="34">
        <f t="shared" si="1"/>
        <v>0</v>
      </c>
      <c r="O33" s="34">
        <v>0</v>
      </c>
      <c r="Q33" s="34">
        <f t="shared" si="13"/>
        <v>0</v>
      </c>
      <c r="S33" s="37"/>
    </row>
    <row r="34" spans="1:19" x14ac:dyDescent="0.25">
      <c r="A34" s="38" t="s">
        <v>43</v>
      </c>
      <c r="B34" s="34">
        <v>4</v>
      </c>
      <c r="C34" s="34"/>
      <c r="D34" s="34"/>
      <c r="E34" s="34"/>
      <c r="F34" s="34"/>
      <c r="G34" s="34"/>
      <c r="H34" s="34">
        <f t="shared" si="12"/>
        <v>4</v>
      </c>
      <c r="I34" s="19"/>
      <c r="K34" s="34">
        <v>1</v>
      </c>
      <c r="M34" s="34">
        <f t="shared" si="1"/>
        <v>3</v>
      </c>
      <c r="O34" s="34">
        <v>1</v>
      </c>
      <c r="Q34" s="34">
        <f t="shared" si="13"/>
        <v>3</v>
      </c>
    </row>
    <row r="35" spans="1:19" x14ac:dyDescent="0.25">
      <c r="A35" s="39" t="s">
        <v>44</v>
      </c>
      <c r="B35" s="34">
        <v>0</v>
      </c>
      <c r="C35" s="34"/>
      <c r="D35" s="34"/>
      <c r="E35" s="34"/>
      <c r="F35" s="34"/>
      <c r="G35" s="34"/>
      <c r="H35" s="34">
        <f t="shared" si="12"/>
        <v>0</v>
      </c>
      <c r="I35" s="19"/>
      <c r="K35" s="34">
        <v>0</v>
      </c>
      <c r="M35" s="34">
        <f t="shared" si="1"/>
        <v>0</v>
      </c>
      <c r="O35" s="34">
        <v>0</v>
      </c>
      <c r="Q35" s="34">
        <f t="shared" si="13"/>
        <v>0</v>
      </c>
    </row>
    <row r="36" spans="1:19" x14ac:dyDescent="0.25">
      <c r="A36" s="32" t="s">
        <v>45</v>
      </c>
      <c r="B36" s="40">
        <f>SUM(B27:B35)</f>
        <v>8</v>
      </c>
      <c r="C36" s="40">
        <f t="shared" ref="C36:G36" si="14">SUM(C27:C35)</f>
        <v>1</v>
      </c>
      <c r="D36" s="40">
        <f t="shared" si="14"/>
        <v>0</v>
      </c>
      <c r="E36" s="40">
        <f t="shared" si="14"/>
        <v>0</v>
      </c>
      <c r="F36" s="40">
        <f t="shared" si="14"/>
        <v>0</v>
      </c>
      <c r="G36" s="40">
        <f t="shared" si="14"/>
        <v>0</v>
      </c>
      <c r="H36" s="40">
        <f>SUM(H27:H35)</f>
        <v>9</v>
      </c>
      <c r="I36" s="10"/>
      <c r="J36" s="10"/>
      <c r="K36" s="40">
        <f>SUM(K27:K35)</f>
        <v>8</v>
      </c>
      <c r="L36" s="10"/>
      <c r="M36" s="40">
        <f>SUM(M27:M35)</f>
        <v>1</v>
      </c>
      <c r="N36" s="10"/>
      <c r="O36" s="40">
        <f>SUM(O27:O35)</f>
        <v>8</v>
      </c>
      <c r="P36" s="10"/>
      <c r="Q36" s="40">
        <f>SUM(Q27:Q35)</f>
        <v>1</v>
      </c>
    </row>
    <row r="37" spans="1:19" x14ac:dyDescent="0.25">
      <c r="A37" s="41"/>
      <c r="B37" s="7"/>
      <c r="C37" s="7"/>
      <c r="D37" s="7"/>
      <c r="E37" s="7"/>
      <c r="F37" s="7"/>
      <c r="G37" s="7"/>
      <c r="H37" s="7"/>
      <c r="I37" s="10"/>
      <c r="J37" s="10"/>
      <c r="K37" s="7"/>
      <c r="L37" s="10"/>
      <c r="M37" s="7">
        <f t="shared" si="1"/>
        <v>0</v>
      </c>
      <c r="N37" s="10"/>
      <c r="O37" s="7"/>
      <c r="P37" s="10"/>
      <c r="Q37" s="7">
        <f t="shared" ref="Q37" si="15">L37-O37</f>
        <v>0</v>
      </c>
    </row>
    <row r="38" spans="1:19" x14ac:dyDescent="0.25">
      <c r="A38" s="32" t="s">
        <v>46</v>
      </c>
      <c r="B38" s="24" t="str">
        <f>B1</f>
        <v>Operating</v>
      </c>
      <c r="C38" s="24" t="str">
        <f>C1</f>
        <v>SPED</v>
      </c>
      <c r="D38" s="24" t="str">
        <f>D1</f>
        <v>NSLP</v>
      </c>
      <c r="E38" s="24" t="str">
        <f>E1</f>
        <v>Other</v>
      </c>
      <c r="F38" s="24" t="str">
        <f t="shared" ref="F38:G38" si="16">F1</f>
        <v>Title I</v>
      </c>
      <c r="G38" s="24" t="str">
        <f t="shared" si="16"/>
        <v>Title II/III/IV</v>
      </c>
      <c r="H38" s="24" t="str">
        <f>H1</f>
        <v>Total (24-25)</v>
      </c>
      <c r="I38" s="25"/>
      <c r="J38" s="25"/>
      <c r="K38" s="24" t="s">
        <v>7</v>
      </c>
      <c r="L38" s="25"/>
      <c r="M38" s="24" t="str">
        <f>M1</f>
        <v>Variance</v>
      </c>
      <c r="N38" s="25"/>
      <c r="O38" s="24" t="s">
        <v>7</v>
      </c>
      <c r="P38" s="25"/>
      <c r="Q38" s="24" t="str">
        <f>Q1</f>
        <v>Variance</v>
      </c>
      <c r="R38" s="4"/>
      <c r="S38" s="4"/>
    </row>
    <row r="39" spans="1:19" x14ac:dyDescent="0.25">
      <c r="A39" s="33" t="s">
        <v>47</v>
      </c>
      <c r="B39" s="36">
        <v>1</v>
      </c>
      <c r="C39" s="36"/>
      <c r="D39" s="36"/>
      <c r="E39" s="36"/>
      <c r="F39" s="36"/>
      <c r="G39" s="36"/>
      <c r="H39" s="34">
        <f t="shared" ref="H39:H60" si="17">SUM(B39:G39)</f>
        <v>1</v>
      </c>
      <c r="I39" s="19"/>
      <c r="K39" s="34">
        <v>0</v>
      </c>
      <c r="M39" s="34">
        <f t="shared" si="1"/>
        <v>1</v>
      </c>
      <c r="O39" s="34">
        <v>1</v>
      </c>
      <c r="Q39" s="34">
        <f>H39-O39</f>
        <v>0</v>
      </c>
    </row>
    <row r="40" spans="1:19" x14ac:dyDescent="0.25">
      <c r="A40" s="33" t="s">
        <v>48</v>
      </c>
      <c r="B40" s="36">
        <v>1</v>
      </c>
      <c r="C40" s="36"/>
      <c r="D40" s="36"/>
      <c r="E40" s="36"/>
      <c r="F40" s="36"/>
      <c r="G40" s="36"/>
      <c r="H40" s="34">
        <f t="shared" si="17"/>
        <v>1</v>
      </c>
      <c r="I40" s="19"/>
      <c r="K40" s="34">
        <v>1</v>
      </c>
      <c r="M40" s="34">
        <f t="shared" si="1"/>
        <v>0</v>
      </c>
      <c r="O40" s="34">
        <v>1</v>
      </c>
      <c r="Q40" s="34">
        <f t="shared" ref="Q40:Q60" si="18">H40-O40</f>
        <v>0</v>
      </c>
    </row>
    <row r="41" spans="1:19" x14ac:dyDescent="0.25">
      <c r="A41" s="39" t="s">
        <v>49</v>
      </c>
      <c r="B41" s="36">
        <v>0</v>
      </c>
      <c r="C41" s="36"/>
      <c r="D41" s="36"/>
      <c r="E41" s="36">
        <v>0</v>
      </c>
      <c r="F41" s="36">
        <v>1</v>
      </c>
      <c r="G41" s="36"/>
      <c r="H41" s="34">
        <f t="shared" si="17"/>
        <v>1</v>
      </c>
      <c r="I41" s="19"/>
      <c r="K41" s="34">
        <v>0</v>
      </c>
      <c r="M41" s="34">
        <f t="shared" si="1"/>
        <v>1</v>
      </c>
      <c r="O41" s="34">
        <v>0</v>
      </c>
      <c r="Q41" s="34">
        <f t="shared" si="18"/>
        <v>1</v>
      </c>
    </row>
    <row r="42" spans="1:19" x14ac:dyDescent="0.25">
      <c r="A42" s="42" t="s">
        <v>50</v>
      </c>
      <c r="B42" s="36">
        <v>0</v>
      </c>
      <c r="C42" s="36"/>
      <c r="D42" s="36"/>
      <c r="E42" s="36"/>
      <c r="F42" s="36"/>
      <c r="G42" s="36"/>
      <c r="H42" s="34">
        <f t="shared" si="17"/>
        <v>0</v>
      </c>
      <c r="I42" s="19"/>
      <c r="K42" s="34">
        <v>0</v>
      </c>
      <c r="M42" s="34">
        <f t="shared" si="1"/>
        <v>0</v>
      </c>
      <c r="O42" s="34">
        <v>0</v>
      </c>
      <c r="Q42" s="34">
        <f t="shared" si="18"/>
        <v>0</v>
      </c>
    </row>
    <row r="43" spans="1:19" x14ac:dyDescent="0.25">
      <c r="A43" s="42" t="s">
        <v>51</v>
      </c>
      <c r="B43" s="36">
        <v>0</v>
      </c>
      <c r="C43" s="36"/>
      <c r="D43" s="36"/>
      <c r="E43" s="36"/>
      <c r="F43" s="36"/>
      <c r="G43" s="36"/>
      <c r="H43" s="34">
        <f t="shared" si="17"/>
        <v>0</v>
      </c>
      <c r="I43" s="19"/>
      <c r="K43" s="34">
        <v>0</v>
      </c>
      <c r="M43" s="34">
        <f t="shared" si="1"/>
        <v>0</v>
      </c>
      <c r="O43" s="34">
        <v>0</v>
      </c>
      <c r="Q43" s="34">
        <f t="shared" si="18"/>
        <v>0</v>
      </c>
    </row>
    <row r="44" spans="1:19" x14ac:dyDescent="0.25">
      <c r="A44" s="42" t="s">
        <v>52</v>
      </c>
      <c r="B44" s="36">
        <v>1</v>
      </c>
      <c r="C44" s="36"/>
      <c r="D44" s="36"/>
      <c r="E44" s="36">
        <v>0</v>
      </c>
      <c r="F44" s="36"/>
      <c r="G44" s="36"/>
      <c r="H44" s="34">
        <f t="shared" si="17"/>
        <v>1</v>
      </c>
      <c r="I44" s="19"/>
      <c r="K44" s="34">
        <v>1</v>
      </c>
      <c r="M44" s="34">
        <f t="shared" si="1"/>
        <v>0</v>
      </c>
      <c r="O44" s="34">
        <v>0</v>
      </c>
      <c r="Q44" s="34">
        <f t="shared" si="18"/>
        <v>1</v>
      </c>
    </row>
    <row r="45" spans="1:19" x14ac:dyDescent="0.25">
      <c r="A45" s="42" t="s">
        <v>53</v>
      </c>
      <c r="B45" s="36">
        <v>0</v>
      </c>
      <c r="C45" s="36"/>
      <c r="D45" s="36"/>
      <c r="E45" s="36">
        <v>1</v>
      </c>
      <c r="F45" s="36"/>
      <c r="G45" s="36"/>
      <c r="H45" s="34">
        <f t="shared" si="17"/>
        <v>1</v>
      </c>
      <c r="I45" s="19"/>
      <c r="K45" s="34">
        <v>0</v>
      </c>
      <c r="M45" s="34">
        <f t="shared" si="1"/>
        <v>1</v>
      </c>
      <c r="O45" s="34">
        <v>1</v>
      </c>
      <c r="Q45" s="34">
        <f t="shared" si="18"/>
        <v>0</v>
      </c>
    </row>
    <row r="46" spans="1:19" x14ac:dyDescent="0.25">
      <c r="A46" s="33" t="s">
        <v>54</v>
      </c>
      <c r="B46" s="36">
        <v>1</v>
      </c>
      <c r="C46" s="36"/>
      <c r="D46" s="36"/>
      <c r="E46" s="36"/>
      <c r="F46" s="36"/>
      <c r="G46" s="36"/>
      <c r="H46" s="34">
        <f t="shared" si="17"/>
        <v>1</v>
      </c>
      <c r="I46" s="19"/>
      <c r="K46" s="34">
        <v>1</v>
      </c>
      <c r="M46" s="34">
        <f t="shared" si="1"/>
        <v>0</v>
      </c>
      <c r="O46" s="34"/>
      <c r="Q46" s="34">
        <f t="shared" si="18"/>
        <v>1</v>
      </c>
      <c r="R46" s="4"/>
      <c r="S46" s="4"/>
    </row>
    <row r="47" spans="1:19" x14ac:dyDescent="0.25">
      <c r="A47" s="33" t="s">
        <v>55</v>
      </c>
      <c r="B47" s="36">
        <v>0</v>
      </c>
      <c r="C47" s="36"/>
      <c r="D47" s="36"/>
      <c r="E47" s="36"/>
      <c r="F47" s="36"/>
      <c r="G47" s="36"/>
      <c r="H47" s="34">
        <f t="shared" si="17"/>
        <v>0</v>
      </c>
      <c r="I47" s="19"/>
      <c r="K47" s="34">
        <v>1</v>
      </c>
      <c r="M47" s="34">
        <f t="shared" si="1"/>
        <v>-1</v>
      </c>
      <c r="O47" s="34">
        <v>1</v>
      </c>
      <c r="Q47" s="34">
        <f t="shared" si="18"/>
        <v>-1</v>
      </c>
    </row>
    <row r="48" spans="1:19" x14ac:dyDescent="0.25">
      <c r="A48" s="33" t="s">
        <v>56</v>
      </c>
      <c r="B48" s="36">
        <v>0</v>
      </c>
      <c r="C48" s="36"/>
      <c r="D48" s="36"/>
      <c r="E48" s="36"/>
      <c r="F48" s="36"/>
      <c r="G48" s="36"/>
      <c r="H48" s="34">
        <f t="shared" si="17"/>
        <v>0</v>
      </c>
      <c r="I48" s="19"/>
      <c r="K48" s="34">
        <v>0</v>
      </c>
      <c r="M48" s="34">
        <f t="shared" si="1"/>
        <v>0</v>
      </c>
      <c r="O48" s="34">
        <v>1</v>
      </c>
      <c r="Q48" s="34">
        <f t="shared" si="18"/>
        <v>-1</v>
      </c>
      <c r="R48" s="4"/>
      <c r="S48" s="4"/>
    </row>
    <row r="49" spans="1:19" x14ac:dyDescent="0.25">
      <c r="A49" s="33" t="s">
        <v>57</v>
      </c>
      <c r="B49" s="36">
        <v>0</v>
      </c>
      <c r="C49" s="36"/>
      <c r="D49" s="36"/>
      <c r="E49" s="36"/>
      <c r="F49" s="36"/>
      <c r="G49" s="36"/>
      <c r="H49" s="34">
        <f t="shared" si="17"/>
        <v>0</v>
      </c>
      <c r="I49" s="19"/>
      <c r="K49" s="34">
        <v>0</v>
      </c>
      <c r="M49" s="34">
        <f t="shared" si="1"/>
        <v>0</v>
      </c>
      <c r="O49" s="34">
        <v>0</v>
      </c>
      <c r="Q49" s="34">
        <f t="shared" si="18"/>
        <v>0</v>
      </c>
      <c r="S49" s="43"/>
    </row>
    <row r="50" spans="1:19" x14ac:dyDescent="0.25">
      <c r="A50" s="33" t="s">
        <v>58</v>
      </c>
      <c r="B50" s="36">
        <v>1</v>
      </c>
      <c r="C50" s="36"/>
      <c r="D50" s="36"/>
      <c r="E50" s="36"/>
      <c r="F50" s="36">
        <v>0</v>
      </c>
      <c r="G50" s="36"/>
      <c r="H50" s="34">
        <f t="shared" si="17"/>
        <v>1</v>
      </c>
      <c r="I50" s="19"/>
      <c r="K50" s="34">
        <v>1</v>
      </c>
      <c r="M50" s="34">
        <f t="shared" si="1"/>
        <v>0</v>
      </c>
      <c r="O50" s="34">
        <v>0</v>
      </c>
      <c r="Q50" s="34">
        <f t="shared" si="18"/>
        <v>1</v>
      </c>
      <c r="R50" s="4"/>
      <c r="S50" s="4"/>
    </row>
    <row r="51" spans="1:19" x14ac:dyDescent="0.25">
      <c r="A51" s="33" t="s">
        <v>59</v>
      </c>
      <c r="B51" s="36">
        <v>0</v>
      </c>
      <c r="C51" s="36"/>
      <c r="D51" s="36"/>
      <c r="E51" s="36"/>
      <c r="F51" s="36"/>
      <c r="G51" s="36"/>
      <c r="H51" s="34">
        <f t="shared" si="17"/>
        <v>0</v>
      </c>
      <c r="I51" s="19"/>
      <c r="K51" s="34">
        <v>0</v>
      </c>
      <c r="M51" s="34">
        <f t="shared" si="1"/>
        <v>0</v>
      </c>
      <c r="O51" s="34">
        <v>3</v>
      </c>
      <c r="Q51" s="34">
        <f t="shared" si="18"/>
        <v>-3</v>
      </c>
      <c r="S51" s="4"/>
    </row>
    <row r="52" spans="1:19" x14ac:dyDescent="0.25">
      <c r="A52" s="33" t="s">
        <v>60</v>
      </c>
      <c r="B52" s="36"/>
      <c r="C52" s="36"/>
      <c r="D52" s="36">
        <v>1</v>
      </c>
      <c r="E52" s="36"/>
      <c r="F52" s="36"/>
      <c r="G52" s="36"/>
      <c r="H52" s="34">
        <f t="shared" si="17"/>
        <v>1</v>
      </c>
      <c r="I52" s="19"/>
      <c r="K52" s="34">
        <v>1</v>
      </c>
      <c r="M52" s="34">
        <f t="shared" si="1"/>
        <v>0</v>
      </c>
      <c r="O52" s="34">
        <v>0</v>
      </c>
      <c r="Q52" s="34">
        <f t="shared" si="18"/>
        <v>1</v>
      </c>
      <c r="R52" s="4"/>
      <c r="S52" s="4"/>
    </row>
    <row r="53" spans="1:19" x14ac:dyDescent="0.25">
      <c r="A53" s="33" t="s">
        <v>61</v>
      </c>
      <c r="B53" s="36"/>
      <c r="C53" s="36"/>
      <c r="D53" s="36"/>
      <c r="E53" s="36"/>
      <c r="F53" s="36"/>
      <c r="G53" s="36"/>
      <c r="H53" s="34">
        <f t="shared" si="17"/>
        <v>0</v>
      </c>
      <c r="I53" s="8"/>
      <c r="J53" s="9"/>
      <c r="K53" s="34">
        <v>0</v>
      </c>
      <c r="L53" s="9"/>
      <c r="M53" s="34">
        <f t="shared" si="1"/>
        <v>0</v>
      </c>
      <c r="N53" s="9"/>
      <c r="O53" s="34">
        <v>1</v>
      </c>
      <c r="P53" s="9"/>
      <c r="Q53" s="34">
        <f t="shared" si="18"/>
        <v>-1</v>
      </c>
    </row>
    <row r="54" spans="1:19" x14ac:dyDescent="0.25">
      <c r="A54" s="39" t="s">
        <v>62</v>
      </c>
      <c r="B54" s="36"/>
      <c r="C54" s="36"/>
      <c r="D54" s="36"/>
      <c r="E54" s="36"/>
      <c r="F54" s="36"/>
      <c r="G54" s="36"/>
      <c r="H54" s="34">
        <f t="shared" si="17"/>
        <v>0</v>
      </c>
      <c r="I54" s="8"/>
      <c r="J54" s="9"/>
      <c r="K54" s="34">
        <v>0</v>
      </c>
      <c r="L54" s="9"/>
      <c r="M54" s="34">
        <f t="shared" si="1"/>
        <v>0</v>
      </c>
      <c r="N54" s="9"/>
      <c r="O54" s="34">
        <v>0</v>
      </c>
      <c r="P54" s="9"/>
      <c r="Q54" s="34">
        <f t="shared" si="18"/>
        <v>0</v>
      </c>
    </row>
    <row r="55" spans="1:19" x14ac:dyDescent="0.25">
      <c r="A55" s="39" t="s">
        <v>63</v>
      </c>
      <c r="B55" s="36"/>
      <c r="C55" s="36"/>
      <c r="D55" s="36"/>
      <c r="E55" s="36"/>
      <c r="F55" s="36"/>
      <c r="G55" s="36"/>
      <c r="H55" s="34">
        <f t="shared" si="17"/>
        <v>0</v>
      </c>
      <c r="I55" s="8"/>
      <c r="J55" s="9"/>
      <c r="K55" s="34">
        <v>0</v>
      </c>
      <c r="L55" s="9"/>
      <c r="M55" s="34">
        <f t="shared" si="1"/>
        <v>0</v>
      </c>
      <c r="N55" s="9"/>
      <c r="O55" s="34">
        <v>0</v>
      </c>
      <c r="P55" s="9"/>
      <c r="Q55" s="34">
        <f t="shared" si="18"/>
        <v>0</v>
      </c>
    </row>
    <row r="56" spans="1:19" x14ac:dyDescent="0.25">
      <c r="A56" s="39" t="s">
        <v>64</v>
      </c>
      <c r="B56" s="36"/>
      <c r="C56" s="36"/>
      <c r="D56" s="36"/>
      <c r="E56" s="36"/>
      <c r="F56" s="36"/>
      <c r="G56" s="36"/>
      <c r="H56" s="34">
        <f t="shared" si="17"/>
        <v>0</v>
      </c>
      <c r="I56" s="8"/>
      <c r="J56" s="9"/>
      <c r="K56" s="34">
        <v>0</v>
      </c>
      <c r="L56" s="9"/>
      <c r="M56" s="34">
        <f t="shared" si="1"/>
        <v>0</v>
      </c>
      <c r="N56" s="9"/>
      <c r="O56" s="34">
        <v>0</v>
      </c>
      <c r="P56" s="9"/>
      <c r="Q56" s="34">
        <f t="shared" si="18"/>
        <v>0</v>
      </c>
      <c r="R56" s="4"/>
      <c r="S56" s="4"/>
    </row>
    <row r="57" spans="1:19" x14ac:dyDescent="0.25">
      <c r="A57" s="39" t="s">
        <v>65</v>
      </c>
      <c r="B57" s="36"/>
      <c r="C57" s="36"/>
      <c r="D57" s="36"/>
      <c r="E57" s="36"/>
      <c r="F57" s="36"/>
      <c r="G57" s="36"/>
      <c r="H57" s="34">
        <f t="shared" si="17"/>
        <v>0</v>
      </c>
      <c r="I57" s="8"/>
      <c r="J57" s="9"/>
      <c r="K57" s="34">
        <v>0</v>
      </c>
      <c r="L57" s="9"/>
      <c r="M57" s="34">
        <f t="shared" si="1"/>
        <v>0</v>
      </c>
      <c r="N57" s="9"/>
      <c r="O57" s="34">
        <v>0</v>
      </c>
      <c r="P57" s="9"/>
      <c r="Q57" s="34">
        <f t="shared" si="18"/>
        <v>0</v>
      </c>
    </row>
    <row r="58" spans="1:19" x14ac:dyDescent="0.25">
      <c r="A58" s="39" t="s">
        <v>66</v>
      </c>
      <c r="B58" s="36"/>
      <c r="C58" s="36"/>
      <c r="D58" s="36"/>
      <c r="E58" s="36"/>
      <c r="F58" s="36"/>
      <c r="G58" s="36"/>
      <c r="H58" s="34">
        <f t="shared" si="17"/>
        <v>0</v>
      </c>
      <c r="I58" s="8"/>
      <c r="J58" s="9"/>
      <c r="K58" s="34">
        <v>0</v>
      </c>
      <c r="L58" s="9"/>
      <c r="M58" s="34">
        <f t="shared" si="1"/>
        <v>0</v>
      </c>
      <c r="N58" s="9"/>
      <c r="O58" s="34">
        <v>0</v>
      </c>
      <c r="P58" s="9"/>
      <c r="Q58" s="34">
        <f t="shared" si="18"/>
        <v>0</v>
      </c>
    </row>
    <row r="59" spans="1:19" x14ac:dyDescent="0.25">
      <c r="A59" s="39" t="s">
        <v>67</v>
      </c>
      <c r="B59" s="36"/>
      <c r="C59" s="36"/>
      <c r="D59" s="36"/>
      <c r="E59" s="36"/>
      <c r="F59" s="36"/>
      <c r="G59" s="36"/>
      <c r="H59" s="34">
        <f t="shared" si="17"/>
        <v>0</v>
      </c>
      <c r="I59" s="8"/>
      <c r="J59" s="9"/>
      <c r="K59" s="34">
        <v>0</v>
      </c>
      <c r="L59" s="9"/>
      <c r="M59" s="34">
        <f t="shared" si="1"/>
        <v>0</v>
      </c>
      <c r="N59" s="9"/>
      <c r="O59" s="34">
        <v>0</v>
      </c>
      <c r="P59" s="9"/>
      <c r="Q59" s="34">
        <f t="shared" si="18"/>
        <v>0</v>
      </c>
    </row>
    <row r="60" spans="1:19" x14ac:dyDescent="0.25">
      <c r="A60" s="33" t="s">
        <v>68</v>
      </c>
      <c r="B60" s="34"/>
      <c r="C60" s="34"/>
      <c r="D60" s="34"/>
      <c r="E60" s="34"/>
      <c r="F60" s="34"/>
      <c r="G60" s="34"/>
      <c r="H60" s="34">
        <f t="shared" si="17"/>
        <v>0</v>
      </c>
      <c r="I60" s="8"/>
      <c r="J60" s="9"/>
      <c r="K60" s="34">
        <v>0</v>
      </c>
      <c r="L60" s="9"/>
      <c r="M60" s="34">
        <f t="shared" si="1"/>
        <v>0</v>
      </c>
      <c r="N60" s="9"/>
      <c r="O60" s="34">
        <v>0</v>
      </c>
      <c r="P60" s="9"/>
      <c r="Q60" s="34">
        <f t="shared" si="18"/>
        <v>0</v>
      </c>
    </row>
    <row r="61" spans="1:19" x14ac:dyDescent="0.25">
      <c r="A61" s="32" t="s">
        <v>69</v>
      </c>
      <c r="B61" s="44">
        <f>SUM(B39:B60)</f>
        <v>5</v>
      </c>
      <c r="C61" s="44">
        <f>SUM(C39:C60)</f>
        <v>0</v>
      </c>
      <c r="D61" s="44">
        <f>SUM(D39:D60)</f>
        <v>1</v>
      </c>
      <c r="E61" s="44">
        <f>SUM(E39:E60)</f>
        <v>1</v>
      </c>
      <c r="F61" s="44">
        <f t="shared" ref="F61:G61" si="19">SUM(F39:F60)</f>
        <v>1</v>
      </c>
      <c r="G61" s="44">
        <f t="shared" si="19"/>
        <v>0</v>
      </c>
      <c r="H61" s="44">
        <f>SUM(H39:H60)</f>
        <v>8</v>
      </c>
      <c r="I61" s="10"/>
      <c r="J61" s="10"/>
      <c r="K61" s="44">
        <f>SUM(K39:K60)</f>
        <v>6</v>
      </c>
      <c r="L61" s="10"/>
      <c r="M61" s="44">
        <f>SUM(M39:M60)</f>
        <v>2</v>
      </c>
      <c r="N61" s="10"/>
      <c r="O61" s="44">
        <f>SUM(O39:O60)</f>
        <v>9</v>
      </c>
      <c r="P61" s="10"/>
      <c r="Q61" s="44">
        <f>SUM(Q39:Q60)</f>
        <v>-1</v>
      </c>
      <c r="R61" s="4"/>
      <c r="S61" s="4"/>
    </row>
    <row r="62" spans="1:19" ht="15.75" thickBot="1" x14ac:dyDescent="0.3">
      <c r="A62" s="45"/>
      <c r="B62" s="46"/>
      <c r="C62" s="46"/>
      <c r="D62" s="46"/>
      <c r="E62" s="46"/>
      <c r="F62" s="46"/>
      <c r="G62" s="46"/>
      <c r="H62" s="46"/>
      <c r="I62" s="10"/>
      <c r="J62" s="10"/>
      <c r="K62" s="46"/>
      <c r="L62" s="10"/>
      <c r="M62" s="46">
        <f t="shared" si="1"/>
        <v>0</v>
      </c>
      <c r="N62" s="10"/>
      <c r="O62" s="46"/>
      <c r="P62" s="10"/>
      <c r="Q62" s="46">
        <f t="shared" ref="Q62:Q71" si="20">L62-O62</f>
        <v>0</v>
      </c>
    </row>
    <row r="63" spans="1:19" x14ac:dyDescent="0.25">
      <c r="A63" s="47" t="s">
        <v>70</v>
      </c>
      <c r="B63" s="48">
        <f>B36</f>
        <v>8</v>
      </c>
      <c r="C63" s="48">
        <f>C36</f>
        <v>1</v>
      </c>
      <c r="D63" s="48">
        <f>D36</f>
        <v>0</v>
      </c>
      <c r="E63" s="48">
        <f>E36</f>
        <v>0</v>
      </c>
      <c r="F63" s="48">
        <f t="shared" ref="F63:G63" si="21">F36</f>
        <v>0</v>
      </c>
      <c r="G63" s="48">
        <f t="shared" si="21"/>
        <v>0</v>
      </c>
      <c r="H63" s="48">
        <f>H36</f>
        <v>9</v>
      </c>
      <c r="I63" s="10"/>
      <c r="J63" s="10"/>
      <c r="K63" s="48">
        <f>K36</f>
        <v>8</v>
      </c>
      <c r="L63" s="10"/>
      <c r="M63" s="48">
        <f>M36</f>
        <v>1</v>
      </c>
      <c r="N63" s="10"/>
      <c r="O63" s="48">
        <f>O36</f>
        <v>8</v>
      </c>
      <c r="P63" s="10"/>
      <c r="Q63" s="48">
        <f>Q36</f>
        <v>1</v>
      </c>
    </row>
    <row r="64" spans="1:19" x14ac:dyDescent="0.25">
      <c r="A64" s="49" t="s">
        <v>71</v>
      </c>
      <c r="B64" s="50">
        <f>B61</f>
        <v>5</v>
      </c>
      <c r="C64" s="50">
        <f t="shared" ref="C64:H64" si="22">C61</f>
        <v>0</v>
      </c>
      <c r="D64" s="50">
        <f t="shared" si="22"/>
        <v>1</v>
      </c>
      <c r="E64" s="50">
        <f t="shared" si="22"/>
        <v>1</v>
      </c>
      <c r="F64" s="50">
        <f t="shared" si="22"/>
        <v>1</v>
      </c>
      <c r="G64" s="50">
        <f t="shared" si="22"/>
        <v>0</v>
      </c>
      <c r="H64" s="50">
        <f t="shared" si="22"/>
        <v>8</v>
      </c>
      <c r="I64" s="10"/>
      <c r="J64" s="10"/>
      <c r="K64" s="50">
        <f t="shared" ref="K64" si="23">K61</f>
        <v>6</v>
      </c>
      <c r="L64" s="10"/>
      <c r="M64" s="50">
        <f t="shared" ref="M64" si="24">M61</f>
        <v>2</v>
      </c>
      <c r="N64" s="10"/>
      <c r="O64" s="50">
        <f t="shared" ref="O64" si="25">O61</f>
        <v>9</v>
      </c>
      <c r="P64" s="10"/>
      <c r="Q64" s="50">
        <f t="shared" ref="Q64" si="26">Q61</f>
        <v>-1</v>
      </c>
    </row>
    <row r="65" spans="1:18" ht="15.75" thickBot="1" x14ac:dyDescent="0.3">
      <c r="A65" s="51" t="s">
        <v>72</v>
      </c>
      <c r="B65" s="52">
        <f>SUM(B63:B64)</f>
        <v>13</v>
      </c>
      <c r="C65" s="52">
        <f t="shared" ref="C65:H65" si="27">SUM(C63:C64)</f>
        <v>1</v>
      </c>
      <c r="D65" s="52">
        <f t="shared" si="27"/>
        <v>1</v>
      </c>
      <c r="E65" s="52">
        <f t="shared" si="27"/>
        <v>1</v>
      </c>
      <c r="F65" s="52">
        <f t="shared" si="27"/>
        <v>1</v>
      </c>
      <c r="G65" s="52">
        <f t="shared" si="27"/>
        <v>0</v>
      </c>
      <c r="H65" s="52">
        <f t="shared" si="27"/>
        <v>17</v>
      </c>
      <c r="I65" s="10"/>
      <c r="J65" s="10"/>
      <c r="K65" s="52">
        <f>SUM(K63:K64)</f>
        <v>14</v>
      </c>
      <c r="L65" s="10"/>
      <c r="M65" s="52">
        <f>SUM(M63:M64)</f>
        <v>3</v>
      </c>
      <c r="N65" s="10"/>
      <c r="O65" s="52">
        <f>SUM(O63:O64)</f>
        <v>17</v>
      </c>
      <c r="P65" s="10"/>
      <c r="Q65" s="52">
        <f>SUM(Q63:Q64)</f>
        <v>0</v>
      </c>
    </row>
    <row r="66" spans="1:18" x14ac:dyDescent="0.25">
      <c r="A66" s="39"/>
      <c r="B66" s="53"/>
      <c r="C66" s="53"/>
      <c r="D66" s="53"/>
      <c r="E66" s="53"/>
      <c r="F66" s="53"/>
      <c r="G66" s="53"/>
      <c r="H66" s="53"/>
      <c r="I66" s="10"/>
      <c r="J66" s="10"/>
      <c r="K66" s="53"/>
      <c r="L66" s="10"/>
      <c r="M66" s="53">
        <f t="shared" ref="M66:M129" si="28">H66-K66</f>
        <v>0</v>
      </c>
      <c r="N66" s="10"/>
      <c r="O66" s="53"/>
      <c r="P66" s="10"/>
      <c r="Q66" s="53">
        <f t="shared" si="20"/>
        <v>0</v>
      </c>
    </row>
    <row r="67" spans="1:18" x14ac:dyDescent="0.25">
      <c r="A67" s="54" t="s">
        <v>73</v>
      </c>
      <c r="B67" s="55"/>
      <c r="C67" s="55"/>
      <c r="D67" s="55"/>
      <c r="E67" s="55"/>
      <c r="F67" s="55"/>
      <c r="G67" s="55"/>
      <c r="H67" s="56">
        <f>H142/(H211+H213+H214+H215+H216+H217)</f>
        <v>0.65549666194915179</v>
      </c>
      <c r="I67" s="10"/>
      <c r="J67" s="10"/>
      <c r="K67" s="56">
        <f>K142/(K211+K213+K214+K215+K216+K217)</f>
        <v>0.59037227950764015</v>
      </c>
      <c r="L67" s="10"/>
      <c r="M67" s="56"/>
      <c r="N67" s="10"/>
      <c r="O67" s="56">
        <f>O142/(O211+O213+O214+O215+O216+O217)</f>
        <v>0.62324889892719149</v>
      </c>
      <c r="P67" s="10"/>
      <c r="Q67" s="56"/>
    </row>
    <row r="68" spans="1:18" x14ac:dyDescent="0.25">
      <c r="A68" s="54" t="s">
        <v>74</v>
      </c>
      <c r="B68" s="55"/>
      <c r="C68" s="55"/>
      <c r="D68" s="55"/>
      <c r="E68" s="55"/>
      <c r="F68" s="55"/>
      <c r="G68" s="55"/>
      <c r="H68" s="56">
        <f>(H114+H115+H118+H128)/H132</f>
        <v>0.4927187803779311</v>
      </c>
      <c r="I68" s="10"/>
      <c r="J68" s="10"/>
      <c r="K68" s="56">
        <f>(K114+K115+K118+K128)/K132</f>
        <v>0.61859032433411854</v>
      </c>
      <c r="L68" s="10"/>
      <c r="M68" s="56"/>
      <c r="N68" s="10"/>
      <c r="O68" s="56">
        <f>(O114+O115+O118+O128)/O132</f>
        <v>0.41420978324059465</v>
      </c>
      <c r="P68" s="10"/>
      <c r="Q68" s="56"/>
    </row>
    <row r="69" spans="1:18" x14ac:dyDescent="0.25">
      <c r="A69" s="54" t="s">
        <v>75</v>
      </c>
      <c r="B69" s="55"/>
      <c r="C69" s="55"/>
      <c r="D69" s="55"/>
      <c r="E69" s="55"/>
      <c r="F69" s="55"/>
      <c r="G69" s="55"/>
      <c r="H69" s="56">
        <f>(H107+H108+H109+H112+H116+H117+H119+H120++H123+H124+H125+H126+H127+H129+H130)/H132</f>
        <v>0.46522038077625244</v>
      </c>
      <c r="I69" s="10"/>
      <c r="J69" s="10"/>
      <c r="K69" s="56">
        <f>(K107+K108+K109+K112+K116+K117+K119+K120++K123+K124+K125+K126+K127+K129+K130)/K132</f>
        <v>0.38140967566588152</v>
      </c>
      <c r="L69" s="10"/>
      <c r="M69" s="56"/>
      <c r="N69" s="10"/>
      <c r="O69" s="56">
        <f>(O107+O108+O109+O112+O116+O117+O119+O120++O123+O124+O125+O126+O127+O129+O130)/O132</f>
        <v>0.53232704924840124</v>
      </c>
      <c r="P69" s="10"/>
      <c r="Q69" s="56"/>
    </row>
    <row r="70" spans="1:18" x14ac:dyDescent="0.25">
      <c r="A70" s="54" t="s">
        <v>76</v>
      </c>
      <c r="B70" s="55"/>
      <c r="C70" s="55"/>
      <c r="D70" s="55"/>
      <c r="E70" s="55"/>
      <c r="F70" s="55"/>
      <c r="G70" s="55"/>
      <c r="H70" s="56">
        <f>(H213+H214+H215+H216)/(H97)</f>
        <v>2.3996739556510851E-2</v>
      </c>
      <c r="I70" s="10"/>
      <c r="J70" s="10"/>
      <c r="K70" s="56">
        <f>(K213+K214+K215+K216)/(K97)</f>
        <v>3.3983719804502086E-2</v>
      </c>
      <c r="L70" s="10"/>
      <c r="M70" s="56"/>
      <c r="N70" s="10"/>
      <c r="O70" s="56">
        <f>(O213+O214+O215+O216)/(O97)</f>
        <v>2.9069051481888781E-2</v>
      </c>
      <c r="P70" s="10"/>
      <c r="Q70" s="56"/>
    </row>
    <row r="71" spans="1:18" ht="15.75" thickBot="1" x14ac:dyDescent="0.3">
      <c r="B71" s="53"/>
      <c r="C71" s="53"/>
      <c r="D71" s="53"/>
      <c r="E71" s="53"/>
      <c r="F71" s="53"/>
      <c r="G71" s="53"/>
      <c r="H71" s="53"/>
      <c r="I71" s="10"/>
      <c r="J71" s="10"/>
      <c r="K71" s="53"/>
      <c r="L71" s="10"/>
      <c r="M71" s="53">
        <f t="shared" si="28"/>
        <v>0</v>
      </c>
      <c r="N71" s="10"/>
      <c r="O71" s="53"/>
      <c r="P71" s="10"/>
      <c r="Q71" s="53">
        <f t="shared" si="20"/>
        <v>0</v>
      </c>
    </row>
    <row r="72" spans="1:18" ht="15.75" thickBot="1" x14ac:dyDescent="0.3">
      <c r="A72" s="57" t="s">
        <v>77</v>
      </c>
      <c r="B72" s="58" t="str">
        <f>B1</f>
        <v>Operating</v>
      </c>
      <c r="C72" s="58" t="str">
        <f>C1</f>
        <v>SPED</v>
      </c>
      <c r="D72" s="58" t="str">
        <f>D1</f>
        <v>NSLP</v>
      </c>
      <c r="E72" s="58" t="str">
        <f>E1</f>
        <v>Other</v>
      </c>
      <c r="F72" s="58" t="str">
        <f t="shared" ref="F72:G72" si="29">F1</f>
        <v>Title I</v>
      </c>
      <c r="G72" s="58" t="str">
        <f t="shared" si="29"/>
        <v>Title II/III/IV</v>
      </c>
      <c r="H72" s="58" t="str">
        <f>H1</f>
        <v>Total (24-25)</v>
      </c>
      <c r="I72" s="10"/>
      <c r="J72" s="10"/>
      <c r="K72" s="58" t="s">
        <v>7</v>
      </c>
      <c r="L72" s="10"/>
      <c r="M72" s="58" t="str">
        <f>M1</f>
        <v>Variance</v>
      </c>
      <c r="N72" s="10"/>
      <c r="O72" s="58" t="s">
        <v>7</v>
      </c>
      <c r="P72" s="10"/>
      <c r="Q72" s="58" t="str">
        <f>Q1</f>
        <v>Variance</v>
      </c>
    </row>
    <row r="73" spans="1:18" x14ac:dyDescent="0.25">
      <c r="A73" s="59" t="s">
        <v>78</v>
      </c>
      <c r="B73" s="60"/>
      <c r="C73" s="60"/>
      <c r="D73" s="60"/>
      <c r="E73" s="60"/>
      <c r="F73" s="60"/>
      <c r="G73" s="60"/>
      <c r="H73" s="61"/>
      <c r="I73" s="10"/>
      <c r="J73" s="10"/>
      <c r="K73" s="61"/>
      <c r="L73" s="10"/>
      <c r="M73" s="61">
        <f t="shared" si="28"/>
        <v>0</v>
      </c>
      <c r="N73" s="10"/>
      <c r="O73" s="61"/>
      <c r="P73" s="10"/>
      <c r="Q73" s="61">
        <f t="shared" ref="Q73:Q104" si="30">L73-O73</f>
        <v>0</v>
      </c>
    </row>
    <row r="74" spans="1:18" x14ac:dyDescent="0.25">
      <c r="A74" s="39" t="s">
        <v>79</v>
      </c>
      <c r="B74" s="62">
        <f>(B2*B3)</f>
        <v>1044954</v>
      </c>
      <c r="C74" s="62"/>
      <c r="D74" s="62"/>
      <c r="E74" s="62"/>
      <c r="F74" s="62"/>
      <c r="G74" s="62"/>
      <c r="H74" s="63">
        <f t="shared" ref="H74:H79" si="31">SUM(B74:G74)</f>
        <v>1044954</v>
      </c>
      <c r="I74" s="19"/>
      <c r="K74" s="63">
        <v>1270890</v>
      </c>
      <c r="M74" s="63">
        <f t="shared" si="28"/>
        <v>-225936</v>
      </c>
      <c r="O74" s="63">
        <v>1270890</v>
      </c>
      <c r="Q74" s="7">
        <f>H74-O74</f>
        <v>-225936</v>
      </c>
    </row>
    <row r="75" spans="1:18" x14ac:dyDescent="0.25">
      <c r="A75" s="39" t="s">
        <v>80</v>
      </c>
      <c r="B75" s="46">
        <v>97435</v>
      </c>
      <c r="C75" s="46"/>
      <c r="D75" s="46"/>
      <c r="E75" s="46"/>
      <c r="F75" s="46"/>
      <c r="G75" s="46"/>
      <c r="H75" s="7">
        <f t="shared" si="31"/>
        <v>97435</v>
      </c>
      <c r="I75" s="8">
        <v>4236</v>
      </c>
      <c r="J75" s="9"/>
      <c r="K75" s="7">
        <v>97428</v>
      </c>
      <c r="L75" s="9"/>
      <c r="M75" s="7">
        <f t="shared" si="28"/>
        <v>7</v>
      </c>
      <c r="N75" s="9"/>
      <c r="O75" s="7">
        <v>97428</v>
      </c>
      <c r="P75" s="9"/>
      <c r="Q75" s="7">
        <f t="shared" ref="Q75:Q79" si="32">H75-O75</f>
        <v>7</v>
      </c>
      <c r="R75" s="64"/>
    </row>
    <row r="76" spans="1:18" x14ac:dyDescent="0.25">
      <c r="A76" s="39" t="s">
        <v>81</v>
      </c>
      <c r="B76" s="7">
        <f>1129*B22</f>
        <v>0</v>
      </c>
      <c r="C76" s="7"/>
      <c r="D76" s="7"/>
      <c r="E76" s="7"/>
      <c r="F76" s="7"/>
      <c r="G76" s="7"/>
      <c r="H76" s="7">
        <f t="shared" si="31"/>
        <v>0</v>
      </c>
      <c r="I76" s="8">
        <v>1129</v>
      </c>
      <c r="J76" s="9"/>
      <c r="K76" s="7">
        <v>0</v>
      </c>
      <c r="L76" s="9"/>
      <c r="M76" s="7">
        <f t="shared" si="28"/>
        <v>0</v>
      </c>
      <c r="N76" s="9"/>
      <c r="O76" s="7">
        <v>0</v>
      </c>
      <c r="P76" s="9"/>
      <c r="Q76" s="7">
        <f t="shared" si="32"/>
        <v>0</v>
      </c>
      <c r="R76" s="64"/>
    </row>
    <row r="77" spans="1:18" x14ac:dyDescent="0.25">
      <c r="A77" s="39" t="s">
        <v>82</v>
      </c>
      <c r="B77" s="14">
        <v>125206</v>
      </c>
      <c r="C77" s="7"/>
      <c r="D77" s="7"/>
      <c r="E77" s="7"/>
      <c r="F77" s="7"/>
      <c r="G77" s="7"/>
      <c r="H77" s="7">
        <f t="shared" si="31"/>
        <v>125206</v>
      </c>
      <c r="I77" s="8">
        <v>3295</v>
      </c>
      <c r="K77" s="7">
        <v>125210</v>
      </c>
      <c r="M77" s="7">
        <f t="shared" si="28"/>
        <v>-4</v>
      </c>
      <c r="O77" s="7">
        <v>125210</v>
      </c>
      <c r="Q77" s="7">
        <f t="shared" si="32"/>
        <v>-4</v>
      </c>
    </row>
    <row r="78" spans="1:18" x14ac:dyDescent="0.25">
      <c r="A78" s="39" t="s">
        <v>83</v>
      </c>
      <c r="B78" s="46"/>
      <c r="C78" s="46">
        <v>0</v>
      </c>
      <c r="D78" s="46"/>
      <c r="E78" s="46"/>
      <c r="F78" s="46"/>
      <c r="G78" s="46"/>
      <c r="H78" s="46">
        <f t="shared" si="31"/>
        <v>0</v>
      </c>
      <c r="I78" s="8"/>
      <c r="J78" s="65"/>
      <c r="K78" s="46">
        <v>0</v>
      </c>
      <c r="L78" s="65"/>
      <c r="M78" s="46">
        <f t="shared" si="28"/>
        <v>0</v>
      </c>
      <c r="N78" s="65"/>
      <c r="O78" s="46">
        <v>0</v>
      </c>
      <c r="P78" s="65"/>
      <c r="Q78" s="7">
        <f t="shared" si="32"/>
        <v>0</v>
      </c>
      <c r="R78" s="25"/>
    </row>
    <row r="79" spans="1:18" x14ac:dyDescent="0.25">
      <c r="A79" s="39" t="s">
        <v>84</v>
      </c>
      <c r="B79" s="46">
        <v>0</v>
      </c>
      <c r="C79" s="46">
        <v>66131.69</v>
      </c>
      <c r="D79" s="46"/>
      <c r="E79" s="46"/>
      <c r="F79" s="46"/>
      <c r="G79" s="46"/>
      <c r="H79" s="46">
        <f t="shared" si="31"/>
        <v>66131.69</v>
      </c>
      <c r="I79" s="8">
        <v>3840</v>
      </c>
      <c r="J79" s="65"/>
      <c r="K79" s="46">
        <v>65280</v>
      </c>
      <c r="L79" s="65"/>
      <c r="M79" s="46">
        <f t="shared" si="28"/>
        <v>851.69000000000233</v>
      </c>
      <c r="N79" s="65"/>
      <c r="O79" s="46">
        <v>65280</v>
      </c>
      <c r="P79" s="65"/>
      <c r="Q79" s="7">
        <f t="shared" si="32"/>
        <v>851.69000000000233</v>
      </c>
      <c r="R79" s="25"/>
    </row>
    <row r="80" spans="1:18" x14ac:dyDescent="0.25">
      <c r="A80" s="66" t="s">
        <v>85</v>
      </c>
      <c r="B80" s="67">
        <f>SUM(B74:B79)</f>
        <v>1267595</v>
      </c>
      <c r="C80" s="67">
        <f>SUM(C74:C79)</f>
        <v>66131.69</v>
      </c>
      <c r="D80" s="67">
        <f>SUM(D74:D79)</f>
        <v>0</v>
      </c>
      <c r="E80" s="67">
        <f t="shared" ref="E80:G80" si="33">SUM(E74:E79)</f>
        <v>0</v>
      </c>
      <c r="F80" s="67">
        <f t="shared" si="33"/>
        <v>0</v>
      </c>
      <c r="G80" s="67">
        <f t="shared" si="33"/>
        <v>0</v>
      </c>
      <c r="H80" s="67">
        <f>SUM(H74:H79)</f>
        <v>1333726.69</v>
      </c>
      <c r="I80" s="10"/>
      <c r="J80" s="10"/>
      <c r="K80" s="67">
        <f>SUM(K74:K79)</f>
        <v>1558808</v>
      </c>
      <c r="L80" s="10"/>
      <c r="M80" s="67">
        <f>SUM(M74:M79)</f>
        <v>-225081.31</v>
      </c>
      <c r="N80" s="10"/>
      <c r="O80" s="67">
        <f>SUM(O74:O79)</f>
        <v>1558808</v>
      </c>
      <c r="P80" s="10"/>
      <c r="Q80" s="67">
        <f>SUM(Q74:Q79)</f>
        <v>-225081.31</v>
      </c>
    </row>
    <row r="81" spans="1:18" x14ac:dyDescent="0.25">
      <c r="A81" s="68" t="s">
        <v>86</v>
      </c>
      <c r="B81" s="60"/>
      <c r="C81" s="60"/>
      <c r="D81" s="60"/>
      <c r="E81" s="60"/>
      <c r="F81" s="60"/>
      <c r="G81" s="60"/>
      <c r="H81" s="61"/>
      <c r="I81" s="10"/>
      <c r="J81" s="10"/>
      <c r="K81" s="61"/>
      <c r="L81" s="10"/>
      <c r="M81" s="61">
        <f t="shared" si="28"/>
        <v>0</v>
      </c>
      <c r="N81" s="10"/>
      <c r="O81" s="61"/>
      <c r="P81" s="10"/>
      <c r="Q81" s="61">
        <f t="shared" si="30"/>
        <v>0</v>
      </c>
    </row>
    <row r="82" spans="1:18" x14ac:dyDescent="0.25">
      <c r="A82" s="39" t="s">
        <v>87</v>
      </c>
      <c r="B82" s="7"/>
      <c r="C82" s="7">
        <v>19905.75</v>
      </c>
      <c r="D82" s="7"/>
      <c r="E82" s="7"/>
      <c r="F82" s="7"/>
      <c r="G82" s="7"/>
      <c r="H82" s="7">
        <f t="shared" ref="H82:H89" si="34">SUM(B82:G82)</f>
        <v>19905.75</v>
      </c>
      <c r="I82" s="8">
        <f>H82/C20</f>
        <v>1170.9264705882354</v>
      </c>
      <c r="J82" s="9"/>
      <c r="K82" s="7">
        <v>18384.71</v>
      </c>
      <c r="L82" s="9"/>
      <c r="M82" s="7">
        <f t="shared" si="28"/>
        <v>1521.0400000000009</v>
      </c>
      <c r="N82" s="9"/>
      <c r="O82" s="7">
        <v>18384.71</v>
      </c>
      <c r="P82" s="9"/>
      <c r="Q82" s="7">
        <f>H82-O82</f>
        <v>1521.0400000000009</v>
      </c>
      <c r="R82" s="64"/>
    </row>
    <row r="83" spans="1:18" x14ac:dyDescent="0.25">
      <c r="A83" s="39" t="s">
        <v>88</v>
      </c>
      <c r="B83" s="7"/>
      <c r="C83" s="7"/>
      <c r="D83" s="14">
        <f>((B17*D23)*2.28*180)</f>
        <v>45554.399999999994</v>
      </c>
      <c r="E83" s="14"/>
      <c r="F83" s="7"/>
      <c r="G83" s="7"/>
      <c r="H83" s="7">
        <f t="shared" si="34"/>
        <v>45554.399999999994</v>
      </c>
      <c r="I83" s="69">
        <v>2.2799999999999998</v>
      </c>
      <c r="J83" s="70"/>
      <c r="K83" s="7">
        <v>55403.999999999993</v>
      </c>
      <c r="L83" s="70"/>
      <c r="M83" s="7">
        <f t="shared" si="28"/>
        <v>-9849.5999999999985</v>
      </c>
      <c r="N83" s="70"/>
      <c r="O83" s="7">
        <v>55403.999999999993</v>
      </c>
      <c r="P83" s="70"/>
      <c r="Q83" s="7">
        <f t="shared" ref="Q83:Q89" si="35">H83-O83</f>
        <v>-9849.5999999999985</v>
      </c>
      <c r="R83" s="71"/>
    </row>
    <row r="84" spans="1:18" x14ac:dyDescent="0.25">
      <c r="A84" s="39" t="s">
        <v>89</v>
      </c>
      <c r="B84" s="46"/>
      <c r="C84" s="46"/>
      <c r="D84" s="14">
        <f>((B17*D23)*4.33*180)</f>
        <v>86513.4</v>
      </c>
      <c r="E84" s="72"/>
      <c r="F84" s="46"/>
      <c r="G84" s="46"/>
      <c r="H84" s="7">
        <f t="shared" si="34"/>
        <v>86513.4</v>
      </c>
      <c r="I84" s="69">
        <v>4.33</v>
      </c>
      <c r="J84" s="70"/>
      <c r="K84" s="7">
        <v>105218.99999999999</v>
      </c>
      <c r="L84" s="70"/>
      <c r="M84" s="7">
        <f t="shared" si="28"/>
        <v>-18705.599999999991</v>
      </c>
      <c r="N84" s="70"/>
      <c r="O84" s="7">
        <v>105218.99999999999</v>
      </c>
      <c r="P84" s="70"/>
      <c r="Q84" s="7">
        <f t="shared" si="35"/>
        <v>-18705.599999999991</v>
      </c>
      <c r="R84" s="71"/>
    </row>
    <row r="85" spans="1:18" x14ac:dyDescent="0.25">
      <c r="A85" s="39" t="s">
        <v>5</v>
      </c>
      <c r="B85" s="46"/>
      <c r="C85" s="46"/>
      <c r="D85" s="46"/>
      <c r="E85" s="46"/>
      <c r="F85" s="72">
        <v>53120</v>
      </c>
      <c r="G85" s="46"/>
      <c r="H85" s="7">
        <f t="shared" si="34"/>
        <v>53120</v>
      </c>
      <c r="I85" s="8"/>
      <c r="J85" s="9"/>
      <c r="K85" s="7">
        <v>49069.919999999998</v>
      </c>
      <c r="L85" s="9"/>
      <c r="M85" s="7">
        <f t="shared" si="28"/>
        <v>4050.0800000000017</v>
      </c>
      <c r="N85" s="9"/>
      <c r="O85" s="7">
        <v>49069.919999999998</v>
      </c>
      <c r="P85" s="9"/>
      <c r="Q85" s="7">
        <f t="shared" si="35"/>
        <v>4050.0800000000017</v>
      </c>
      <c r="R85" s="64"/>
    </row>
    <row r="86" spans="1:18" x14ac:dyDescent="0.25">
      <c r="A86" s="39" t="s">
        <v>90</v>
      </c>
      <c r="B86" s="46"/>
      <c r="C86" s="46"/>
      <c r="D86" s="46"/>
      <c r="E86" s="46"/>
      <c r="F86" s="46"/>
      <c r="G86" s="46">
        <v>6554.33</v>
      </c>
      <c r="H86" s="7">
        <f t="shared" si="34"/>
        <v>6554.33</v>
      </c>
      <c r="I86" s="8"/>
      <c r="J86" s="9"/>
      <c r="K86" s="7">
        <v>19264.52</v>
      </c>
      <c r="L86" s="9"/>
      <c r="M86" s="7">
        <f t="shared" si="28"/>
        <v>-12710.19</v>
      </c>
      <c r="N86" s="9"/>
      <c r="O86" s="7">
        <v>19264.52</v>
      </c>
      <c r="P86" s="9"/>
      <c r="Q86" s="7">
        <f t="shared" si="35"/>
        <v>-12710.19</v>
      </c>
      <c r="R86" s="64"/>
    </row>
    <row r="87" spans="1:18" x14ac:dyDescent="0.25">
      <c r="A87" s="39" t="s">
        <v>91</v>
      </c>
      <c r="B87" s="46"/>
      <c r="C87" s="46"/>
      <c r="D87" s="46"/>
      <c r="E87" s="46"/>
      <c r="F87" s="46"/>
      <c r="G87" s="46">
        <v>4566.38</v>
      </c>
      <c r="H87" s="7">
        <f t="shared" si="34"/>
        <v>4566.38</v>
      </c>
      <c r="I87" s="8"/>
      <c r="J87" s="9"/>
      <c r="K87" s="7">
        <v>3899.72</v>
      </c>
      <c r="L87" s="9"/>
      <c r="M87" s="7">
        <f t="shared" si="28"/>
        <v>666.66000000000031</v>
      </c>
      <c r="N87" s="9"/>
      <c r="O87" s="7">
        <v>3899.72</v>
      </c>
      <c r="P87" s="9"/>
      <c r="Q87" s="7">
        <f t="shared" si="35"/>
        <v>666.66000000000031</v>
      </c>
      <c r="R87" s="64"/>
    </row>
    <row r="88" spans="1:18" x14ac:dyDescent="0.25">
      <c r="A88" s="39" t="s">
        <v>92</v>
      </c>
      <c r="B88" s="46"/>
      <c r="C88" s="46"/>
      <c r="D88" s="46"/>
      <c r="E88" s="46"/>
      <c r="F88" s="46"/>
      <c r="G88" s="46">
        <v>5400.25</v>
      </c>
      <c r="H88" s="7">
        <f t="shared" si="34"/>
        <v>5400.25</v>
      </c>
      <c r="I88" s="8"/>
      <c r="J88" s="9"/>
      <c r="K88" s="7">
        <v>4771.32</v>
      </c>
      <c r="L88" s="9"/>
      <c r="M88" s="7">
        <f t="shared" si="28"/>
        <v>628.93000000000029</v>
      </c>
      <c r="N88" s="9"/>
      <c r="O88" s="7">
        <v>4771.32</v>
      </c>
      <c r="P88" s="9"/>
      <c r="Q88" s="7">
        <f t="shared" si="35"/>
        <v>628.93000000000029</v>
      </c>
      <c r="R88" s="64"/>
    </row>
    <row r="89" spans="1:18" x14ac:dyDescent="0.25">
      <c r="A89" s="39" t="s">
        <v>93</v>
      </c>
      <c r="B89" s="46">
        <v>60400</v>
      </c>
      <c r="C89" s="46"/>
      <c r="D89" s="46"/>
      <c r="E89" s="46">
        <v>44350</v>
      </c>
      <c r="F89" s="46"/>
      <c r="G89" s="46"/>
      <c r="H89" s="7">
        <f t="shared" si="34"/>
        <v>104750</v>
      </c>
      <c r="I89" s="8"/>
      <c r="J89" s="9"/>
      <c r="K89" s="7">
        <v>42328</v>
      </c>
      <c r="L89" s="9"/>
      <c r="M89" s="7">
        <f t="shared" si="28"/>
        <v>62422</v>
      </c>
      <c r="N89" s="9"/>
      <c r="O89" s="7">
        <v>42328</v>
      </c>
      <c r="P89" s="9"/>
      <c r="Q89" s="7">
        <f t="shared" si="35"/>
        <v>62422</v>
      </c>
      <c r="R89" s="64"/>
    </row>
    <row r="90" spans="1:18" x14ac:dyDescent="0.25">
      <c r="A90" s="66" t="s">
        <v>94</v>
      </c>
      <c r="B90" s="67">
        <f t="shared" ref="B90" si="36">SUM(B82:B89)</f>
        <v>60400</v>
      </c>
      <c r="C90" s="67">
        <f t="shared" ref="C90:G90" si="37">SUM(C82:C89)</f>
        <v>19905.75</v>
      </c>
      <c r="D90" s="67">
        <f t="shared" si="37"/>
        <v>132067.79999999999</v>
      </c>
      <c r="E90" s="67">
        <f t="shared" si="37"/>
        <v>44350</v>
      </c>
      <c r="F90" s="67">
        <f t="shared" si="37"/>
        <v>53120</v>
      </c>
      <c r="G90" s="67">
        <f t="shared" si="37"/>
        <v>16520.96</v>
      </c>
      <c r="H90" s="67">
        <f>SUM(H82:H89)</f>
        <v>326364.51</v>
      </c>
      <c r="I90" s="10"/>
      <c r="J90" s="10"/>
      <c r="K90" s="67">
        <f>SUM(K82:K89)</f>
        <v>298341.18999999994</v>
      </c>
      <c r="L90" s="10"/>
      <c r="M90" s="67">
        <f>SUM(M82:M89)</f>
        <v>28023.320000000014</v>
      </c>
      <c r="N90" s="10"/>
      <c r="O90" s="67">
        <f>SUM(O82:O89)</f>
        <v>298341.18999999994</v>
      </c>
      <c r="P90" s="10"/>
      <c r="Q90" s="67">
        <f>SUM(Q82:Q89)</f>
        <v>28023.320000000014</v>
      </c>
    </row>
    <row r="91" spans="1:18" x14ac:dyDescent="0.25">
      <c r="A91" s="68" t="s">
        <v>95</v>
      </c>
      <c r="B91" s="60"/>
      <c r="C91" s="60"/>
      <c r="D91" s="60"/>
      <c r="E91" s="60"/>
      <c r="F91" s="60"/>
      <c r="G91" s="60"/>
      <c r="H91" s="61"/>
      <c r="I91" s="10"/>
      <c r="J91" s="10"/>
      <c r="K91" s="61"/>
      <c r="L91" s="10"/>
      <c r="M91" s="61">
        <f t="shared" si="28"/>
        <v>0</v>
      </c>
      <c r="N91" s="10"/>
      <c r="O91" s="61"/>
      <c r="P91" s="10"/>
      <c r="Q91" s="61">
        <f t="shared" si="30"/>
        <v>0</v>
      </c>
    </row>
    <row r="92" spans="1:18" x14ac:dyDescent="0.25">
      <c r="A92" s="39" t="s">
        <v>96</v>
      </c>
      <c r="B92" s="7"/>
      <c r="C92" s="7"/>
      <c r="D92" s="7"/>
      <c r="E92" s="7"/>
      <c r="F92" s="7"/>
      <c r="G92" s="7"/>
      <c r="H92" s="7">
        <f>SUM(B92:G92)</f>
        <v>0</v>
      </c>
      <c r="I92" s="19"/>
      <c r="K92" s="7">
        <v>0</v>
      </c>
      <c r="M92" s="7">
        <f t="shared" si="28"/>
        <v>0</v>
      </c>
      <c r="O92" s="7">
        <v>0</v>
      </c>
      <c r="Q92" s="7">
        <f>H92-O92</f>
        <v>0</v>
      </c>
    </row>
    <row r="93" spans="1:18" x14ac:dyDescent="0.25">
      <c r="A93" s="39" t="s">
        <v>97</v>
      </c>
      <c r="B93" s="14"/>
      <c r="C93" s="14"/>
      <c r="D93" s="14"/>
      <c r="E93" s="14"/>
      <c r="F93" s="14"/>
      <c r="G93" s="14"/>
      <c r="H93" s="7">
        <f>SUM(B93:G93)</f>
        <v>0</v>
      </c>
      <c r="I93" s="19"/>
      <c r="K93" s="7">
        <v>0</v>
      </c>
      <c r="M93" s="7">
        <f t="shared" si="28"/>
        <v>0</v>
      </c>
      <c r="O93" s="7">
        <v>0</v>
      </c>
      <c r="Q93" s="7">
        <f t="shared" ref="Q93:Q95" si="38">H93-O93</f>
        <v>0</v>
      </c>
    </row>
    <row r="94" spans="1:18" x14ac:dyDescent="0.25">
      <c r="A94" s="39" t="s">
        <v>98</v>
      </c>
      <c r="B94" s="46">
        <v>652723</v>
      </c>
      <c r="C94" s="46"/>
      <c r="D94" s="46"/>
      <c r="E94" s="46"/>
      <c r="F94" s="46"/>
      <c r="G94" s="46"/>
      <c r="H94" s="46">
        <f>SUM(B94:G94)</f>
        <v>652723</v>
      </c>
      <c r="I94" s="19"/>
      <c r="K94" s="46">
        <v>129096</v>
      </c>
      <c r="M94" s="46">
        <f t="shared" si="28"/>
        <v>523627</v>
      </c>
      <c r="O94" s="46">
        <v>464908</v>
      </c>
      <c r="Q94" s="7">
        <f t="shared" si="38"/>
        <v>187815</v>
      </c>
    </row>
    <row r="95" spans="1:18" x14ac:dyDescent="0.25">
      <c r="A95" s="39" t="s">
        <v>99</v>
      </c>
      <c r="B95" s="46"/>
      <c r="C95" s="46"/>
      <c r="D95" s="46"/>
      <c r="E95" s="46"/>
      <c r="F95" s="46"/>
      <c r="G95" s="46"/>
      <c r="H95" s="46">
        <f>SUM(B95:G95)</f>
        <v>0</v>
      </c>
      <c r="I95" s="19"/>
      <c r="K95" s="46">
        <v>0</v>
      </c>
      <c r="M95" s="46">
        <f t="shared" si="28"/>
        <v>0</v>
      </c>
      <c r="O95" s="46">
        <v>0</v>
      </c>
      <c r="Q95" s="7">
        <f t="shared" si="38"/>
        <v>0</v>
      </c>
    </row>
    <row r="96" spans="1:18" x14ac:dyDescent="0.25">
      <c r="A96" s="66" t="s">
        <v>100</v>
      </c>
      <c r="B96" s="67">
        <f>SUM(B92:B95)</f>
        <v>652723</v>
      </c>
      <c r="C96" s="67">
        <f t="shared" ref="C96:D96" si="39">SUM(C92:C95)</f>
        <v>0</v>
      </c>
      <c r="D96" s="67">
        <f t="shared" si="39"/>
        <v>0</v>
      </c>
      <c r="E96" s="67"/>
      <c r="F96" s="67"/>
      <c r="G96" s="67"/>
      <c r="H96" s="67">
        <f>SUM(H92:H95)</f>
        <v>652723</v>
      </c>
      <c r="I96" s="10"/>
      <c r="J96" s="10"/>
      <c r="K96" s="67">
        <f>SUM(K92:K95)</f>
        <v>129096</v>
      </c>
      <c r="L96" s="10"/>
      <c r="M96" s="67">
        <f>SUM(M92:M95)</f>
        <v>523627</v>
      </c>
      <c r="N96" s="10"/>
      <c r="O96" s="67">
        <f>SUM(O92:O95)</f>
        <v>464908</v>
      </c>
      <c r="P96" s="10"/>
      <c r="Q96" s="67">
        <f>SUM(Q92:Q95)</f>
        <v>187815</v>
      </c>
    </row>
    <row r="97" spans="1:17" x14ac:dyDescent="0.25">
      <c r="A97" s="73" t="s">
        <v>101</v>
      </c>
      <c r="B97" s="74">
        <f>B80+B90+B96</f>
        <v>1980718</v>
      </c>
      <c r="C97" s="74">
        <f t="shared" ref="C97:H97" si="40">C80+C90+C96</f>
        <v>86037.440000000002</v>
      </c>
      <c r="D97" s="74">
        <f t="shared" si="40"/>
        <v>132067.79999999999</v>
      </c>
      <c r="E97" s="74">
        <f t="shared" si="40"/>
        <v>44350</v>
      </c>
      <c r="F97" s="74">
        <f t="shared" si="40"/>
        <v>53120</v>
      </c>
      <c r="G97" s="74">
        <f t="shared" si="40"/>
        <v>16520.96</v>
      </c>
      <c r="H97" s="74">
        <f t="shared" si="40"/>
        <v>2312814.2000000002</v>
      </c>
      <c r="I97" s="10"/>
      <c r="J97" s="10"/>
      <c r="K97" s="74">
        <f t="shared" ref="K97" si="41">K80+K90+K96</f>
        <v>1986245.19</v>
      </c>
      <c r="L97" s="10"/>
      <c r="M97" s="74">
        <f t="shared" ref="M97" si="42">M80+M90+M96</f>
        <v>326569.01</v>
      </c>
      <c r="N97" s="10"/>
      <c r="O97" s="74">
        <f t="shared" ref="O97" si="43">O80+O90+O96</f>
        <v>2322057.19</v>
      </c>
      <c r="P97" s="10"/>
      <c r="Q97" s="74">
        <f t="shared" ref="Q97" si="44">Q80+Q90+Q96</f>
        <v>-9242.9899999999907</v>
      </c>
    </row>
    <row r="98" spans="1:17" x14ac:dyDescent="0.25">
      <c r="A98" s="68" t="s">
        <v>102</v>
      </c>
      <c r="B98" s="60"/>
      <c r="C98" s="60"/>
      <c r="D98" s="60"/>
      <c r="E98" s="60"/>
      <c r="F98" s="60"/>
      <c r="G98" s="60"/>
      <c r="H98" s="61"/>
      <c r="I98" s="10"/>
      <c r="J98" s="10"/>
      <c r="K98" s="61"/>
      <c r="L98" s="10"/>
      <c r="M98" s="61">
        <f t="shared" si="28"/>
        <v>0</v>
      </c>
      <c r="N98" s="10"/>
      <c r="O98" s="61"/>
      <c r="P98" s="10"/>
      <c r="Q98" s="61">
        <f t="shared" si="30"/>
        <v>0</v>
      </c>
    </row>
    <row r="99" spans="1:17" x14ac:dyDescent="0.25">
      <c r="A99" s="39" t="s">
        <v>103</v>
      </c>
      <c r="B99" s="7">
        <v>0</v>
      </c>
      <c r="C99" s="7">
        <v>0</v>
      </c>
      <c r="D99" s="7">
        <v>0</v>
      </c>
      <c r="E99" s="7">
        <v>0</v>
      </c>
      <c r="F99" s="7">
        <v>0</v>
      </c>
      <c r="G99" s="7">
        <v>0</v>
      </c>
      <c r="H99" s="7">
        <f>SUM(B99:G99)</f>
        <v>0</v>
      </c>
      <c r="I99" s="19"/>
      <c r="J99" s="10"/>
      <c r="K99" s="7">
        <v>0</v>
      </c>
      <c r="L99" s="10"/>
      <c r="M99" s="7">
        <f t="shared" si="28"/>
        <v>0</v>
      </c>
      <c r="N99" s="10"/>
      <c r="O99" s="7">
        <v>0</v>
      </c>
      <c r="P99" s="10"/>
      <c r="Q99" s="7">
        <f>H99-O99</f>
        <v>0</v>
      </c>
    </row>
    <row r="100" spans="1:17" x14ac:dyDescent="0.25">
      <c r="A100" s="39" t="s">
        <v>104</v>
      </c>
      <c r="B100" s="14">
        <v>0</v>
      </c>
      <c r="C100" s="14">
        <v>0</v>
      </c>
      <c r="D100" s="14">
        <v>0</v>
      </c>
      <c r="E100" s="14">
        <v>0</v>
      </c>
      <c r="F100" s="14">
        <v>0</v>
      </c>
      <c r="G100" s="14">
        <v>0</v>
      </c>
      <c r="H100" s="7">
        <f>SUM(B100:G100)</f>
        <v>0</v>
      </c>
      <c r="I100" s="19"/>
      <c r="J100" s="10"/>
      <c r="K100" s="7">
        <v>0</v>
      </c>
      <c r="L100" s="10"/>
      <c r="M100" s="7">
        <f t="shared" si="28"/>
        <v>0</v>
      </c>
      <c r="N100" s="10"/>
      <c r="O100" s="7">
        <v>0</v>
      </c>
      <c r="P100" s="10"/>
      <c r="Q100" s="7">
        <f t="shared" ref="Q100:Q102" si="45">H100-O100</f>
        <v>0</v>
      </c>
    </row>
    <row r="101" spans="1:17" x14ac:dyDescent="0.25">
      <c r="A101" s="39"/>
      <c r="B101" s="46"/>
      <c r="C101" s="46"/>
      <c r="D101" s="46"/>
      <c r="E101" s="46"/>
      <c r="F101" s="46"/>
      <c r="G101" s="46"/>
      <c r="H101" s="7">
        <f>SUM(B101:G101)</f>
        <v>0</v>
      </c>
      <c r="I101" s="19"/>
      <c r="J101" s="10"/>
      <c r="K101" s="7">
        <v>0</v>
      </c>
      <c r="L101" s="10"/>
      <c r="M101" s="7">
        <f t="shared" si="28"/>
        <v>0</v>
      </c>
      <c r="N101" s="10"/>
      <c r="O101" s="7">
        <v>0</v>
      </c>
      <c r="P101" s="10"/>
      <c r="Q101" s="7">
        <f t="shared" si="45"/>
        <v>0</v>
      </c>
    </row>
    <row r="102" spans="1:17" x14ac:dyDescent="0.25">
      <c r="A102" s="39"/>
      <c r="B102" s="46"/>
      <c r="C102" s="46"/>
      <c r="D102" s="46"/>
      <c r="E102" s="46"/>
      <c r="F102" s="46"/>
      <c r="G102" s="46"/>
      <c r="H102" s="7">
        <f>SUM(B102:G102)</f>
        <v>0</v>
      </c>
      <c r="I102" s="19"/>
      <c r="J102" s="10"/>
      <c r="K102" s="7">
        <v>0</v>
      </c>
      <c r="L102" s="10"/>
      <c r="M102" s="7">
        <f t="shared" si="28"/>
        <v>0</v>
      </c>
      <c r="N102" s="10"/>
      <c r="O102" s="7">
        <v>0</v>
      </c>
      <c r="P102" s="10"/>
      <c r="Q102" s="7">
        <f t="shared" si="45"/>
        <v>0</v>
      </c>
    </row>
    <row r="103" spans="1:17" x14ac:dyDescent="0.25">
      <c r="A103" s="66" t="s">
        <v>105</v>
      </c>
      <c r="B103" s="67">
        <f>SUM(B99:B102)</f>
        <v>0</v>
      </c>
      <c r="C103" s="67">
        <f t="shared" ref="C103:H103" si="46">SUM(C99:C102)</f>
        <v>0</v>
      </c>
      <c r="D103" s="67">
        <f t="shared" si="46"/>
        <v>0</v>
      </c>
      <c r="E103" s="67">
        <f t="shared" si="46"/>
        <v>0</v>
      </c>
      <c r="F103" s="67">
        <f t="shared" si="46"/>
        <v>0</v>
      </c>
      <c r="G103" s="67">
        <f t="shared" si="46"/>
        <v>0</v>
      </c>
      <c r="H103" s="67">
        <f t="shared" si="46"/>
        <v>0</v>
      </c>
      <c r="I103" s="10"/>
      <c r="J103" s="10"/>
      <c r="K103" s="67">
        <v>0</v>
      </c>
      <c r="L103" s="10"/>
      <c r="M103" s="67">
        <f t="shared" si="28"/>
        <v>0</v>
      </c>
      <c r="N103" s="10"/>
      <c r="O103" s="67">
        <v>0</v>
      </c>
      <c r="P103" s="10"/>
      <c r="Q103" s="67">
        <f t="shared" si="30"/>
        <v>0</v>
      </c>
    </row>
    <row r="104" spans="1:17" ht="15.75" thickBot="1" x14ac:dyDescent="0.3">
      <c r="A104" s="39"/>
      <c r="B104" s="53"/>
      <c r="C104" s="53"/>
      <c r="D104" s="53"/>
      <c r="E104" s="53"/>
      <c r="F104" s="53"/>
      <c r="G104" s="53"/>
      <c r="H104" s="53"/>
      <c r="I104" s="10"/>
      <c r="J104" s="10"/>
      <c r="K104" s="53"/>
      <c r="L104" s="10"/>
      <c r="M104" s="53">
        <f t="shared" si="28"/>
        <v>0</v>
      </c>
      <c r="N104" s="10"/>
      <c r="O104" s="53"/>
      <c r="P104" s="10"/>
      <c r="Q104" s="53">
        <f t="shared" si="30"/>
        <v>0</v>
      </c>
    </row>
    <row r="105" spans="1:17" ht="15.75" thickBot="1" x14ac:dyDescent="0.3">
      <c r="A105" s="75" t="s">
        <v>106</v>
      </c>
      <c r="B105" s="76" t="str">
        <f>B1</f>
        <v>Operating</v>
      </c>
      <c r="C105" s="76" t="str">
        <f>C1</f>
        <v>SPED</v>
      </c>
      <c r="D105" s="76" t="str">
        <f>D1</f>
        <v>NSLP</v>
      </c>
      <c r="E105" s="76" t="str">
        <f>E1</f>
        <v>Other</v>
      </c>
      <c r="F105" s="76" t="str">
        <f t="shared" ref="F105:G105" si="47">F1</f>
        <v>Title I</v>
      </c>
      <c r="G105" s="76" t="str">
        <f t="shared" si="47"/>
        <v>Title II/III/IV</v>
      </c>
      <c r="H105" s="76" t="str">
        <f>H1</f>
        <v>Total (24-25)</v>
      </c>
      <c r="I105" s="10"/>
      <c r="J105" s="10"/>
      <c r="K105" s="76" t="s">
        <v>7</v>
      </c>
      <c r="L105" s="10"/>
      <c r="M105" s="76" t="str">
        <f t="shared" ref="M105" si="48">M1</f>
        <v>Variance</v>
      </c>
      <c r="N105" s="10"/>
      <c r="O105" s="76" t="s">
        <v>7</v>
      </c>
      <c r="P105" s="10"/>
      <c r="Q105" s="76" t="str">
        <f t="shared" ref="Q105" si="49">Q1</f>
        <v>Variance</v>
      </c>
    </row>
    <row r="106" spans="1:17" x14ac:dyDescent="0.25">
      <c r="A106" s="59" t="s">
        <v>107</v>
      </c>
      <c r="B106" s="60"/>
      <c r="C106" s="60"/>
      <c r="D106" s="60"/>
      <c r="E106" s="60"/>
      <c r="F106" s="60"/>
      <c r="G106" s="60"/>
      <c r="H106" s="61"/>
      <c r="I106" s="10"/>
      <c r="J106" s="10"/>
      <c r="K106" s="61"/>
      <c r="L106" s="10"/>
      <c r="M106" s="61">
        <f t="shared" si="28"/>
        <v>0</v>
      </c>
      <c r="N106" s="10"/>
      <c r="O106" s="61"/>
      <c r="P106" s="10"/>
      <c r="Q106" s="61">
        <f t="shared" ref="Q106:Q122" si="50">L106-O106</f>
        <v>0</v>
      </c>
    </row>
    <row r="107" spans="1:17" x14ac:dyDescent="0.25">
      <c r="A107" s="39" t="s">
        <v>47</v>
      </c>
      <c r="B107" s="14">
        <v>135000</v>
      </c>
      <c r="C107" s="7"/>
      <c r="D107" s="7"/>
      <c r="E107" s="7"/>
      <c r="F107" s="7"/>
      <c r="G107" s="7"/>
      <c r="H107" s="7">
        <f t="shared" ref="H107:H120" si="51">SUM(B107:G107)</f>
        <v>135000</v>
      </c>
      <c r="I107" s="19"/>
      <c r="K107" s="7">
        <v>0</v>
      </c>
      <c r="M107" s="7">
        <f t="shared" si="28"/>
        <v>135000</v>
      </c>
      <c r="O107" s="14">
        <v>135000</v>
      </c>
      <c r="Q107" s="7">
        <f>H107-O107</f>
        <v>0</v>
      </c>
    </row>
    <row r="108" spans="1:17" x14ac:dyDescent="0.25">
      <c r="A108" s="39" t="s">
        <v>48</v>
      </c>
      <c r="B108" s="7">
        <v>125000</v>
      </c>
      <c r="C108" s="7"/>
      <c r="D108" s="7"/>
      <c r="E108" s="7"/>
      <c r="F108" s="7"/>
      <c r="G108" s="7"/>
      <c r="H108" s="7">
        <f t="shared" si="51"/>
        <v>125000</v>
      </c>
      <c r="I108" s="19"/>
      <c r="K108" s="7">
        <v>113300</v>
      </c>
      <c r="M108" s="7">
        <f t="shared" si="28"/>
        <v>11700</v>
      </c>
      <c r="O108" s="7">
        <v>125000</v>
      </c>
      <c r="Q108" s="7">
        <f t="shared" ref="Q108:Q120" si="52">H108-O108</f>
        <v>0</v>
      </c>
    </row>
    <row r="109" spans="1:17" x14ac:dyDescent="0.25">
      <c r="A109" s="39" t="s">
        <v>49</v>
      </c>
      <c r="B109" s="7">
        <f>84*24*40*0</f>
        <v>0</v>
      </c>
      <c r="C109" s="7"/>
      <c r="D109" s="7"/>
      <c r="E109" s="7">
        <v>0</v>
      </c>
      <c r="F109" s="7">
        <f>84*24*40</f>
        <v>80640</v>
      </c>
      <c r="G109" s="7"/>
      <c r="H109" s="7">
        <f t="shared" si="51"/>
        <v>80640</v>
      </c>
      <c r="I109" s="19"/>
      <c r="K109" s="7">
        <v>0</v>
      </c>
      <c r="M109" s="7">
        <f t="shared" si="28"/>
        <v>80640</v>
      </c>
      <c r="O109" s="7">
        <v>0</v>
      </c>
      <c r="Q109" s="7">
        <f t="shared" si="52"/>
        <v>80640</v>
      </c>
    </row>
    <row r="110" spans="1:17" x14ac:dyDescent="0.25">
      <c r="A110" s="42" t="s">
        <v>50</v>
      </c>
      <c r="B110" s="7">
        <v>0</v>
      </c>
      <c r="C110" s="7"/>
      <c r="D110" s="7"/>
      <c r="E110" s="7"/>
      <c r="F110" s="7"/>
      <c r="G110" s="7"/>
      <c r="H110" s="7">
        <f t="shared" si="51"/>
        <v>0</v>
      </c>
      <c r="I110" s="19"/>
      <c r="K110" s="7">
        <v>0</v>
      </c>
      <c r="M110" s="7">
        <f t="shared" si="28"/>
        <v>0</v>
      </c>
      <c r="O110" s="7">
        <v>0</v>
      </c>
      <c r="Q110" s="7">
        <f t="shared" si="52"/>
        <v>0</v>
      </c>
    </row>
    <row r="111" spans="1:17" x14ac:dyDescent="0.25">
      <c r="A111" s="42" t="s">
        <v>51</v>
      </c>
      <c r="B111" s="7">
        <v>0</v>
      </c>
      <c r="C111" s="7"/>
      <c r="D111" s="7"/>
      <c r="E111" s="7"/>
      <c r="F111" s="7"/>
      <c r="G111" s="7"/>
      <c r="H111" s="7">
        <f t="shared" si="51"/>
        <v>0</v>
      </c>
      <c r="I111" s="19"/>
      <c r="K111" s="7">
        <v>0</v>
      </c>
      <c r="M111" s="7">
        <f t="shared" si="28"/>
        <v>0</v>
      </c>
      <c r="O111" s="7">
        <v>0</v>
      </c>
      <c r="Q111" s="7">
        <f t="shared" si="52"/>
        <v>0</v>
      </c>
    </row>
    <row r="112" spans="1:17" x14ac:dyDescent="0.25">
      <c r="A112" s="42" t="s">
        <v>52</v>
      </c>
      <c r="B112" s="7">
        <f>50000*1.03</f>
        <v>51500</v>
      </c>
      <c r="C112" s="7">
        <v>0</v>
      </c>
      <c r="D112" s="7"/>
      <c r="E112" s="7"/>
      <c r="F112" s="7"/>
      <c r="G112" s="7"/>
      <c r="H112" s="7">
        <f t="shared" si="51"/>
        <v>51500</v>
      </c>
      <c r="I112" s="19"/>
      <c r="K112" s="7">
        <v>51500</v>
      </c>
      <c r="M112" s="7">
        <f t="shared" si="28"/>
        <v>0</v>
      </c>
      <c r="O112" s="7">
        <v>0</v>
      </c>
      <c r="Q112" s="7">
        <f t="shared" si="52"/>
        <v>51500</v>
      </c>
    </row>
    <row r="113" spans="1:19" x14ac:dyDescent="0.25">
      <c r="A113" s="39" t="s">
        <v>108</v>
      </c>
      <c r="B113" s="7"/>
      <c r="C113" s="7"/>
      <c r="D113" s="7"/>
      <c r="E113" s="7">
        <f>E89</f>
        <v>44350</v>
      </c>
      <c r="F113" s="7"/>
      <c r="G113" s="7"/>
      <c r="H113" s="7">
        <f t="shared" si="51"/>
        <v>44350</v>
      </c>
      <c r="I113" s="19"/>
      <c r="K113" s="7">
        <v>0</v>
      </c>
      <c r="M113" s="7">
        <f t="shared" si="28"/>
        <v>44350</v>
      </c>
      <c r="O113" s="7">
        <v>51500</v>
      </c>
      <c r="Q113" s="7">
        <f t="shared" si="52"/>
        <v>-7150</v>
      </c>
    </row>
    <row r="114" spans="1:19" x14ac:dyDescent="0.25">
      <c r="A114" s="39" t="s">
        <v>109</v>
      </c>
      <c r="B114" s="7">
        <f>56650+60000+58710+57000+45000+54075+65000+51500</f>
        <v>447935</v>
      </c>
      <c r="C114" s="7"/>
      <c r="D114" s="7"/>
      <c r="E114" s="7"/>
      <c r="F114" s="7"/>
      <c r="G114" s="7"/>
      <c r="H114" s="7">
        <f t="shared" si="51"/>
        <v>447935</v>
      </c>
      <c r="I114" s="26">
        <f>H114/(H36-H28)</f>
        <v>55991.875</v>
      </c>
      <c r="K114" s="7">
        <v>399000</v>
      </c>
      <c r="M114" s="7">
        <f t="shared" si="28"/>
        <v>48935</v>
      </c>
      <c r="O114" s="7">
        <v>0</v>
      </c>
      <c r="Q114" s="7">
        <f t="shared" si="52"/>
        <v>447935</v>
      </c>
    </row>
    <row r="115" spans="1:19" x14ac:dyDescent="0.25">
      <c r="A115" s="39" t="s">
        <v>37</v>
      </c>
      <c r="B115" s="7"/>
      <c r="C115" s="7">
        <v>50000</v>
      </c>
      <c r="D115" s="7"/>
      <c r="E115" s="7"/>
      <c r="F115" s="7"/>
      <c r="G115" s="7"/>
      <c r="H115" s="7">
        <f t="shared" si="51"/>
        <v>50000</v>
      </c>
      <c r="I115" s="19"/>
      <c r="K115" s="7">
        <v>57000</v>
      </c>
      <c r="M115" s="7">
        <f t="shared" si="28"/>
        <v>-7000</v>
      </c>
      <c r="O115" s="7">
        <v>399000</v>
      </c>
      <c r="Q115" s="7">
        <f t="shared" si="52"/>
        <v>-349000</v>
      </c>
    </row>
    <row r="116" spans="1:19" x14ac:dyDescent="0.25">
      <c r="A116" s="39" t="s">
        <v>110</v>
      </c>
      <c r="B116" s="14">
        <f>60000</f>
        <v>60000</v>
      </c>
      <c r="C116" s="7"/>
      <c r="D116" s="7"/>
      <c r="E116" s="7"/>
      <c r="F116" s="7"/>
      <c r="G116" s="7"/>
      <c r="H116" s="7">
        <f t="shared" si="51"/>
        <v>60000</v>
      </c>
      <c r="I116" s="19"/>
      <c r="K116" s="7">
        <v>105060</v>
      </c>
      <c r="M116" s="7">
        <f t="shared" si="28"/>
        <v>-45060</v>
      </c>
      <c r="O116" s="7">
        <v>57000</v>
      </c>
      <c r="Q116" s="7">
        <f t="shared" si="52"/>
        <v>3000</v>
      </c>
    </row>
    <row r="117" spans="1:19" x14ac:dyDescent="0.25">
      <c r="A117" s="39" t="s">
        <v>111</v>
      </c>
      <c r="B117" s="14">
        <f>(14*8*190)*(B49+B48)</f>
        <v>0</v>
      </c>
      <c r="C117" s="7"/>
      <c r="D117" s="7"/>
      <c r="E117" s="7"/>
      <c r="F117" s="7"/>
      <c r="G117" s="7"/>
      <c r="H117" s="7">
        <f t="shared" si="51"/>
        <v>0</v>
      </c>
      <c r="I117" s="19"/>
      <c r="K117" s="7">
        <v>0</v>
      </c>
      <c r="M117" s="7">
        <f t="shared" si="28"/>
        <v>0</v>
      </c>
      <c r="O117" s="7">
        <v>105060</v>
      </c>
      <c r="Q117" s="7">
        <f t="shared" si="52"/>
        <v>-105060</v>
      </c>
    </row>
    <row r="118" spans="1:19" x14ac:dyDescent="0.25">
      <c r="A118" s="39" t="s">
        <v>112</v>
      </c>
      <c r="B118" s="7">
        <f>(15*8*180)*B50</f>
        <v>21600</v>
      </c>
      <c r="C118" s="7">
        <f t="shared" ref="C118:D118" si="53">(14*8*180)*C50</f>
        <v>0</v>
      </c>
      <c r="D118" s="7">
        <f t="shared" si="53"/>
        <v>0</v>
      </c>
      <c r="E118" s="7"/>
      <c r="F118" s="14">
        <f>(15.25*8*180)*F50</f>
        <v>0</v>
      </c>
      <c r="G118" s="7"/>
      <c r="H118" s="7">
        <f t="shared" si="51"/>
        <v>21600</v>
      </c>
      <c r="I118" s="19"/>
      <c r="K118" s="7">
        <v>21960</v>
      </c>
      <c r="M118" s="7">
        <f t="shared" si="28"/>
        <v>-360</v>
      </c>
      <c r="O118" s="7">
        <v>0</v>
      </c>
      <c r="Q118" s="7">
        <f t="shared" si="52"/>
        <v>21600</v>
      </c>
      <c r="R118" s="28"/>
      <c r="S118" s="28"/>
    </row>
    <row r="119" spans="1:19" x14ac:dyDescent="0.25">
      <c r="A119" s="39" t="s">
        <v>113</v>
      </c>
      <c r="B119" s="14">
        <f>(17*8*210)*B51</f>
        <v>0</v>
      </c>
      <c r="C119" s="7"/>
      <c r="D119" s="7"/>
      <c r="E119" s="7"/>
      <c r="F119" s="7"/>
      <c r="G119" s="7"/>
      <c r="H119" s="7">
        <f t="shared" si="51"/>
        <v>0</v>
      </c>
      <c r="I119" s="19"/>
      <c r="K119" s="7">
        <v>0</v>
      </c>
      <c r="M119" s="7">
        <f t="shared" si="28"/>
        <v>0</v>
      </c>
      <c r="O119" s="7">
        <v>65880</v>
      </c>
      <c r="Q119" s="7">
        <f t="shared" si="52"/>
        <v>-65880</v>
      </c>
    </row>
    <row r="120" spans="1:19" x14ac:dyDescent="0.25">
      <c r="A120" s="39" t="s">
        <v>60</v>
      </c>
      <c r="B120" s="7"/>
      <c r="C120" s="7"/>
      <c r="D120" s="7"/>
      <c r="E120" s="7"/>
      <c r="F120" s="7"/>
      <c r="G120" s="7"/>
      <c r="H120" s="7">
        <f t="shared" si="51"/>
        <v>0</v>
      </c>
      <c r="I120" s="19"/>
      <c r="K120" s="7">
        <v>0</v>
      </c>
      <c r="M120" s="7">
        <f t="shared" si="28"/>
        <v>0</v>
      </c>
      <c r="O120" s="7">
        <v>0</v>
      </c>
      <c r="Q120" s="7">
        <f t="shared" si="52"/>
        <v>0</v>
      </c>
    </row>
    <row r="121" spans="1:19" x14ac:dyDescent="0.25">
      <c r="A121" s="77" t="s">
        <v>114</v>
      </c>
      <c r="B121" s="78">
        <f>SUM(B107:B120)</f>
        <v>841035</v>
      </c>
      <c r="C121" s="78">
        <f t="shared" ref="C121:G121" si="54">SUM(C107:C120)</f>
        <v>50000</v>
      </c>
      <c r="D121" s="78">
        <f t="shared" si="54"/>
        <v>0</v>
      </c>
      <c r="E121" s="78">
        <f t="shared" si="54"/>
        <v>44350</v>
      </c>
      <c r="F121" s="78">
        <f t="shared" si="54"/>
        <v>80640</v>
      </c>
      <c r="G121" s="78">
        <f t="shared" si="54"/>
        <v>0</v>
      </c>
      <c r="H121" s="78">
        <f>SUM(H107:H120)</f>
        <v>1016025</v>
      </c>
      <c r="I121" s="10"/>
      <c r="J121" s="10"/>
      <c r="K121" s="78">
        <f>SUM(K107:K120)</f>
        <v>747820</v>
      </c>
      <c r="L121" s="10"/>
      <c r="M121" s="78">
        <f>SUM(M107:M120)</f>
        <v>268205</v>
      </c>
      <c r="N121" s="10"/>
      <c r="O121" s="78">
        <f>SUM(O107:O120)</f>
        <v>938440</v>
      </c>
      <c r="P121" s="10"/>
      <c r="Q121" s="78">
        <f>SUM(Q107:Q120)</f>
        <v>77585</v>
      </c>
    </row>
    <row r="122" spans="1:19" x14ac:dyDescent="0.25">
      <c r="A122" s="79" t="s">
        <v>115</v>
      </c>
      <c r="B122" s="60"/>
      <c r="C122" s="60"/>
      <c r="D122" s="60"/>
      <c r="E122" s="60"/>
      <c r="F122" s="60"/>
      <c r="G122" s="60"/>
      <c r="H122" s="61"/>
      <c r="I122" s="10"/>
      <c r="J122" s="10"/>
      <c r="K122" s="61"/>
      <c r="L122" s="10"/>
      <c r="M122" s="61">
        <f t="shared" si="28"/>
        <v>0</v>
      </c>
      <c r="N122" s="10"/>
      <c r="O122" s="61"/>
      <c r="P122" s="10"/>
      <c r="Q122" s="61">
        <f t="shared" si="50"/>
        <v>0</v>
      </c>
    </row>
    <row r="123" spans="1:19" x14ac:dyDescent="0.25">
      <c r="A123" s="39" t="s">
        <v>62</v>
      </c>
      <c r="B123" s="7">
        <v>0</v>
      </c>
      <c r="C123" s="7"/>
      <c r="D123" s="7"/>
      <c r="E123" s="7"/>
      <c r="F123" s="7"/>
      <c r="G123" s="7"/>
      <c r="H123" s="34">
        <f t="shared" ref="H123:H130" si="55">SUM(B123:G123)</f>
        <v>0</v>
      </c>
      <c r="I123" s="19"/>
      <c r="K123" s="34">
        <v>0</v>
      </c>
      <c r="M123" s="7">
        <f t="shared" si="28"/>
        <v>0</v>
      </c>
      <c r="O123" s="34">
        <v>0</v>
      </c>
      <c r="Q123" s="7">
        <f>H123-O123</f>
        <v>0</v>
      </c>
    </row>
    <row r="124" spans="1:19" x14ac:dyDescent="0.25">
      <c r="A124" s="39" t="s">
        <v>63</v>
      </c>
      <c r="B124" s="7">
        <v>0</v>
      </c>
      <c r="C124" s="7"/>
      <c r="D124" s="7"/>
      <c r="E124" s="7"/>
      <c r="F124" s="7"/>
      <c r="G124" s="7"/>
      <c r="H124" s="34">
        <f t="shared" si="55"/>
        <v>0</v>
      </c>
      <c r="I124" s="19"/>
      <c r="K124" s="34">
        <v>0</v>
      </c>
      <c r="M124" s="34">
        <f t="shared" si="28"/>
        <v>0</v>
      </c>
      <c r="O124" s="34">
        <v>0</v>
      </c>
      <c r="Q124" s="7">
        <f t="shared" ref="Q124:Q130" si="56">H124-O124</f>
        <v>0</v>
      </c>
    </row>
    <row r="125" spans="1:19" x14ac:dyDescent="0.25">
      <c r="A125" s="39" t="s">
        <v>64</v>
      </c>
      <c r="B125" s="7">
        <v>0</v>
      </c>
      <c r="C125" s="7"/>
      <c r="D125" s="7"/>
      <c r="E125" s="7"/>
      <c r="F125" s="7"/>
      <c r="G125" s="7"/>
      <c r="H125" s="7">
        <f t="shared" si="55"/>
        <v>0</v>
      </c>
      <c r="I125" s="19"/>
      <c r="K125" s="7">
        <v>0</v>
      </c>
      <c r="M125" s="7">
        <f t="shared" si="28"/>
        <v>0</v>
      </c>
      <c r="O125" s="7">
        <v>0</v>
      </c>
      <c r="Q125" s="7">
        <f t="shared" si="56"/>
        <v>0</v>
      </c>
    </row>
    <row r="126" spans="1:19" x14ac:dyDescent="0.25">
      <c r="A126" s="39" t="s">
        <v>116</v>
      </c>
      <c r="B126" s="7">
        <v>0</v>
      </c>
      <c r="C126" s="7"/>
      <c r="D126" s="7"/>
      <c r="E126" s="7"/>
      <c r="F126" s="7"/>
      <c r="G126" s="7"/>
      <c r="H126" s="34">
        <f t="shared" si="55"/>
        <v>0</v>
      </c>
      <c r="I126" s="19"/>
      <c r="K126" s="34">
        <v>0</v>
      </c>
      <c r="M126" s="34">
        <f t="shared" si="28"/>
        <v>0</v>
      </c>
      <c r="O126" s="34">
        <v>0</v>
      </c>
      <c r="Q126" s="7">
        <f t="shared" si="56"/>
        <v>0</v>
      </c>
    </row>
    <row r="127" spans="1:19" x14ac:dyDescent="0.25">
      <c r="A127" s="39" t="s">
        <v>66</v>
      </c>
      <c r="B127" s="7">
        <v>0</v>
      </c>
      <c r="C127" s="7"/>
      <c r="D127" s="7"/>
      <c r="E127" s="7"/>
      <c r="F127" s="7"/>
      <c r="G127" s="7"/>
      <c r="H127" s="34">
        <f t="shared" si="55"/>
        <v>0</v>
      </c>
      <c r="I127" s="19"/>
      <c r="K127" s="34">
        <v>0</v>
      </c>
      <c r="M127" s="34">
        <f t="shared" si="28"/>
        <v>0</v>
      </c>
      <c r="O127" s="34">
        <v>0</v>
      </c>
      <c r="Q127" s="7">
        <f t="shared" si="56"/>
        <v>0</v>
      </c>
    </row>
    <row r="128" spans="1:19" x14ac:dyDescent="0.25">
      <c r="A128" s="39" t="s">
        <v>117</v>
      </c>
      <c r="B128" s="7">
        <v>0</v>
      </c>
      <c r="C128" s="7"/>
      <c r="D128" s="7"/>
      <c r="E128" s="7"/>
      <c r="F128" s="7"/>
      <c r="G128" s="7"/>
      <c r="H128" s="34">
        <f t="shared" si="55"/>
        <v>0</v>
      </c>
      <c r="I128" s="19"/>
      <c r="K128" s="34">
        <v>0</v>
      </c>
      <c r="M128" s="34">
        <f t="shared" si="28"/>
        <v>0</v>
      </c>
      <c r="O128" s="34">
        <v>0</v>
      </c>
      <c r="Q128" s="7">
        <f t="shared" si="56"/>
        <v>0</v>
      </c>
    </row>
    <row r="129" spans="1:20" x14ac:dyDescent="0.25">
      <c r="A129" s="39" t="s">
        <v>118</v>
      </c>
      <c r="B129" s="7">
        <f>(12.5*6*185)*B52</f>
        <v>0</v>
      </c>
      <c r="C129" s="7">
        <f>(12.5*6*185)*C52</f>
        <v>0</v>
      </c>
      <c r="D129" s="7">
        <f>(24*8*200)*D52</f>
        <v>38400</v>
      </c>
      <c r="E129" s="7"/>
      <c r="F129" s="7"/>
      <c r="G129" s="7"/>
      <c r="H129" s="7">
        <f t="shared" si="55"/>
        <v>38400</v>
      </c>
      <c r="I129" s="19"/>
      <c r="K129" s="7">
        <v>24840</v>
      </c>
      <c r="M129" s="7">
        <f t="shared" si="28"/>
        <v>13560</v>
      </c>
      <c r="O129" s="7">
        <v>24840</v>
      </c>
      <c r="Q129" s="7">
        <f t="shared" si="56"/>
        <v>13560</v>
      </c>
    </row>
    <row r="130" spans="1:20" x14ac:dyDescent="0.25">
      <c r="A130" s="39" t="s">
        <v>67</v>
      </c>
      <c r="B130" s="46">
        <v>0</v>
      </c>
      <c r="C130" s="7"/>
      <c r="D130" s="7"/>
      <c r="E130" s="7"/>
      <c r="F130" s="7"/>
      <c r="G130" s="7">
        <v>0</v>
      </c>
      <c r="H130" s="34">
        <f t="shared" si="55"/>
        <v>0</v>
      </c>
      <c r="I130" s="19"/>
      <c r="K130" s="34">
        <v>0</v>
      </c>
      <c r="M130" s="7">
        <f t="shared" ref="M130:M140" si="57">H130-K130</f>
        <v>0</v>
      </c>
      <c r="O130" s="34">
        <v>0</v>
      </c>
      <c r="Q130" s="7">
        <f t="shared" si="56"/>
        <v>0</v>
      </c>
    </row>
    <row r="131" spans="1:20" x14ac:dyDescent="0.25">
      <c r="A131" s="80" t="s">
        <v>119</v>
      </c>
      <c r="B131" s="81">
        <f>SUM(B123:B130)</f>
        <v>0</v>
      </c>
      <c r="C131" s="81">
        <f>SUM(C123:C130)</f>
        <v>0</v>
      </c>
      <c r="D131" s="81">
        <f>SUM(D123:D130)</f>
        <v>38400</v>
      </c>
      <c r="E131" s="81">
        <f>SUM(E123:E130)</f>
        <v>0</v>
      </c>
      <c r="F131" s="81">
        <f t="shared" ref="F131" si="58">SUM(F123:F130)</f>
        <v>0</v>
      </c>
      <c r="G131" s="81"/>
      <c r="H131" s="81">
        <f>SUM(H123:H130)</f>
        <v>38400</v>
      </c>
      <c r="I131" s="25"/>
      <c r="J131" s="28"/>
      <c r="K131" s="81">
        <f>SUM(K123:K130)</f>
        <v>24840</v>
      </c>
      <c r="L131" s="10"/>
      <c r="M131" s="81">
        <f>SUM(M123:M130)</f>
        <v>13560</v>
      </c>
      <c r="N131" s="28"/>
      <c r="O131" s="81">
        <f>SUM(O123:O130)</f>
        <v>24840</v>
      </c>
      <c r="P131" s="10"/>
      <c r="Q131" s="81">
        <f>SUM(Q123:Q130)</f>
        <v>13560</v>
      </c>
    </row>
    <row r="132" spans="1:20" x14ac:dyDescent="0.25">
      <c r="A132" s="82" t="s">
        <v>120</v>
      </c>
      <c r="B132" s="83">
        <f>B121+B131</f>
        <v>841035</v>
      </c>
      <c r="C132" s="83">
        <f>C121+C131</f>
        <v>50000</v>
      </c>
      <c r="D132" s="83">
        <f>D121+D131</f>
        <v>38400</v>
      </c>
      <c r="E132" s="83">
        <f>E121+E131</f>
        <v>44350</v>
      </c>
      <c r="F132" s="83">
        <f t="shared" ref="F132:G132" si="59">F121+F131</f>
        <v>80640</v>
      </c>
      <c r="G132" s="83">
        <f t="shared" si="59"/>
        <v>0</v>
      </c>
      <c r="H132" s="83">
        <f>H121+H131</f>
        <v>1054425</v>
      </c>
      <c r="I132" s="28"/>
      <c r="J132" s="10"/>
      <c r="K132" s="83">
        <f>K121+K131</f>
        <v>772660</v>
      </c>
      <c r="L132" s="10"/>
      <c r="M132" s="83">
        <f>M121+M131</f>
        <v>281765</v>
      </c>
      <c r="N132" s="10"/>
      <c r="O132" s="83">
        <f>O121+O131</f>
        <v>963280</v>
      </c>
      <c r="P132" s="10"/>
      <c r="Q132" s="83">
        <f>Q121+Q131</f>
        <v>91145</v>
      </c>
    </row>
    <row r="133" spans="1:20" x14ac:dyDescent="0.25">
      <c r="A133" s="39" t="s">
        <v>121</v>
      </c>
      <c r="B133" s="63">
        <f>(B132-B109-58710)*0.335</f>
        <v>262078.87500000003</v>
      </c>
      <c r="C133" s="63">
        <f t="shared" ref="C133:F133" si="60">(C132-C109)*0.335</f>
        <v>16750</v>
      </c>
      <c r="D133" s="63">
        <f>(D132-D109)*0.335</f>
        <v>12864</v>
      </c>
      <c r="E133" s="63">
        <f>(E132-E109-E113)*0.335</f>
        <v>0</v>
      </c>
      <c r="F133" s="63">
        <f t="shared" si="60"/>
        <v>0</v>
      </c>
      <c r="G133" s="63">
        <f t="shared" ref="G133" si="61">G132*0.2975</f>
        <v>0</v>
      </c>
      <c r="H133" s="7">
        <f t="shared" ref="H133:H140" si="62">SUM(B133:G133)</f>
        <v>291692.875</v>
      </c>
      <c r="I133" s="84">
        <f>H133/H132</f>
        <v>0.27663691111269173</v>
      </c>
      <c r="J133" s="85"/>
      <c r="K133" s="7">
        <v>258841.1</v>
      </c>
      <c r="L133" s="85"/>
      <c r="M133" s="7">
        <f t="shared" si="57"/>
        <v>32851.774999999994</v>
      </c>
      <c r="N133" s="85"/>
      <c r="O133" s="7">
        <v>322698.8</v>
      </c>
      <c r="P133" s="85"/>
      <c r="Q133" s="7">
        <f>H133-O133</f>
        <v>-31005.924999999988</v>
      </c>
    </row>
    <row r="134" spans="1:20" x14ac:dyDescent="0.25">
      <c r="A134" s="86" t="s">
        <v>122</v>
      </c>
      <c r="B134" s="14">
        <f>(((6800*(B65*0.5))+((435*(B65*0.5)))+((60*(B65*0.5))+((50*(B65*0.6)))))+(B132*0.0145)+(B132*0.031))</f>
        <v>86074.592499999999</v>
      </c>
      <c r="C134" s="14">
        <f t="shared" ref="C134:F134" si="63">(((6800*(C65*0.5))+((435*(C65*0.5)))+((60*(C65*0.5))+((50*(C65*0.6)))))+(C132*0.0145)+(C132*0.031))</f>
        <v>5952.5</v>
      </c>
      <c r="D134" s="14">
        <f t="shared" si="63"/>
        <v>5424.7000000000007</v>
      </c>
      <c r="E134" s="14">
        <f t="shared" si="63"/>
        <v>5695.4249999999993</v>
      </c>
      <c r="F134" s="14">
        <f t="shared" si="63"/>
        <v>7346.62</v>
      </c>
      <c r="G134" s="14">
        <f t="shared" ref="G134" si="64">(((6800*(G65*0.8))+((435*(G65*0.8)))+((60*(G65*0.8))+((50*(G65*0.8)))))+(G132*0.0145)+(G132*0.031))</f>
        <v>0</v>
      </c>
      <c r="H134" s="7">
        <f t="shared" si="62"/>
        <v>110493.83749999999</v>
      </c>
      <c r="I134" s="84">
        <f>H134/H132</f>
        <v>0.10479060862555421</v>
      </c>
      <c r="J134" s="85"/>
      <c r="K134" s="7">
        <v>86641.03</v>
      </c>
      <c r="L134" s="85"/>
      <c r="M134" s="7">
        <f t="shared" si="57"/>
        <v>23852.807499999995</v>
      </c>
      <c r="N134" s="85"/>
      <c r="O134" s="7">
        <v>102669.23999999999</v>
      </c>
      <c r="P134" s="85"/>
      <c r="Q134" s="7">
        <f t="shared" ref="Q134:Q140" si="65">H134-O134</f>
        <v>7824.5975000000035</v>
      </c>
    </row>
    <row r="135" spans="1:20" x14ac:dyDescent="0.25">
      <c r="A135" s="39" t="s">
        <v>123</v>
      </c>
      <c r="B135" s="7">
        <f>(B36*1250)+(B39*2500*0)+(B40*2000*0)+(SUM(B41:B45)*1250)+(SUM(B46:B60)*500)</f>
        <v>12250</v>
      </c>
      <c r="C135" s="7">
        <f t="shared" ref="C135:G135" si="66">(C36*1250)+(C39*2500*0)+(C40*2000*0)+(SUM(C41:C45)*1250)+(SUM(C46:C60)*500)</f>
        <v>1250</v>
      </c>
      <c r="D135" s="7">
        <f t="shared" si="66"/>
        <v>500</v>
      </c>
      <c r="E135" s="7">
        <f t="shared" si="66"/>
        <v>1250</v>
      </c>
      <c r="F135" s="7">
        <v>0</v>
      </c>
      <c r="G135" s="7">
        <f t="shared" si="66"/>
        <v>0</v>
      </c>
      <c r="H135" s="7">
        <f t="shared" si="62"/>
        <v>15250</v>
      </c>
      <c r="I135" s="19"/>
      <c r="K135" s="7">
        <v>16250</v>
      </c>
      <c r="M135" s="7">
        <f t="shared" si="57"/>
        <v>-1000</v>
      </c>
      <c r="O135" s="7">
        <v>17250</v>
      </c>
      <c r="Q135" s="7">
        <f t="shared" si="65"/>
        <v>-2000</v>
      </c>
    </row>
    <row r="136" spans="1:20" x14ac:dyDescent="0.25">
      <c r="A136" s="86" t="s">
        <v>124</v>
      </c>
      <c r="B136" s="87">
        <f>125*B65+125*6</f>
        <v>2375</v>
      </c>
      <c r="C136" s="88">
        <f>125*C65</f>
        <v>125</v>
      </c>
      <c r="D136" s="88">
        <f t="shared" ref="D136:G136" si="67">125*D65</f>
        <v>125</v>
      </c>
      <c r="E136" s="88"/>
      <c r="F136" s="88">
        <v>0</v>
      </c>
      <c r="G136" s="88">
        <f t="shared" si="67"/>
        <v>0</v>
      </c>
      <c r="H136" s="7">
        <f t="shared" si="62"/>
        <v>2625</v>
      </c>
      <c r="I136" s="19"/>
      <c r="K136" s="7">
        <v>2375</v>
      </c>
      <c r="M136" s="7">
        <f t="shared" si="57"/>
        <v>250</v>
      </c>
      <c r="O136" s="7">
        <v>2625</v>
      </c>
      <c r="Q136" s="7">
        <f t="shared" si="65"/>
        <v>0</v>
      </c>
    </row>
    <row r="137" spans="1:20" x14ac:dyDescent="0.25">
      <c r="A137" s="39" t="s">
        <v>125</v>
      </c>
      <c r="B137" s="7">
        <f>(30*2*32)+(30*2*32)+(30*2*32)+(30*1*32)+(30*4*32)+(30*4*32)+(30*4*32)</f>
        <v>18240</v>
      </c>
      <c r="C137" s="14"/>
      <c r="D137" s="14"/>
      <c r="E137" s="14"/>
      <c r="F137" s="14">
        <v>0</v>
      </c>
      <c r="G137" s="14"/>
      <c r="H137" s="7">
        <f t="shared" si="62"/>
        <v>18240</v>
      </c>
      <c r="I137" s="19"/>
      <c r="K137" s="7">
        <v>14577</v>
      </c>
      <c r="M137" s="7">
        <f t="shared" si="57"/>
        <v>3663</v>
      </c>
      <c r="O137" s="7">
        <v>14577</v>
      </c>
      <c r="Q137" s="7">
        <f t="shared" si="65"/>
        <v>3663</v>
      </c>
    </row>
    <row r="138" spans="1:20" x14ac:dyDescent="0.25">
      <c r="A138" s="39" t="s">
        <v>126</v>
      </c>
      <c r="B138" s="7"/>
      <c r="C138" s="14"/>
      <c r="D138" s="14"/>
      <c r="E138" s="14"/>
      <c r="F138" s="14"/>
      <c r="G138" s="14"/>
      <c r="H138" s="7">
        <f t="shared" si="62"/>
        <v>0</v>
      </c>
      <c r="I138" s="19"/>
      <c r="K138" s="7">
        <v>0</v>
      </c>
      <c r="M138" s="7">
        <f t="shared" si="57"/>
        <v>0</v>
      </c>
      <c r="O138" s="7">
        <v>0</v>
      </c>
      <c r="Q138" s="7">
        <f t="shared" si="65"/>
        <v>0</v>
      </c>
      <c r="T138" s="89"/>
    </row>
    <row r="139" spans="1:20" x14ac:dyDescent="0.25">
      <c r="A139" s="39" t="s">
        <v>127</v>
      </c>
      <c r="B139" s="14">
        <v>5000</v>
      </c>
      <c r="C139" s="14"/>
      <c r="D139" s="14"/>
      <c r="E139" s="14"/>
      <c r="F139" s="14"/>
      <c r="G139" s="14"/>
      <c r="H139" s="7">
        <f t="shared" si="62"/>
        <v>5000</v>
      </c>
      <c r="I139" s="19"/>
      <c r="K139" s="7">
        <v>5000</v>
      </c>
      <c r="M139" s="7">
        <f t="shared" si="57"/>
        <v>0</v>
      </c>
      <c r="O139" s="7">
        <v>5000</v>
      </c>
      <c r="Q139" s="7">
        <f t="shared" si="65"/>
        <v>0</v>
      </c>
      <c r="T139" s="89"/>
    </row>
    <row r="140" spans="1:20" x14ac:dyDescent="0.25">
      <c r="A140" s="39" t="s">
        <v>128</v>
      </c>
      <c r="B140" s="46">
        <f>(185*11*B36)-B130</f>
        <v>16280</v>
      </c>
      <c r="C140" s="46">
        <f t="shared" ref="C140:G140" si="68">(185*11*C36)-C130</f>
        <v>2035</v>
      </c>
      <c r="D140" s="46">
        <f t="shared" si="68"/>
        <v>0</v>
      </c>
      <c r="E140" s="46">
        <f t="shared" si="68"/>
        <v>0</v>
      </c>
      <c r="F140" s="46">
        <f t="shared" si="68"/>
        <v>0</v>
      </c>
      <c r="G140" s="46">
        <f t="shared" si="68"/>
        <v>0</v>
      </c>
      <c r="H140" s="7">
        <f t="shared" si="62"/>
        <v>18315</v>
      </c>
      <c r="I140" s="19" t="s">
        <v>129</v>
      </c>
      <c r="K140" s="7">
        <v>16280</v>
      </c>
      <c r="M140" s="7">
        <f t="shared" si="57"/>
        <v>2035</v>
      </c>
      <c r="O140" s="7">
        <v>16280</v>
      </c>
      <c r="Q140" s="7">
        <f t="shared" si="65"/>
        <v>2035</v>
      </c>
    </row>
    <row r="141" spans="1:20" x14ac:dyDescent="0.25">
      <c r="A141" s="90" t="s">
        <v>130</v>
      </c>
      <c r="B141" s="91">
        <f>SUM(B133:B140)</f>
        <v>402298.46750000003</v>
      </c>
      <c r="C141" s="91">
        <f t="shared" ref="C141:G141" si="69">SUM(C133:C140)</f>
        <v>26112.5</v>
      </c>
      <c r="D141" s="91">
        <f t="shared" si="69"/>
        <v>18913.7</v>
      </c>
      <c r="E141" s="91">
        <f t="shared" si="69"/>
        <v>6945.4249999999993</v>
      </c>
      <c r="F141" s="91">
        <f t="shared" si="69"/>
        <v>7346.62</v>
      </c>
      <c r="G141" s="91">
        <f t="shared" si="69"/>
        <v>0</v>
      </c>
      <c r="H141" s="91">
        <f>SUM(H133:H140)</f>
        <v>461616.71250000002</v>
      </c>
      <c r="I141" s="10"/>
      <c r="J141" s="10"/>
      <c r="K141" s="91">
        <f>SUM(K133:K140)</f>
        <v>399964.13</v>
      </c>
      <c r="L141" s="10"/>
      <c r="M141" s="91">
        <f>SUM(M133:M140)</f>
        <v>61652.58249999999</v>
      </c>
      <c r="N141" s="10"/>
      <c r="O141" s="91">
        <f>SUM(O133:O140)</f>
        <v>481100.04</v>
      </c>
      <c r="P141" s="10"/>
      <c r="Q141" s="91">
        <f>SUM(Q133:Q140)</f>
        <v>-19483.327499999985</v>
      </c>
    </row>
    <row r="142" spans="1:20" x14ac:dyDescent="0.25">
      <c r="A142" s="82" t="s">
        <v>131</v>
      </c>
      <c r="B142" s="83">
        <f>B132+B141</f>
        <v>1243333.4675</v>
      </c>
      <c r="C142" s="83">
        <f>C132+C141</f>
        <v>76112.5</v>
      </c>
      <c r="D142" s="83">
        <f>D132+D141</f>
        <v>57313.7</v>
      </c>
      <c r="E142" s="83">
        <f>E132+E141</f>
        <v>51295.425000000003</v>
      </c>
      <c r="F142" s="83">
        <f t="shared" ref="F142:G142" si="70">F132+F141</f>
        <v>87986.62</v>
      </c>
      <c r="G142" s="83">
        <f t="shared" si="70"/>
        <v>0</v>
      </c>
      <c r="H142" s="83">
        <f>H132+H141</f>
        <v>1516041.7124999999</v>
      </c>
      <c r="I142" s="10"/>
      <c r="J142" s="10"/>
      <c r="K142" s="83">
        <f>K132+K141</f>
        <v>1172624.1299999999</v>
      </c>
      <c r="L142" s="10"/>
      <c r="M142" s="83">
        <f>M132+M141</f>
        <v>343417.58250000002</v>
      </c>
      <c r="N142" s="10"/>
      <c r="O142" s="83">
        <f>O132+O141</f>
        <v>1444380.04</v>
      </c>
      <c r="P142" s="10"/>
      <c r="Q142" s="83">
        <f>Q132+Q141</f>
        <v>71661.672500000015</v>
      </c>
    </row>
    <row r="143" spans="1:20" x14ac:dyDescent="0.25">
      <c r="A143" s="92" t="s">
        <v>132</v>
      </c>
      <c r="B143" s="24" t="str">
        <f>B1</f>
        <v>Operating</v>
      </c>
      <c r="C143" s="24" t="str">
        <f>C1</f>
        <v>SPED</v>
      </c>
      <c r="D143" s="24" t="str">
        <f>D1</f>
        <v>NSLP</v>
      </c>
      <c r="E143" s="24" t="str">
        <f>E1</f>
        <v>Other</v>
      </c>
      <c r="F143" s="24" t="str">
        <f t="shared" ref="F143:G143" si="71">F1</f>
        <v>Title I</v>
      </c>
      <c r="G143" s="24" t="str">
        <f t="shared" si="71"/>
        <v>Title II/III/IV</v>
      </c>
      <c r="H143" s="24" t="str">
        <f>H1</f>
        <v>Total (24-25)</v>
      </c>
      <c r="I143" s="10"/>
      <c r="J143" s="10"/>
      <c r="K143" s="24" t="s">
        <v>7</v>
      </c>
      <c r="L143" s="10"/>
      <c r="M143" s="24" t="str">
        <f>M1</f>
        <v>Variance</v>
      </c>
      <c r="N143" s="10"/>
      <c r="O143" s="24" t="s">
        <v>7</v>
      </c>
      <c r="P143" s="10"/>
      <c r="Q143" s="24" t="str">
        <f>Q1</f>
        <v>Variance</v>
      </c>
    </row>
    <row r="144" spans="1:20" x14ac:dyDescent="0.25">
      <c r="A144" s="93" t="s">
        <v>133</v>
      </c>
      <c r="B144" s="14">
        <v>6500</v>
      </c>
      <c r="C144" s="14"/>
      <c r="D144" s="14"/>
      <c r="E144" s="14"/>
      <c r="F144" s="14"/>
      <c r="G144" s="14"/>
      <c r="H144" s="7">
        <f t="shared" ref="H144:H153" si="72">SUM(B144:G144)</f>
        <v>6500</v>
      </c>
      <c r="I144" s="8" t="s">
        <v>134</v>
      </c>
      <c r="K144" s="7">
        <v>28350</v>
      </c>
      <c r="M144" s="7">
        <f t="shared" ref="M144:M153" si="73">H144-K144</f>
        <v>-21850</v>
      </c>
      <c r="O144" s="7">
        <v>28350</v>
      </c>
      <c r="Q144" s="7">
        <f>H144-O144</f>
        <v>-21850</v>
      </c>
    </row>
    <row r="145" spans="1:20" x14ac:dyDescent="0.25">
      <c r="A145" s="94" t="s">
        <v>135</v>
      </c>
      <c r="B145" s="14">
        <v>0</v>
      </c>
      <c r="C145" s="14"/>
      <c r="D145" s="14"/>
      <c r="E145" s="14"/>
      <c r="F145" s="14"/>
      <c r="G145" s="14"/>
      <c r="H145" s="7">
        <f t="shared" si="72"/>
        <v>0</v>
      </c>
      <c r="I145" s="19"/>
      <c r="K145" s="7">
        <v>5000</v>
      </c>
      <c r="M145" s="7">
        <f t="shared" si="73"/>
        <v>-5000</v>
      </c>
      <c r="O145" s="7">
        <v>5000</v>
      </c>
      <c r="Q145" s="7">
        <f t="shared" ref="Q145:Q153" si="74">H145-O145</f>
        <v>-5000</v>
      </c>
    </row>
    <row r="146" spans="1:20" x14ac:dyDescent="0.25">
      <c r="A146" s="39" t="s">
        <v>136</v>
      </c>
      <c r="B146" s="14">
        <v>15000</v>
      </c>
      <c r="C146" s="14"/>
      <c r="D146" s="14"/>
      <c r="E146" s="14"/>
      <c r="F146" s="14"/>
      <c r="G146" s="14"/>
      <c r="H146" s="7">
        <f t="shared" si="72"/>
        <v>15000</v>
      </c>
      <c r="I146" s="19" t="s">
        <v>137</v>
      </c>
      <c r="K146" s="7">
        <v>0</v>
      </c>
      <c r="M146" s="7">
        <f t="shared" si="73"/>
        <v>15000</v>
      </c>
      <c r="O146" s="7">
        <v>0</v>
      </c>
      <c r="Q146" s="7">
        <f t="shared" si="74"/>
        <v>15000</v>
      </c>
      <c r="T146" s="10">
        <f>2432.58*12</f>
        <v>29190.959999999999</v>
      </c>
    </row>
    <row r="147" spans="1:20" x14ac:dyDescent="0.25">
      <c r="A147" s="39" t="s">
        <v>138</v>
      </c>
      <c r="B147" s="14">
        <f>30*B17</f>
        <v>3330</v>
      </c>
      <c r="C147" s="14"/>
      <c r="D147" s="14"/>
      <c r="E147" s="14"/>
      <c r="F147" s="14"/>
      <c r="G147" s="14"/>
      <c r="H147" s="7">
        <f t="shared" si="72"/>
        <v>3330</v>
      </c>
      <c r="I147" s="8" t="s">
        <v>139</v>
      </c>
      <c r="K147" s="7">
        <v>4050</v>
      </c>
      <c r="M147" s="7">
        <f t="shared" si="73"/>
        <v>-720</v>
      </c>
      <c r="O147" s="7">
        <v>4050</v>
      </c>
      <c r="Q147" s="7">
        <f t="shared" si="74"/>
        <v>-720</v>
      </c>
    </row>
    <row r="148" spans="1:20" x14ac:dyDescent="0.25">
      <c r="A148" s="39" t="s">
        <v>140</v>
      </c>
      <c r="B148" s="14">
        <v>9500</v>
      </c>
      <c r="C148" s="14"/>
      <c r="D148" s="14"/>
      <c r="E148" s="14"/>
      <c r="F148" s="14"/>
      <c r="G148" s="14"/>
      <c r="H148" s="7">
        <f t="shared" si="72"/>
        <v>9500</v>
      </c>
      <c r="I148" s="8" t="s">
        <v>141</v>
      </c>
      <c r="K148" s="7">
        <v>5400</v>
      </c>
      <c r="M148" s="7">
        <f t="shared" si="73"/>
        <v>4100</v>
      </c>
      <c r="O148" s="7">
        <v>5400</v>
      </c>
      <c r="Q148" s="7">
        <f t="shared" si="74"/>
        <v>4100</v>
      </c>
    </row>
    <row r="149" spans="1:20" x14ac:dyDescent="0.25">
      <c r="A149" s="39" t="s">
        <v>142</v>
      </c>
      <c r="B149" s="14">
        <f>10*B17</f>
        <v>1110</v>
      </c>
      <c r="C149" s="14"/>
      <c r="D149" s="14"/>
      <c r="E149" s="14"/>
      <c r="F149" s="14"/>
      <c r="G149" s="14"/>
      <c r="H149" s="7">
        <f t="shared" si="72"/>
        <v>1110</v>
      </c>
      <c r="I149" s="8" t="s">
        <v>143</v>
      </c>
      <c r="K149" s="7">
        <v>1350</v>
      </c>
      <c r="M149" s="7">
        <f t="shared" si="73"/>
        <v>-240</v>
      </c>
      <c r="O149" s="7">
        <v>1350</v>
      </c>
      <c r="Q149" s="7">
        <f t="shared" si="74"/>
        <v>-240</v>
      </c>
    </row>
    <row r="150" spans="1:20" x14ac:dyDescent="0.25">
      <c r="A150" s="39" t="s">
        <v>144</v>
      </c>
      <c r="B150" s="7">
        <f>8*B17</f>
        <v>888</v>
      </c>
      <c r="C150" s="14"/>
      <c r="D150" s="14"/>
      <c r="E150" s="14"/>
      <c r="F150" s="14"/>
      <c r="G150" s="14"/>
      <c r="H150" s="7">
        <f t="shared" si="72"/>
        <v>888</v>
      </c>
      <c r="I150" s="8" t="s">
        <v>145</v>
      </c>
      <c r="K150" s="7">
        <v>1080</v>
      </c>
      <c r="M150" s="7">
        <f t="shared" si="73"/>
        <v>-192</v>
      </c>
      <c r="O150" s="7">
        <v>1080</v>
      </c>
      <c r="Q150" s="7">
        <f t="shared" si="74"/>
        <v>-192</v>
      </c>
    </row>
    <row r="151" spans="1:20" x14ac:dyDescent="0.25">
      <c r="A151" s="39" t="s">
        <v>146</v>
      </c>
      <c r="B151" s="7">
        <f>129*B20</f>
        <v>0</v>
      </c>
      <c r="C151" s="14">
        <f>150*(C20)</f>
        <v>2550</v>
      </c>
      <c r="D151" s="14"/>
      <c r="E151" s="14"/>
      <c r="F151" s="14"/>
      <c r="G151" s="14"/>
      <c r="H151" s="7">
        <f t="shared" si="72"/>
        <v>2550</v>
      </c>
      <c r="I151" s="8" t="s">
        <v>147</v>
      </c>
      <c r="K151" s="7">
        <v>2550</v>
      </c>
      <c r="M151" s="7">
        <f t="shared" si="73"/>
        <v>0</v>
      </c>
      <c r="O151" s="7">
        <v>2550</v>
      </c>
      <c r="Q151" s="7">
        <f t="shared" si="74"/>
        <v>0</v>
      </c>
    </row>
    <row r="152" spans="1:20" x14ac:dyDescent="0.25">
      <c r="A152" s="39" t="s">
        <v>148</v>
      </c>
      <c r="B152" s="7">
        <v>7500</v>
      </c>
      <c r="C152" s="7"/>
      <c r="D152" s="7"/>
      <c r="E152" s="7"/>
      <c r="F152" s="7"/>
      <c r="G152" s="7"/>
      <c r="H152" s="7">
        <f t="shared" si="72"/>
        <v>7500</v>
      </c>
      <c r="I152" s="19"/>
      <c r="K152" s="7">
        <v>7500</v>
      </c>
      <c r="M152" s="7">
        <f t="shared" si="73"/>
        <v>0</v>
      </c>
      <c r="O152" s="7">
        <v>7500</v>
      </c>
      <c r="Q152" s="7">
        <f t="shared" si="74"/>
        <v>0</v>
      </c>
    </row>
    <row r="153" spans="1:20" x14ac:dyDescent="0.25">
      <c r="A153" s="95" t="s">
        <v>149</v>
      </c>
      <c r="B153" s="96">
        <f>6705</f>
        <v>6705</v>
      </c>
      <c r="C153" s="7"/>
      <c r="D153" s="7"/>
      <c r="E153" s="7"/>
      <c r="F153" s="7"/>
      <c r="G153" s="7"/>
      <c r="H153" s="7">
        <f t="shared" si="72"/>
        <v>6705</v>
      </c>
      <c r="I153" s="19" t="s">
        <v>150</v>
      </c>
      <c r="K153" s="7">
        <v>6705</v>
      </c>
      <c r="M153" s="7">
        <f t="shared" si="73"/>
        <v>0</v>
      </c>
      <c r="O153" s="7">
        <v>6705</v>
      </c>
      <c r="Q153" s="7">
        <f t="shared" si="74"/>
        <v>0</v>
      </c>
    </row>
    <row r="154" spans="1:20" x14ac:dyDescent="0.25">
      <c r="A154" s="82" t="s">
        <v>151</v>
      </c>
      <c r="B154" s="83">
        <f>SUM(B144:B153)</f>
        <v>50533</v>
      </c>
      <c r="C154" s="83">
        <f t="shared" ref="C154:G154" si="75">SUM(C144:C153)</f>
        <v>2550</v>
      </c>
      <c r="D154" s="83">
        <f t="shared" si="75"/>
        <v>0</v>
      </c>
      <c r="E154" s="83">
        <f t="shared" si="75"/>
        <v>0</v>
      </c>
      <c r="F154" s="83">
        <f t="shared" si="75"/>
        <v>0</v>
      </c>
      <c r="G154" s="83">
        <f t="shared" si="75"/>
        <v>0</v>
      </c>
      <c r="H154" s="83">
        <f>SUM(H144:H153)</f>
        <v>53083</v>
      </c>
      <c r="I154" s="10"/>
      <c r="J154" s="10"/>
      <c r="K154" s="83">
        <f>SUM(K144:K153)</f>
        <v>61985</v>
      </c>
      <c r="L154" s="10"/>
      <c r="M154" s="83">
        <f>SUM(M144:M153)</f>
        <v>-8902</v>
      </c>
      <c r="N154" s="10"/>
      <c r="O154" s="83">
        <f>SUM(O144:O153)</f>
        <v>61985</v>
      </c>
      <c r="P154" s="10"/>
      <c r="Q154" s="83">
        <f>SUM(Q144:Q153)</f>
        <v>-8902</v>
      </c>
    </row>
    <row r="155" spans="1:20" x14ac:dyDescent="0.25">
      <c r="A155" s="92" t="s">
        <v>152</v>
      </c>
      <c r="B155" s="24" t="str">
        <f t="shared" ref="B155:H155" si="76">B1</f>
        <v>Operating</v>
      </c>
      <c r="C155" s="24" t="str">
        <f t="shared" si="76"/>
        <v>SPED</v>
      </c>
      <c r="D155" s="24" t="str">
        <f t="shared" si="76"/>
        <v>NSLP</v>
      </c>
      <c r="E155" s="24" t="str">
        <f t="shared" si="76"/>
        <v>Other</v>
      </c>
      <c r="F155" s="24" t="str">
        <f t="shared" si="76"/>
        <v>Title I</v>
      </c>
      <c r="G155" s="24" t="str">
        <f t="shared" si="76"/>
        <v>Title II/III/IV</v>
      </c>
      <c r="H155" s="24" t="str">
        <f t="shared" si="76"/>
        <v>Total (24-25)</v>
      </c>
      <c r="I155" s="10"/>
      <c r="J155" s="10"/>
      <c r="K155" s="24" t="s">
        <v>7</v>
      </c>
      <c r="L155" s="10"/>
      <c r="M155" s="24" t="str">
        <f>M1</f>
        <v>Variance</v>
      </c>
      <c r="N155" s="10"/>
      <c r="O155" s="24" t="s">
        <v>7</v>
      </c>
      <c r="P155" s="10"/>
      <c r="Q155" s="24" t="str">
        <f>Q1</f>
        <v>Variance</v>
      </c>
    </row>
    <row r="156" spans="1:20" x14ac:dyDescent="0.25">
      <c r="A156" s="39" t="s">
        <v>153</v>
      </c>
      <c r="B156" s="14">
        <v>10000</v>
      </c>
      <c r="C156" s="14"/>
      <c r="D156" s="14"/>
      <c r="E156" s="14"/>
      <c r="F156" s="14"/>
      <c r="G156" s="14"/>
      <c r="H156" s="7">
        <f t="shared" ref="H156:H169" si="77">SUM(B156:G156)</f>
        <v>10000</v>
      </c>
      <c r="I156" s="19"/>
      <c r="K156" s="7">
        <v>8400</v>
      </c>
      <c r="M156" s="7">
        <f t="shared" ref="M156:M196" si="78">H156-K156</f>
        <v>1600</v>
      </c>
      <c r="O156" s="7">
        <v>8400</v>
      </c>
      <c r="Q156" s="7">
        <f>H156-O156</f>
        <v>1600</v>
      </c>
    </row>
    <row r="157" spans="1:20" x14ac:dyDescent="0.25">
      <c r="A157" s="39" t="s">
        <v>154</v>
      </c>
      <c r="B157" s="14">
        <v>0</v>
      </c>
      <c r="C157" s="14">
        <f>425*B17</f>
        <v>47175</v>
      </c>
      <c r="D157" s="7"/>
      <c r="E157" s="7"/>
      <c r="F157" s="7"/>
      <c r="G157" s="7"/>
      <c r="H157" s="7">
        <f t="shared" si="77"/>
        <v>47175</v>
      </c>
      <c r="I157" s="19" t="s">
        <v>155</v>
      </c>
      <c r="K157" s="7">
        <v>57375</v>
      </c>
      <c r="M157" s="7">
        <f t="shared" si="78"/>
        <v>-10200</v>
      </c>
      <c r="O157" s="7">
        <v>57375</v>
      </c>
      <c r="Q157" s="7">
        <f t="shared" ref="Q157:Q169" si="79">H157-O157</f>
        <v>-10200</v>
      </c>
    </row>
    <row r="158" spans="1:20" x14ac:dyDescent="0.25">
      <c r="A158" s="39" t="s">
        <v>156</v>
      </c>
      <c r="B158" s="14">
        <f>7500*10</f>
        <v>75000</v>
      </c>
      <c r="C158" s="7"/>
      <c r="D158" s="7"/>
      <c r="E158" s="7"/>
      <c r="F158" s="7"/>
      <c r="G158" s="7"/>
      <c r="H158" s="7">
        <f t="shared" si="77"/>
        <v>75000</v>
      </c>
      <c r="I158" s="19" t="s">
        <v>157</v>
      </c>
      <c r="K158" s="7">
        <v>62370</v>
      </c>
      <c r="M158" s="7">
        <f t="shared" si="78"/>
        <v>12630</v>
      </c>
      <c r="O158" s="7">
        <v>62370</v>
      </c>
      <c r="Q158" s="7">
        <f t="shared" si="79"/>
        <v>12630</v>
      </c>
    </row>
    <row r="159" spans="1:20" x14ac:dyDescent="0.25">
      <c r="A159" s="39" t="s">
        <v>158</v>
      </c>
      <c r="B159" s="14">
        <v>50000</v>
      </c>
      <c r="C159" s="7"/>
      <c r="D159" s="7"/>
      <c r="E159" s="7"/>
      <c r="F159" s="7"/>
      <c r="G159" s="7"/>
      <c r="H159" s="7">
        <f t="shared" si="77"/>
        <v>50000</v>
      </c>
      <c r="I159" s="19"/>
      <c r="K159" s="7">
        <v>0</v>
      </c>
      <c r="M159" s="7">
        <f t="shared" si="78"/>
        <v>50000</v>
      </c>
      <c r="O159" s="7">
        <v>50000</v>
      </c>
      <c r="Q159" s="7">
        <f t="shared" si="79"/>
        <v>0</v>
      </c>
    </row>
    <row r="160" spans="1:20" x14ac:dyDescent="0.25">
      <c r="A160" s="39" t="s">
        <v>159</v>
      </c>
      <c r="B160" s="14">
        <f>495*B17</f>
        <v>54945</v>
      </c>
      <c r="C160" s="7"/>
      <c r="D160" s="7"/>
      <c r="E160" s="7"/>
      <c r="F160" s="7"/>
      <c r="G160" s="7"/>
      <c r="H160" s="7">
        <f t="shared" si="77"/>
        <v>54945</v>
      </c>
      <c r="I160" s="19" t="s">
        <v>160</v>
      </c>
      <c r="K160" s="7">
        <v>66825</v>
      </c>
      <c r="M160" s="7">
        <f t="shared" si="78"/>
        <v>-11880</v>
      </c>
      <c r="O160" s="7">
        <v>66825</v>
      </c>
      <c r="Q160" s="7">
        <f t="shared" si="79"/>
        <v>-11880</v>
      </c>
    </row>
    <row r="161" spans="1:18" x14ac:dyDescent="0.25">
      <c r="A161" s="39" t="s">
        <v>161</v>
      </c>
      <c r="B161" s="14">
        <f>6813</f>
        <v>6813</v>
      </c>
      <c r="C161" s="14"/>
      <c r="D161" s="14"/>
      <c r="E161" s="14"/>
      <c r="F161" s="14"/>
      <c r="G161" s="14">
        <f>(240*G65)</f>
        <v>0</v>
      </c>
      <c r="H161" s="7">
        <f t="shared" si="77"/>
        <v>6813</v>
      </c>
      <c r="I161" s="19" t="s">
        <v>162</v>
      </c>
      <c r="K161" s="7">
        <v>7773</v>
      </c>
      <c r="M161" s="7">
        <f t="shared" si="78"/>
        <v>-960</v>
      </c>
      <c r="O161" s="7">
        <v>7773</v>
      </c>
      <c r="Q161" s="7">
        <f t="shared" si="79"/>
        <v>-960</v>
      </c>
    </row>
    <row r="162" spans="1:18" x14ac:dyDescent="0.25">
      <c r="A162" s="39" t="s">
        <v>163</v>
      </c>
      <c r="B162" s="14">
        <f>25000+5000</f>
        <v>30000</v>
      </c>
      <c r="C162" s="7"/>
      <c r="D162" s="7"/>
      <c r="E162" s="7"/>
      <c r="F162" s="7"/>
      <c r="G162" s="7"/>
      <c r="H162" s="7">
        <f t="shared" si="77"/>
        <v>30000</v>
      </c>
      <c r="I162" s="19" t="s">
        <v>164</v>
      </c>
      <c r="K162" s="7">
        <v>65000</v>
      </c>
      <c r="M162" s="7">
        <f t="shared" si="78"/>
        <v>-35000</v>
      </c>
      <c r="O162" s="7">
        <v>65000</v>
      </c>
      <c r="Q162" s="7">
        <f t="shared" si="79"/>
        <v>-35000</v>
      </c>
    </row>
    <row r="163" spans="1:18" x14ac:dyDescent="0.25">
      <c r="A163" s="39" t="s">
        <v>165</v>
      </c>
      <c r="B163" s="7">
        <f>25000+10000</f>
        <v>35000</v>
      </c>
      <c r="C163" s="7"/>
      <c r="D163" s="7"/>
      <c r="E163" s="7"/>
      <c r="F163" s="7"/>
      <c r="G163" s="7"/>
      <c r="H163" s="7">
        <f t="shared" si="77"/>
        <v>35000</v>
      </c>
      <c r="I163" s="19"/>
      <c r="K163" s="7">
        <v>1500</v>
      </c>
      <c r="M163" s="7">
        <f t="shared" si="78"/>
        <v>33500</v>
      </c>
      <c r="O163" s="7">
        <v>1500</v>
      </c>
      <c r="Q163" s="7">
        <f t="shared" si="79"/>
        <v>33500</v>
      </c>
    </row>
    <row r="164" spans="1:18" x14ac:dyDescent="0.25">
      <c r="A164" s="39" t="s">
        <v>166</v>
      </c>
      <c r="B164" s="14">
        <f>48*B17+(60*12)</f>
        <v>6048</v>
      </c>
      <c r="C164" s="7"/>
      <c r="D164" s="7"/>
      <c r="E164" s="7"/>
      <c r="F164" s="7"/>
      <c r="G164" s="7"/>
      <c r="H164" s="7">
        <f t="shared" si="77"/>
        <v>6048</v>
      </c>
      <c r="I164" s="19" t="s">
        <v>167</v>
      </c>
      <c r="K164" s="7">
        <v>7200</v>
      </c>
      <c r="M164" s="7">
        <f t="shared" si="78"/>
        <v>-1152</v>
      </c>
      <c r="O164" s="7">
        <v>7200</v>
      </c>
      <c r="Q164" s="7">
        <f t="shared" si="79"/>
        <v>-1152</v>
      </c>
      <c r="R164" s="25"/>
    </row>
    <row r="165" spans="1:18" x14ac:dyDescent="0.25">
      <c r="A165" s="39" t="s">
        <v>168</v>
      </c>
      <c r="B165" s="14">
        <v>15000</v>
      </c>
      <c r="C165" s="7"/>
      <c r="D165" s="7"/>
      <c r="E165" s="7"/>
      <c r="F165" s="7"/>
      <c r="G165" s="7"/>
      <c r="H165" s="7">
        <f t="shared" si="77"/>
        <v>15000</v>
      </c>
      <c r="I165" s="19"/>
      <c r="K165" s="7">
        <v>10000</v>
      </c>
      <c r="M165" s="7">
        <f t="shared" si="78"/>
        <v>5000</v>
      </c>
      <c r="O165" s="7">
        <v>10000</v>
      </c>
      <c r="Q165" s="7">
        <f t="shared" si="79"/>
        <v>5000</v>
      </c>
    </row>
    <row r="166" spans="1:18" x14ac:dyDescent="0.25">
      <c r="A166" s="39" t="s">
        <v>169</v>
      </c>
      <c r="B166" s="14">
        <f>(B74+B75+B76+B77)*0.0125</f>
        <v>15844.9375</v>
      </c>
      <c r="C166" s="7"/>
      <c r="D166" s="7"/>
      <c r="E166" s="7"/>
      <c r="F166" s="7"/>
      <c r="G166" s="7"/>
      <c r="H166" s="7">
        <f t="shared" si="77"/>
        <v>15844.9375</v>
      </c>
      <c r="I166" s="97">
        <v>1.2500000000000001E-2</v>
      </c>
      <c r="J166" s="98"/>
      <c r="K166" s="7">
        <v>18669.100000000002</v>
      </c>
      <c r="L166" s="98"/>
      <c r="M166" s="7">
        <f t="shared" si="78"/>
        <v>-2824.1625000000022</v>
      </c>
      <c r="N166" s="98"/>
      <c r="O166" s="7">
        <v>18669.100000000002</v>
      </c>
      <c r="P166" s="98"/>
      <c r="Q166" s="7">
        <f t="shared" si="79"/>
        <v>-2824.1625000000022</v>
      </c>
      <c r="R166" s="89"/>
    </row>
    <row r="167" spans="1:18" x14ac:dyDescent="0.25">
      <c r="A167" s="39" t="s">
        <v>170</v>
      </c>
      <c r="B167" s="14">
        <v>0</v>
      </c>
      <c r="C167" s="7"/>
      <c r="D167" s="7"/>
      <c r="E167" s="7"/>
      <c r="F167" s="7"/>
      <c r="G167" s="7"/>
      <c r="H167" s="7">
        <f t="shared" si="77"/>
        <v>0</v>
      </c>
      <c r="I167" s="97" t="s">
        <v>171</v>
      </c>
      <c r="J167" s="98"/>
      <c r="K167" s="7">
        <v>10000</v>
      </c>
      <c r="L167" s="98"/>
      <c r="M167" s="7">
        <f t="shared" si="78"/>
        <v>-10000</v>
      </c>
      <c r="N167" s="98"/>
      <c r="O167" s="7">
        <v>10000</v>
      </c>
      <c r="P167" s="98"/>
      <c r="Q167" s="7">
        <f t="shared" si="79"/>
        <v>-10000</v>
      </c>
      <c r="R167" s="89"/>
    </row>
    <row r="168" spans="1:18" x14ac:dyDescent="0.25">
      <c r="A168" s="39" t="s">
        <v>172</v>
      </c>
      <c r="B168" s="14">
        <v>0</v>
      </c>
      <c r="C168" s="7"/>
      <c r="D168" s="7"/>
      <c r="E168" s="7"/>
      <c r="F168" s="7"/>
      <c r="G168" s="7"/>
      <c r="H168" s="7">
        <f t="shared" si="77"/>
        <v>0</v>
      </c>
      <c r="I168" s="97" t="s">
        <v>173</v>
      </c>
      <c r="J168" s="98"/>
      <c r="K168" s="7">
        <v>0</v>
      </c>
      <c r="L168" s="98"/>
      <c r="M168" s="7">
        <f t="shared" si="78"/>
        <v>0</v>
      </c>
      <c r="N168" s="98"/>
      <c r="O168" s="7">
        <v>0</v>
      </c>
      <c r="P168" s="98"/>
      <c r="Q168" s="7">
        <f t="shared" si="79"/>
        <v>0</v>
      </c>
      <c r="R168" s="89"/>
    </row>
    <row r="169" spans="1:18" x14ac:dyDescent="0.25">
      <c r="A169" s="95" t="s">
        <v>174</v>
      </c>
      <c r="B169" s="14">
        <f>B74*0.005</f>
        <v>5224.7700000000004</v>
      </c>
      <c r="C169" s="7"/>
      <c r="D169" s="7"/>
      <c r="E169" s="7"/>
      <c r="F169" s="7"/>
      <c r="G169" s="7">
        <f>G86+G87</f>
        <v>11120.71</v>
      </c>
      <c r="H169" s="7">
        <f t="shared" si="77"/>
        <v>16345.48</v>
      </c>
      <c r="I169" s="97"/>
      <c r="J169" s="98"/>
      <c r="K169" s="7">
        <v>29518.690000000002</v>
      </c>
      <c r="L169" s="98"/>
      <c r="M169" s="7">
        <f t="shared" si="78"/>
        <v>-13173.210000000003</v>
      </c>
      <c r="N169" s="98"/>
      <c r="O169" s="7">
        <v>29518.690000000002</v>
      </c>
      <c r="P169" s="98"/>
      <c r="Q169" s="7">
        <f t="shared" si="79"/>
        <v>-13173.210000000003</v>
      </c>
      <c r="R169" s="89"/>
    </row>
    <row r="170" spans="1:18" x14ac:dyDescent="0.25">
      <c r="A170" s="82" t="s">
        <v>175</v>
      </c>
      <c r="B170" s="83">
        <f>SUM(B156:B169)</f>
        <v>303875.70750000002</v>
      </c>
      <c r="C170" s="83">
        <f t="shared" ref="C170:G170" si="80">SUM(C156:C169)</f>
        <v>47175</v>
      </c>
      <c r="D170" s="83">
        <f t="shared" si="80"/>
        <v>0</v>
      </c>
      <c r="E170" s="83">
        <f t="shared" si="80"/>
        <v>0</v>
      </c>
      <c r="F170" s="83">
        <f t="shared" si="80"/>
        <v>0</v>
      </c>
      <c r="G170" s="83">
        <f t="shared" si="80"/>
        <v>11120.71</v>
      </c>
      <c r="H170" s="83">
        <f>SUM(H156:H169)</f>
        <v>362171.41749999998</v>
      </c>
      <c r="I170" s="10"/>
      <c r="J170" s="10"/>
      <c r="K170" s="83">
        <f>SUM(K156:K169)</f>
        <v>344630.79</v>
      </c>
      <c r="L170" s="10"/>
      <c r="M170" s="83">
        <f>SUM(M156:M169)</f>
        <v>17540.627499999991</v>
      </c>
      <c r="N170" s="10"/>
      <c r="O170" s="83">
        <f>SUM(O156:O169)</f>
        <v>394630.79</v>
      </c>
      <c r="P170" s="10"/>
      <c r="Q170" s="83">
        <f>SUM(Q156:Q169)</f>
        <v>-32459.372500000005</v>
      </c>
    </row>
    <row r="171" spans="1:18" x14ac:dyDescent="0.25">
      <c r="A171" s="92" t="s">
        <v>176</v>
      </c>
      <c r="B171" s="24" t="str">
        <f t="shared" ref="B171:H171" si="81">B1</f>
        <v>Operating</v>
      </c>
      <c r="C171" s="24" t="str">
        <f t="shared" si="81"/>
        <v>SPED</v>
      </c>
      <c r="D171" s="24" t="str">
        <f t="shared" si="81"/>
        <v>NSLP</v>
      </c>
      <c r="E171" s="24" t="str">
        <f t="shared" si="81"/>
        <v>Other</v>
      </c>
      <c r="F171" s="24" t="str">
        <f t="shared" si="81"/>
        <v>Title I</v>
      </c>
      <c r="G171" s="24" t="str">
        <f t="shared" si="81"/>
        <v>Title II/III/IV</v>
      </c>
      <c r="H171" s="24" t="str">
        <f t="shared" si="81"/>
        <v>Total (24-25)</v>
      </c>
      <c r="I171" s="10"/>
      <c r="J171" s="10"/>
      <c r="K171" s="24" t="s">
        <v>7</v>
      </c>
      <c r="L171" s="10"/>
      <c r="M171" s="24" t="str">
        <f t="shared" ref="M171" si="82">M1</f>
        <v>Variance</v>
      </c>
      <c r="N171" s="10"/>
      <c r="O171" s="24" t="s">
        <v>7</v>
      </c>
      <c r="P171" s="10"/>
      <c r="Q171" s="24" t="str">
        <f t="shared" ref="Q171" si="83">Q1</f>
        <v>Variance</v>
      </c>
    </row>
    <row r="172" spans="1:18" x14ac:dyDescent="0.25">
      <c r="A172" s="99" t="s">
        <v>177</v>
      </c>
      <c r="B172" s="87">
        <f>1000+30*12+1500</f>
        <v>2860</v>
      </c>
      <c r="C172" s="7"/>
      <c r="D172" s="7"/>
      <c r="E172" s="7"/>
      <c r="F172" s="7"/>
      <c r="G172" s="7"/>
      <c r="H172" s="7">
        <f t="shared" ref="H172:H196" si="84">SUM(B172:G172)</f>
        <v>2860</v>
      </c>
      <c r="I172" s="19" t="s">
        <v>178</v>
      </c>
      <c r="K172" s="7">
        <v>2860</v>
      </c>
      <c r="M172" s="7">
        <f t="shared" si="78"/>
        <v>0</v>
      </c>
      <c r="O172" s="7">
        <v>1360</v>
      </c>
      <c r="Q172" s="7">
        <f>H172-O172</f>
        <v>1500</v>
      </c>
    </row>
    <row r="173" spans="1:18" x14ac:dyDescent="0.25">
      <c r="A173" s="39" t="s">
        <v>179</v>
      </c>
      <c r="B173" s="87">
        <f>1000+(750*12)-(675*12)+2000</f>
        <v>3900</v>
      </c>
      <c r="C173" s="7"/>
      <c r="D173" s="7"/>
      <c r="E173" s="7"/>
      <c r="F173" s="7"/>
      <c r="G173" s="7"/>
      <c r="H173" s="7">
        <f t="shared" si="84"/>
        <v>3900</v>
      </c>
      <c r="I173" s="19" t="s">
        <v>178</v>
      </c>
      <c r="K173" s="7">
        <v>3900</v>
      </c>
      <c r="M173" s="7">
        <f t="shared" si="78"/>
        <v>0</v>
      </c>
      <c r="O173" s="7">
        <v>1900</v>
      </c>
      <c r="Q173" s="7">
        <f t="shared" ref="Q173:Q196" si="85">H173-O173</f>
        <v>2000</v>
      </c>
    </row>
    <row r="174" spans="1:18" x14ac:dyDescent="0.25">
      <c r="A174" s="39" t="s">
        <v>180</v>
      </c>
      <c r="B174" s="96"/>
      <c r="C174" s="7"/>
      <c r="D174" s="7"/>
      <c r="E174" s="7"/>
      <c r="F174" s="7"/>
      <c r="G174" s="7"/>
      <c r="H174" s="7">
        <f t="shared" si="84"/>
        <v>0</v>
      </c>
      <c r="I174" s="19"/>
      <c r="K174" s="7">
        <v>0</v>
      </c>
      <c r="M174" s="7">
        <f t="shared" si="78"/>
        <v>0</v>
      </c>
      <c r="O174" s="7">
        <v>0</v>
      </c>
      <c r="Q174" s="7">
        <f t="shared" si="85"/>
        <v>0</v>
      </c>
    </row>
    <row r="175" spans="1:18" x14ac:dyDescent="0.25">
      <c r="A175" s="39" t="s">
        <v>181</v>
      </c>
      <c r="B175" s="96">
        <v>2000</v>
      </c>
      <c r="C175" s="7"/>
      <c r="D175" s="7"/>
      <c r="E175" s="7"/>
      <c r="F175" s="7"/>
      <c r="G175" s="7"/>
      <c r="H175" s="7">
        <f t="shared" si="84"/>
        <v>2000</v>
      </c>
      <c r="I175" s="19"/>
      <c r="K175" s="7">
        <v>2000</v>
      </c>
      <c r="M175" s="7">
        <f t="shared" si="78"/>
        <v>0</v>
      </c>
      <c r="O175" s="7">
        <v>2000</v>
      </c>
      <c r="Q175" s="7">
        <f t="shared" si="85"/>
        <v>0</v>
      </c>
    </row>
    <row r="176" spans="1:18" x14ac:dyDescent="0.25">
      <c r="A176" s="39" t="s">
        <v>182</v>
      </c>
      <c r="B176" s="96">
        <v>5500</v>
      </c>
      <c r="C176" s="7"/>
      <c r="D176" s="7"/>
      <c r="E176" s="7"/>
      <c r="F176" s="7"/>
      <c r="G176" s="7"/>
      <c r="H176" s="7">
        <f t="shared" si="84"/>
        <v>5500</v>
      </c>
      <c r="I176" s="19"/>
      <c r="K176" s="7">
        <v>5500</v>
      </c>
      <c r="M176" s="7">
        <f t="shared" si="78"/>
        <v>0</v>
      </c>
      <c r="O176" s="7">
        <v>5500</v>
      </c>
      <c r="Q176" s="7">
        <f t="shared" si="85"/>
        <v>0</v>
      </c>
    </row>
    <row r="177" spans="1:18" x14ac:dyDescent="0.25">
      <c r="A177" s="39" t="s">
        <v>183</v>
      </c>
      <c r="B177" s="87">
        <f>1250*12</f>
        <v>15000</v>
      </c>
      <c r="C177" s="7"/>
      <c r="D177" s="7"/>
      <c r="E177" s="7"/>
      <c r="F177" s="7"/>
      <c r="G177" s="7"/>
      <c r="H177" s="7">
        <f t="shared" si="84"/>
        <v>15000</v>
      </c>
      <c r="I177" s="19"/>
      <c r="K177" s="7">
        <v>15000</v>
      </c>
      <c r="M177" s="7">
        <f t="shared" si="78"/>
        <v>0</v>
      </c>
      <c r="O177" s="7">
        <v>15000</v>
      </c>
      <c r="Q177" s="7">
        <f t="shared" si="85"/>
        <v>0</v>
      </c>
    </row>
    <row r="178" spans="1:18" x14ac:dyDescent="0.25">
      <c r="A178" s="39" t="s">
        <v>184</v>
      </c>
      <c r="B178" s="87">
        <f>8500+(B17*2.4)</f>
        <v>8766.4</v>
      </c>
      <c r="C178" s="7"/>
      <c r="D178" s="7"/>
      <c r="E178" s="7"/>
      <c r="F178" s="7"/>
      <c r="G178" s="7"/>
      <c r="H178" s="7">
        <f t="shared" si="84"/>
        <v>8766.4</v>
      </c>
      <c r="I178" s="19"/>
      <c r="K178" s="7">
        <v>8824</v>
      </c>
      <c r="M178" s="7">
        <f t="shared" si="78"/>
        <v>-57.600000000000364</v>
      </c>
      <c r="O178" s="7">
        <v>8824</v>
      </c>
      <c r="Q178" s="7">
        <f t="shared" si="85"/>
        <v>-57.600000000000364</v>
      </c>
    </row>
    <row r="179" spans="1:18" x14ac:dyDescent="0.25">
      <c r="A179" s="39" t="s">
        <v>185</v>
      </c>
      <c r="B179" s="14">
        <f>10416*1.1</f>
        <v>11457.6</v>
      </c>
      <c r="C179" s="7"/>
      <c r="D179" s="7"/>
      <c r="E179" s="7"/>
      <c r="F179" s="7"/>
      <c r="G179" s="7"/>
      <c r="H179" s="7">
        <f t="shared" si="84"/>
        <v>11457.6</v>
      </c>
      <c r="I179" s="19"/>
      <c r="K179" s="7">
        <v>11457.6</v>
      </c>
      <c r="M179" s="7">
        <f t="shared" si="78"/>
        <v>0</v>
      </c>
      <c r="O179" s="7">
        <v>11457.6</v>
      </c>
      <c r="Q179" s="7">
        <f t="shared" si="85"/>
        <v>0</v>
      </c>
    </row>
    <row r="180" spans="1:18" x14ac:dyDescent="0.25">
      <c r="A180" s="39" t="s">
        <v>186</v>
      </c>
      <c r="B180" s="14">
        <f>9114*1.1</f>
        <v>10025.400000000001</v>
      </c>
      <c r="C180" s="7"/>
      <c r="D180" s="7"/>
      <c r="E180" s="7"/>
      <c r="F180" s="7"/>
      <c r="G180" s="7"/>
      <c r="H180" s="7">
        <f t="shared" si="84"/>
        <v>10025.400000000001</v>
      </c>
      <c r="I180" s="19"/>
      <c r="K180" s="7">
        <v>10025.400000000001</v>
      </c>
      <c r="M180" s="7">
        <f t="shared" si="78"/>
        <v>0</v>
      </c>
      <c r="O180" s="7">
        <v>10025.400000000001</v>
      </c>
      <c r="Q180" s="7">
        <f t="shared" si="85"/>
        <v>0</v>
      </c>
    </row>
    <row r="181" spans="1:18" x14ac:dyDescent="0.25">
      <c r="A181" s="39" t="s">
        <v>187</v>
      </c>
      <c r="B181" s="14">
        <f>13020*1.1</f>
        <v>14322.000000000002</v>
      </c>
      <c r="C181" s="7"/>
      <c r="D181" s="7"/>
      <c r="E181" s="7"/>
      <c r="F181" s="7"/>
      <c r="G181" s="7"/>
      <c r="H181" s="7">
        <f t="shared" si="84"/>
        <v>14322.000000000002</v>
      </c>
      <c r="I181" s="19"/>
      <c r="K181" s="7">
        <v>14322.000000000002</v>
      </c>
      <c r="M181" s="7">
        <f t="shared" si="78"/>
        <v>0</v>
      </c>
      <c r="O181" s="7">
        <v>14322.000000000002</v>
      </c>
      <c r="Q181" s="7">
        <f t="shared" si="85"/>
        <v>0</v>
      </c>
    </row>
    <row r="182" spans="1:18" x14ac:dyDescent="0.25">
      <c r="A182" s="39" t="s">
        <v>188</v>
      </c>
      <c r="B182" s="14"/>
      <c r="C182" s="14"/>
      <c r="D182" s="14">
        <f>((B17*D23)*2.4*180)</f>
        <v>47951.999999999993</v>
      </c>
      <c r="E182" s="7"/>
      <c r="F182" s="7"/>
      <c r="G182" s="7"/>
      <c r="H182" s="7">
        <f t="shared" si="84"/>
        <v>47951.999999999993</v>
      </c>
      <c r="I182" s="69">
        <v>2.4</v>
      </c>
      <c r="J182" s="100"/>
      <c r="K182" s="7">
        <v>58320</v>
      </c>
      <c r="L182" s="100"/>
      <c r="M182" s="7">
        <f t="shared" si="78"/>
        <v>-10368.000000000007</v>
      </c>
      <c r="N182" s="100"/>
      <c r="O182" s="7">
        <v>58320</v>
      </c>
      <c r="P182" s="100"/>
      <c r="Q182" s="7">
        <f t="shared" si="85"/>
        <v>-10368.000000000007</v>
      </c>
      <c r="R182" s="101"/>
    </row>
    <row r="183" spans="1:18" x14ac:dyDescent="0.25">
      <c r="A183" s="39" t="s">
        <v>189</v>
      </c>
      <c r="B183" s="14"/>
      <c r="C183" s="14"/>
      <c r="D183" s="14">
        <f>((B17*D23)*3.75*180)</f>
        <v>74925</v>
      </c>
      <c r="E183" s="7"/>
      <c r="F183" s="7"/>
      <c r="G183" s="7"/>
      <c r="H183" s="7">
        <f t="shared" si="84"/>
        <v>74925</v>
      </c>
      <c r="I183" s="69">
        <v>3.75</v>
      </c>
      <c r="J183" s="100"/>
      <c r="K183" s="7">
        <v>91125</v>
      </c>
      <c r="L183" s="100"/>
      <c r="M183" s="7">
        <f t="shared" si="78"/>
        <v>-16200</v>
      </c>
      <c r="N183" s="100"/>
      <c r="O183" s="7">
        <v>91125</v>
      </c>
      <c r="P183" s="100"/>
      <c r="Q183" s="7">
        <f t="shared" si="85"/>
        <v>-16200</v>
      </c>
      <c r="R183" s="101"/>
    </row>
    <row r="184" spans="1:18" x14ac:dyDescent="0.25">
      <c r="A184" s="39" t="s">
        <v>190</v>
      </c>
      <c r="B184" s="14">
        <v>5000</v>
      </c>
      <c r="C184" s="14"/>
      <c r="D184" s="14"/>
      <c r="E184" s="7"/>
      <c r="F184" s="7"/>
      <c r="G184" s="7"/>
      <c r="H184" s="7">
        <f t="shared" si="84"/>
        <v>5000</v>
      </c>
      <c r="I184" s="19"/>
      <c r="K184" s="7">
        <v>5000</v>
      </c>
      <c r="M184" s="7">
        <f t="shared" si="78"/>
        <v>0</v>
      </c>
      <c r="O184" s="7">
        <v>20000</v>
      </c>
      <c r="Q184" s="7">
        <f t="shared" si="85"/>
        <v>-15000</v>
      </c>
    </row>
    <row r="185" spans="1:18" x14ac:dyDescent="0.25">
      <c r="A185" s="39" t="s">
        <v>191</v>
      </c>
      <c r="B185" s="7">
        <v>5500</v>
      </c>
      <c r="C185" s="7"/>
      <c r="D185" s="7"/>
      <c r="E185" s="7"/>
      <c r="F185" s="7"/>
      <c r="G185" s="7">
        <f>G88</f>
        <v>5400.25</v>
      </c>
      <c r="H185" s="7">
        <f t="shared" si="84"/>
        <v>10900.25</v>
      </c>
      <c r="I185" s="19"/>
      <c r="K185" s="7">
        <v>7271.32</v>
      </c>
      <c r="M185" s="7">
        <f t="shared" si="78"/>
        <v>3628.9300000000003</v>
      </c>
      <c r="O185" s="7">
        <v>7271.32</v>
      </c>
      <c r="Q185" s="7">
        <f t="shared" si="85"/>
        <v>3628.9300000000003</v>
      </c>
    </row>
    <row r="186" spans="1:18" x14ac:dyDescent="0.25">
      <c r="A186" s="39" t="s">
        <v>192</v>
      </c>
      <c r="B186" s="7">
        <f>60*15</f>
        <v>900</v>
      </c>
      <c r="C186" s="7">
        <v>0</v>
      </c>
      <c r="D186" s="7">
        <v>0</v>
      </c>
      <c r="E186" s="7"/>
      <c r="F186" s="7"/>
      <c r="G186" s="7"/>
      <c r="H186" s="7">
        <f t="shared" si="84"/>
        <v>900</v>
      </c>
      <c r="I186" s="19"/>
      <c r="K186" s="7">
        <v>900</v>
      </c>
      <c r="M186" s="7">
        <f t="shared" si="78"/>
        <v>0</v>
      </c>
      <c r="O186" s="7">
        <v>900</v>
      </c>
      <c r="Q186" s="7">
        <f t="shared" si="85"/>
        <v>0</v>
      </c>
    </row>
    <row r="187" spans="1:18" x14ac:dyDescent="0.25">
      <c r="A187" s="39" t="s">
        <v>193</v>
      </c>
      <c r="B187" s="14">
        <v>6500</v>
      </c>
      <c r="C187" s="7"/>
      <c r="D187" s="7"/>
      <c r="E187" s="7"/>
      <c r="F187" s="7"/>
      <c r="G187" s="7"/>
      <c r="H187" s="7">
        <f t="shared" si="84"/>
        <v>6500</v>
      </c>
      <c r="I187" s="19"/>
      <c r="K187" s="7">
        <v>6500</v>
      </c>
      <c r="M187" s="7">
        <f t="shared" si="78"/>
        <v>0</v>
      </c>
      <c r="O187" s="7">
        <v>5500</v>
      </c>
      <c r="Q187" s="7">
        <f t="shared" si="85"/>
        <v>1000</v>
      </c>
    </row>
    <row r="188" spans="1:18" x14ac:dyDescent="0.25">
      <c r="A188" s="39" t="s">
        <v>194</v>
      </c>
      <c r="B188" s="14">
        <v>0</v>
      </c>
      <c r="C188" s="7"/>
      <c r="D188" s="7"/>
      <c r="E188" s="7"/>
      <c r="F188" s="7"/>
      <c r="G188" s="7"/>
      <c r="H188" s="7">
        <f t="shared" si="84"/>
        <v>0</v>
      </c>
      <c r="I188" s="19"/>
      <c r="K188" s="7">
        <v>0</v>
      </c>
      <c r="M188" s="7">
        <f t="shared" si="78"/>
        <v>0</v>
      </c>
      <c r="O188" s="7">
        <v>0</v>
      </c>
      <c r="Q188" s="7">
        <f t="shared" si="85"/>
        <v>0</v>
      </c>
    </row>
    <row r="189" spans="1:18" x14ac:dyDescent="0.25">
      <c r="A189" s="39" t="s">
        <v>195</v>
      </c>
      <c r="B189" s="14">
        <v>0</v>
      </c>
      <c r="C189" s="7"/>
      <c r="D189" s="7"/>
      <c r="E189" s="7"/>
      <c r="F189" s="7"/>
      <c r="G189" s="7"/>
      <c r="H189" s="7">
        <f t="shared" si="84"/>
        <v>0</v>
      </c>
      <c r="I189" s="19"/>
      <c r="K189" s="7">
        <v>0</v>
      </c>
      <c r="M189" s="7">
        <f t="shared" si="78"/>
        <v>0</v>
      </c>
      <c r="O189" s="7">
        <v>0</v>
      </c>
      <c r="Q189" s="7">
        <f t="shared" si="85"/>
        <v>0</v>
      </c>
    </row>
    <row r="190" spans="1:18" x14ac:dyDescent="0.25">
      <c r="A190" s="39" t="s">
        <v>196</v>
      </c>
      <c r="B190" s="14">
        <v>0</v>
      </c>
      <c r="C190" s="7"/>
      <c r="D190" s="7"/>
      <c r="E190" s="7"/>
      <c r="F190" s="7"/>
      <c r="G190" s="7"/>
      <c r="H190" s="7">
        <f t="shared" si="84"/>
        <v>0</v>
      </c>
      <c r="I190" s="19"/>
      <c r="K190" s="7">
        <v>0</v>
      </c>
      <c r="M190" s="7">
        <f t="shared" si="78"/>
        <v>0</v>
      </c>
      <c r="O190" s="7">
        <v>0</v>
      </c>
      <c r="Q190" s="7">
        <f t="shared" si="85"/>
        <v>0</v>
      </c>
    </row>
    <row r="191" spans="1:18" x14ac:dyDescent="0.25">
      <c r="A191" s="39" t="s">
        <v>197</v>
      </c>
      <c r="B191" s="14">
        <v>0</v>
      </c>
      <c r="C191" s="14"/>
      <c r="D191" s="14"/>
      <c r="E191" s="14"/>
      <c r="F191" s="14"/>
      <c r="G191" s="14"/>
      <c r="H191" s="7">
        <f t="shared" si="84"/>
        <v>0</v>
      </c>
      <c r="I191" s="19"/>
      <c r="K191" s="7">
        <v>0</v>
      </c>
      <c r="M191" s="7">
        <f t="shared" si="78"/>
        <v>0</v>
      </c>
      <c r="O191" s="7">
        <v>0</v>
      </c>
      <c r="Q191" s="7">
        <f t="shared" si="85"/>
        <v>0</v>
      </c>
    </row>
    <row r="192" spans="1:18" x14ac:dyDescent="0.25">
      <c r="A192" s="39" t="s">
        <v>198</v>
      </c>
      <c r="B192" s="14"/>
      <c r="C192" s="14"/>
      <c r="D192" s="14"/>
      <c r="E192" s="14"/>
      <c r="F192" s="14"/>
      <c r="G192" s="14"/>
      <c r="H192" s="7">
        <f t="shared" si="84"/>
        <v>0</v>
      </c>
      <c r="I192" s="19"/>
      <c r="K192" s="7">
        <v>0</v>
      </c>
      <c r="M192" s="7">
        <f t="shared" si="78"/>
        <v>0</v>
      </c>
      <c r="O192" s="7">
        <v>0</v>
      </c>
      <c r="Q192" s="7">
        <f t="shared" si="85"/>
        <v>0</v>
      </c>
    </row>
    <row r="193" spans="1:18" x14ac:dyDescent="0.25">
      <c r="A193" s="39" t="s">
        <v>199</v>
      </c>
      <c r="B193" s="14"/>
      <c r="C193" s="14"/>
      <c r="D193" s="14"/>
      <c r="E193" s="14"/>
      <c r="F193" s="14"/>
      <c r="G193" s="14"/>
      <c r="H193" s="7">
        <f t="shared" si="84"/>
        <v>0</v>
      </c>
      <c r="I193" s="19"/>
      <c r="K193" s="7">
        <v>0</v>
      </c>
      <c r="M193" s="7">
        <f t="shared" si="78"/>
        <v>0</v>
      </c>
      <c r="O193" s="7">
        <v>0</v>
      </c>
      <c r="Q193" s="7">
        <f t="shared" si="85"/>
        <v>0</v>
      </c>
    </row>
    <row r="194" spans="1:18" x14ac:dyDescent="0.25">
      <c r="A194" s="39" t="s">
        <v>200</v>
      </c>
      <c r="B194" s="14"/>
      <c r="C194" s="14"/>
      <c r="D194" s="14"/>
      <c r="E194" s="14"/>
      <c r="F194" s="14"/>
      <c r="G194" s="14"/>
      <c r="H194" s="7">
        <f t="shared" si="84"/>
        <v>0</v>
      </c>
      <c r="I194" s="19"/>
      <c r="K194" s="7">
        <v>0</v>
      </c>
      <c r="M194" s="7"/>
      <c r="O194" s="7">
        <v>0</v>
      </c>
      <c r="Q194" s="7">
        <f t="shared" si="85"/>
        <v>0</v>
      </c>
    </row>
    <row r="195" spans="1:18" x14ac:dyDescent="0.25">
      <c r="A195" s="39" t="s">
        <v>201</v>
      </c>
      <c r="B195" s="14">
        <v>5000</v>
      </c>
      <c r="C195" s="14"/>
      <c r="D195" s="14"/>
      <c r="E195" s="14"/>
      <c r="F195" s="14"/>
      <c r="G195" s="14"/>
      <c r="H195" s="7">
        <f t="shared" si="84"/>
        <v>5000</v>
      </c>
      <c r="I195" s="19"/>
      <c r="K195" s="7">
        <v>7000</v>
      </c>
      <c r="M195" s="7">
        <f t="shared" si="78"/>
        <v>-2000</v>
      </c>
      <c r="O195" s="7">
        <v>7000</v>
      </c>
      <c r="Q195" s="7">
        <f t="shared" si="85"/>
        <v>-2000</v>
      </c>
    </row>
    <row r="196" spans="1:18" x14ac:dyDescent="0.25">
      <c r="A196" s="95" t="s">
        <v>202</v>
      </c>
      <c r="B196" s="7">
        <f>((B2*B3)*0)+0</f>
        <v>0</v>
      </c>
      <c r="C196" s="7"/>
      <c r="D196" s="7"/>
      <c r="E196" s="7"/>
      <c r="F196" s="7"/>
      <c r="G196" s="7"/>
      <c r="H196" s="7">
        <f t="shared" si="84"/>
        <v>0</v>
      </c>
      <c r="I196" s="102" t="s">
        <v>203</v>
      </c>
      <c r="J196" s="65"/>
      <c r="K196" s="7">
        <v>0</v>
      </c>
      <c r="L196" s="65"/>
      <c r="M196" s="7">
        <f t="shared" si="78"/>
        <v>0</v>
      </c>
      <c r="N196" s="65"/>
      <c r="O196" s="7">
        <v>0</v>
      </c>
      <c r="P196" s="65"/>
      <c r="Q196" s="7">
        <f t="shared" si="85"/>
        <v>0</v>
      </c>
      <c r="R196" s="25"/>
    </row>
    <row r="197" spans="1:18" x14ac:dyDescent="0.25">
      <c r="A197" s="82" t="s">
        <v>204</v>
      </c>
      <c r="B197" s="83">
        <f>SUM(B172:B196)</f>
        <v>96731.400000000009</v>
      </c>
      <c r="C197" s="83">
        <f t="shared" ref="C197:H197" si="86">SUM(C172:C196)</f>
        <v>0</v>
      </c>
      <c r="D197" s="83">
        <f t="shared" si="86"/>
        <v>122877</v>
      </c>
      <c r="E197" s="83">
        <f t="shared" si="86"/>
        <v>0</v>
      </c>
      <c r="F197" s="83">
        <f t="shared" si="86"/>
        <v>0</v>
      </c>
      <c r="G197" s="83">
        <f t="shared" si="86"/>
        <v>5400.25</v>
      </c>
      <c r="H197" s="83">
        <f t="shared" si="86"/>
        <v>225008.65</v>
      </c>
      <c r="I197" s="10"/>
      <c r="J197" s="10"/>
      <c r="K197" s="83">
        <f t="shared" ref="K197" si="87">SUM(K172:K196)</f>
        <v>250005.32</v>
      </c>
      <c r="L197" s="10"/>
      <c r="M197" s="83">
        <f t="shared" ref="M197" si="88">SUM(M172:M196)</f>
        <v>-24996.670000000006</v>
      </c>
      <c r="N197" s="10"/>
      <c r="O197" s="83">
        <f t="shared" ref="O197" si="89">SUM(O172:O196)</f>
        <v>260505.32</v>
      </c>
      <c r="P197" s="10"/>
      <c r="Q197" s="83">
        <f t="shared" ref="Q197" si="90">SUM(Q172:Q196)</f>
        <v>-35496.670000000006</v>
      </c>
    </row>
    <row r="198" spans="1:18" x14ac:dyDescent="0.25">
      <c r="A198" s="92" t="s">
        <v>205</v>
      </c>
      <c r="B198" s="24" t="str">
        <f t="shared" ref="B198:H198" si="91">B1</f>
        <v>Operating</v>
      </c>
      <c r="C198" s="24" t="str">
        <f t="shared" si="91"/>
        <v>SPED</v>
      </c>
      <c r="D198" s="24" t="str">
        <f t="shared" si="91"/>
        <v>NSLP</v>
      </c>
      <c r="E198" s="24" t="str">
        <f t="shared" si="91"/>
        <v>Other</v>
      </c>
      <c r="F198" s="24" t="str">
        <f t="shared" si="91"/>
        <v>Title I</v>
      </c>
      <c r="G198" s="24" t="str">
        <f t="shared" si="91"/>
        <v>Title II/III/IV</v>
      </c>
      <c r="H198" s="24" t="str">
        <f t="shared" si="91"/>
        <v>Total (24-25)</v>
      </c>
      <c r="I198" s="10"/>
      <c r="J198" s="10"/>
      <c r="K198" s="24" t="s">
        <v>7</v>
      </c>
      <c r="L198" s="10"/>
      <c r="M198" s="24" t="str">
        <f t="shared" ref="M198" si="92">M1</f>
        <v>Variance</v>
      </c>
      <c r="N198" s="10"/>
      <c r="O198" s="24" t="s">
        <v>7</v>
      </c>
      <c r="P198" s="10"/>
      <c r="Q198" s="24" t="str">
        <f t="shared" ref="Q198" si="93">Q1</f>
        <v>Variance</v>
      </c>
    </row>
    <row r="199" spans="1:18" x14ac:dyDescent="0.25">
      <c r="A199" s="99" t="s">
        <v>206</v>
      </c>
      <c r="B199" s="103">
        <f>11150*4</f>
        <v>44600</v>
      </c>
      <c r="C199" s="7"/>
      <c r="D199" s="7"/>
      <c r="E199" s="7"/>
      <c r="F199" s="7"/>
      <c r="G199" s="7"/>
      <c r="H199" s="7">
        <f t="shared" ref="H199:H208" si="94">SUM(B199:G199)</f>
        <v>44600</v>
      </c>
      <c r="I199" s="8"/>
      <c r="J199" s="9"/>
      <c r="K199" s="7">
        <v>44600</v>
      </c>
      <c r="L199" s="9"/>
      <c r="M199" s="7">
        <f t="shared" ref="M199:M220" si="95">H199-K199</f>
        <v>0</v>
      </c>
      <c r="N199" s="9"/>
      <c r="O199" s="7">
        <v>44600</v>
      </c>
      <c r="P199" s="9"/>
      <c r="Q199" s="7">
        <f t="shared" ref="Q199:Q208" si="96">H199-O199</f>
        <v>0</v>
      </c>
      <c r="R199" s="64"/>
    </row>
    <row r="200" spans="1:18" x14ac:dyDescent="0.25">
      <c r="A200" s="39" t="s">
        <v>207</v>
      </c>
      <c r="B200" s="87">
        <f>200*3+1200</f>
        <v>1800</v>
      </c>
      <c r="C200" s="7"/>
      <c r="D200" s="7"/>
      <c r="E200" s="7"/>
      <c r="F200" s="7"/>
      <c r="G200" s="7"/>
      <c r="H200" s="7">
        <f t="shared" si="94"/>
        <v>1800</v>
      </c>
      <c r="I200" s="8" t="s">
        <v>208</v>
      </c>
      <c r="K200" s="7">
        <v>1800</v>
      </c>
      <c r="M200" s="7">
        <f t="shared" si="95"/>
        <v>0</v>
      </c>
      <c r="O200" s="7">
        <v>800</v>
      </c>
      <c r="Q200" s="7">
        <f t="shared" si="96"/>
        <v>1000</v>
      </c>
    </row>
    <row r="201" spans="1:18" x14ac:dyDescent="0.25">
      <c r="A201" s="39" t="s">
        <v>209</v>
      </c>
      <c r="B201" s="96">
        <f>2650*4</f>
        <v>10600</v>
      </c>
      <c r="C201" s="7"/>
      <c r="D201" s="7"/>
      <c r="E201" s="7"/>
      <c r="F201" s="7"/>
      <c r="G201" s="7"/>
      <c r="H201" s="7">
        <f t="shared" si="94"/>
        <v>10600</v>
      </c>
      <c r="I201" s="19"/>
      <c r="K201" s="7">
        <v>10600</v>
      </c>
      <c r="M201" s="7">
        <f t="shared" si="95"/>
        <v>0</v>
      </c>
      <c r="O201" s="7">
        <v>10600</v>
      </c>
      <c r="Q201" s="7">
        <f t="shared" si="96"/>
        <v>0</v>
      </c>
    </row>
    <row r="202" spans="1:18" x14ac:dyDescent="0.25">
      <c r="A202" s="39" t="s">
        <v>210</v>
      </c>
      <c r="B202" s="96">
        <f>1000*4</f>
        <v>4000</v>
      </c>
      <c r="C202" s="7"/>
      <c r="D202" s="7"/>
      <c r="E202" s="7"/>
      <c r="F202" s="7"/>
      <c r="G202" s="7"/>
      <c r="H202" s="7">
        <f t="shared" si="94"/>
        <v>4000</v>
      </c>
      <c r="I202" s="19"/>
      <c r="K202" s="7">
        <v>4000</v>
      </c>
      <c r="M202" s="7">
        <f t="shared" si="95"/>
        <v>0</v>
      </c>
      <c r="O202" s="7">
        <v>4000</v>
      </c>
      <c r="Q202" s="7">
        <f t="shared" si="96"/>
        <v>0</v>
      </c>
    </row>
    <row r="203" spans="1:18" x14ac:dyDescent="0.25">
      <c r="A203" s="39" t="s">
        <v>211</v>
      </c>
      <c r="B203" s="96">
        <v>1000</v>
      </c>
      <c r="C203" s="7"/>
      <c r="D203" s="7"/>
      <c r="E203" s="7"/>
      <c r="F203" s="7"/>
      <c r="G203" s="7"/>
      <c r="H203" s="7">
        <f t="shared" si="94"/>
        <v>1000</v>
      </c>
      <c r="I203" s="19"/>
      <c r="K203" s="7">
        <v>1000</v>
      </c>
      <c r="M203" s="7">
        <f t="shared" si="95"/>
        <v>0</v>
      </c>
      <c r="O203" s="7">
        <v>1000</v>
      </c>
      <c r="Q203" s="7">
        <f t="shared" si="96"/>
        <v>0</v>
      </c>
    </row>
    <row r="204" spans="1:18" x14ac:dyDescent="0.25">
      <c r="A204" s="39" t="s">
        <v>212</v>
      </c>
      <c r="B204" s="87">
        <f>750*12+589+420+3000</f>
        <v>13009</v>
      </c>
      <c r="C204" s="7"/>
      <c r="D204" s="7"/>
      <c r="E204" s="7"/>
      <c r="F204" s="7"/>
      <c r="G204" s="7"/>
      <c r="H204" s="7">
        <f t="shared" si="94"/>
        <v>13009</v>
      </c>
      <c r="I204" s="19" t="s">
        <v>213</v>
      </c>
      <c r="K204" s="7">
        <v>12000</v>
      </c>
      <c r="M204" s="7">
        <f t="shared" si="95"/>
        <v>1009</v>
      </c>
      <c r="O204" s="7">
        <v>12000</v>
      </c>
      <c r="Q204" s="7">
        <f t="shared" si="96"/>
        <v>1009</v>
      </c>
    </row>
    <row r="205" spans="1:18" x14ac:dyDescent="0.25">
      <c r="A205" s="39" t="s">
        <v>214</v>
      </c>
      <c r="B205" s="14">
        <f>17000+3000</f>
        <v>20000</v>
      </c>
      <c r="C205" s="7"/>
      <c r="D205" s="7"/>
      <c r="E205" s="7"/>
      <c r="F205" s="7"/>
      <c r="G205" s="7"/>
      <c r="H205" s="7">
        <f t="shared" si="94"/>
        <v>20000</v>
      </c>
      <c r="I205" s="19"/>
      <c r="K205" s="7">
        <v>12500</v>
      </c>
      <c r="M205" s="7">
        <f t="shared" si="95"/>
        <v>7500</v>
      </c>
      <c r="O205" s="7">
        <v>12500</v>
      </c>
      <c r="Q205" s="7">
        <f t="shared" si="96"/>
        <v>7500</v>
      </c>
    </row>
    <row r="206" spans="1:18" x14ac:dyDescent="0.25">
      <c r="A206" s="39" t="s">
        <v>215</v>
      </c>
      <c r="B206" s="7">
        <v>0</v>
      </c>
      <c r="C206" s="7"/>
      <c r="D206" s="7"/>
      <c r="E206" s="7"/>
      <c r="F206" s="7"/>
      <c r="G206" s="7"/>
      <c r="H206" s="7">
        <f t="shared" si="94"/>
        <v>0</v>
      </c>
      <c r="I206" s="19"/>
      <c r="K206" s="7">
        <v>0</v>
      </c>
      <c r="M206" s="7">
        <f t="shared" si="95"/>
        <v>0</v>
      </c>
      <c r="O206" s="7">
        <v>0</v>
      </c>
      <c r="Q206" s="7">
        <f t="shared" si="96"/>
        <v>0</v>
      </c>
    </row>
    <row r="207" spans="1:18" x14ac:dyDescent="0.25">
      <c r="A207" s="39" t="s">
        <v>216</v>
      </c>
      <c r="B207" s="7">
        <v>0</v>
      </c>
      <c r="C207" s="7"/>
      <c r="D207" s="7"/>
      <c r="E207" s="7"/>
      <c r="F207" s="7"/>
      <c r="G207" s="7"/>
      <c r="H207" s="7">
        <f t="shared" si="94"/>
        <v>0</v>
      </c>
      <c r="I207" s="19"/>
      <c r="K207" s="7">
        <v>0</v>
      </c>
      <c r="M207" s="7">
        <f t="shared" si="95"/>
        <v>0</v>
      </c>
      <c r="O207" s="7">
        <v>0</v>
      </c>
      <c r="Q207" s="7">
        <f t="shared" si="96"/>
        <v>0</v>
      </c>
    </row>
    <row r="208" spans="1:18" x14ac:dyDescent="0.25">
      <c r="A208" s="95" t="s">
        <v>217</v>
      </c>
      <c r="B208" s="7">
        <f>4696+590+714</f>
        <v>6000</v>
      </c>
      <c r="C208" s="7"/>
      <c r="D208" s="7"/>
      <c r="E208" s="7"/>
      <c r="F208" s="7"/>
      <c r="G208" s="7"/>
      <c r="H208" s="7">
        <f t="shared" si="94"/>
        <v>6000</v>
      </c>
      <c r="I208" s="19"/>
      <c r="K208" s="7">
        <v>3000</v>
      </c>
      <c r="M208" s="7">
        <f t="shared" si="95"/>
        <v>3000</v>
      </c>
      <c r="O208" s="7">
        <v>3000</v>
      </c>
      <c r="Q208" s="7">
        <f t="shared" si="96"/>
        <v>3000</v>
      </c>
    </row>
    <row r="209" spans="1:17" x14ac:dyDescent="0.25">
      <c r="A209" s="82" t="s">
        <v>218</v>
      </c>
      <c r="B209" s="83">
        <f t="shared" ref="B209:H209" si="97">SUM(B199:B208)</f>
        <v>101009</v>
      </c>
      <c r="C209" s="83">
        <f t="shared" si="97"/>
        <v>0</v>
      </c>
      <c r="D209" s="83">
        <f t="shared" si="97"/>
        <v>0</v>
      </c>
      <c r="E209" s="83">
        <f t="shared" si="97"/>
        <v>0</v>
      </c>
      <c r="F209" s="83">
        <f t="shared" si="97"/>
        <v>0</v>
      </c>
      <c r="G209" s="83">
        <f t="shared" si="97"/>
        <v>0</v>
      </c>
      <c r="H209" s="83">
        <f t="shared" si="97"/>
        <v>101009</v>
      </c>
      <c r="I209" s="10"/>
      <c r="J209" s="10"/>
      <c r="K209" s="83">
        <f t="shared" ref="K209" si="98">SUM(K199:K208)</f>
        <v>89500</v>
      </c>
      <c r="L209" s="10"/>
      <c r="M209" s="83">
        <f t="shared" ref="M209" si="99">SUM(M199:M208)</f>
        <v>11509</v>
      </c>
      <c r="N209" s="10"/>
      <c r="O209" s="83">
        <f t="shared" ref="O209" si="100">SUM(O199:O208)</f>
        <v>88500</v>
      </c>
      <c r="P209" s="10"/>
      <c r="Q209" s="83">
        <f t="shared" ref="Q209" si="101">SUM(Q199:Q208)</f>
        <v>12509</v>
      </c>
    </row>
    <row r="210" spans="1:17" x14ac:dyDescent="0.25">
      <c r="A210" s="104"/>
      <c r="B210" s="7"/>
      <c r="C210" s="7"/>
      <c r="D210" s="7"/>
      <c r="E210" s="7"/>
      <c r="F210" s="7"/>
      <c r="G210" s="7"/>
      <c r="H210" s="7"/>
      <c r="I210" s="10"/>
      <c r="J210" s="10"/>
      <c r="K210" s="7"/>
      <c r="L210" s="10"/>
      <c r="M210" s="7"/>
      <c r="N210" s="10"/>
      <c r="O210" s="7"/>
      <c r="P210" s="10"/>
      <c r="Q210" s="7"/>
    </row>
    <row r="211" spans="1:17" x14ac:dyDescent="0.25">
      <c r="A211" s="82" t="s">
        <v>219</v>
      </c>
      <c r="B211" s="83">
        <f>B142+B154+B170+B197+B209</f>
        <v>1795482.575</v>
      </c>
      <c r="C211" s="83">
        <f t="shared" ref="C211:H211" si="102">C142+C154+C170+C197+C209</f>
        <v>125837.5</v>
      </c>
      <c r="D211" s="83">
        <f t="shared" si="102"/>
        <v>180190.7</v>
      </c>
      <c r="E211" s="83">
        <f t="shared" si="102"/>
        <v>51295.425000000003</v>
      </c>
      <c r="F211" s="83">
        <f t="shared" si="102"/>
        <v>87986.62</v>
      </c>
      <c r="G211" s="83">
        <f t="shared" si="102"/>
        <v>16520.96</v>
      </c>
      <c r="H211" s="83">
        <f t="shared" si="102"/>
        <v>2257313.7799999998</v>
      </c>
      <c r="I211" s="10"/>
      <c r="J211" s="10"/>
      <c r="K211" s="83">
        <f t="shared" ref="K211" si="103">K142+K154+K170+K197+K209</f>
        <v>1918745.24</v>
      </c>
      <c r="L211" s="10"/>
      <c r="M211" s="83">
        <f t="shared" ref="M211" si="104">M142+M154+M170+M197+M209</f>
        <v>338568.54000000004</v>
      </c>
      <c r="N211" s="10"/>
      <c r="O211" s="83">
        <f t="shared" ref="O211" si="105">O142+O154+O170+O197+O209</f>
        <v>2250001.15</v>
      </c>
      <c r="P211" s="10"/>
      <c r="Q211" s="83">
        <f t="shared" ref="Q211" si="106">Q142+Q154+Q170+Q197+Q209</f>
        <v>7312.6300000000047</v>
      </c>
    </row>
    <row r="212" spans="1:17" x14ac:dyDescent="0.25">
      <c r="A212" s="105"/>
      <c r="B212" s="63"/>
      <c r="C212" s="63"/>
      <c r="D212" s="63"/>
      <c r="E212" s="63"/>
      <c r="F212" s="63"/>
      <c r="G212" s="63"/>
      <c r="H212" s="63"/>
      <c r="I212" s="10"/>
      <c r="J212" s="10"/>
      <c r="K212" s="63"/>
      <c r="L212" s="10"/>
      <c r="M212" s="63">
        <f t="shared" si="95"/>
        <v>0</v>
      </c>
      <c r="N212" s="10"/>
      <c r="O212" s="63"/>
      <c r="P212" s="10"/>
      <c r="Q212" s="63">
        <f t="shared" ref="Q212:Q218" si="107">L212-O212</f>
        <v>0</v>
      </c>
    </row>
    <row r="213" spans="1:17" x14ac:dyDescent="0.25">
      <c r="A213" s="54" t="s">
        <v>220</v>
      </c>
      <c r="B213" s="12">
        <f>500*B17</f>
        <v>55500</v>
      </c>
      <c r="C213" s="12"/>
      <c r="D213" s="12"/>
      <c r="E213" s="12"/>
      <c r="F213" s="12"/>
      <c r="G213" s="12"/>
      <c r="H213" s="12">
        <f t="shared" ref="H213:H218" si="108">SUM(B213:G213)</f>
        <v>55500</v>
      </c>
      <c r="I213" s="19"/>
      <c r="K213" s="12">
        <v>67500</v>
      </c>
      <c r="M213" s="12">
        <f t="shared" si="95"/>
        <v>-12000</v>
      </c>
      <c r="O213" s="12">
        <v>67500</v>
      </c>
      <c r="Q213" s="12">
        <f t="shared" ref="Q213:Q217" si="109">H213-O213</f>
        <v>-12000</v>
      </c>
    </row>
    <row r="214" spans="1:17" x14ac:dyDescent="0.25">
      <c r="A214" s="54" t="s">
        <v>221</v>
      </c>
      <c r="B214" s="12">
        <v>0</v>
      </c>
      <c r="C214" s="12"/>
      <c r="D214" s="12"/>
      <c r="E214" s="12"/>
      <c r="F214" s="12"/>
      <c r="G214" s="12"/>
      <c r="H214" s="12">
        <f t="shared" si="108"/>
        <v>0</v>
      </c>
      <c r="I214" s="19"/>
      <c r="K214" s="12">
        <v>0</v>
      </c>
      <c r="M214" s="12">
        <f t="shared" si="95"/>
        <v>0</v>
      </c>
      <c r="O214" s="12">
        <v>0</v>
      </c>
      <c r="Q214" s="12">
        <f t="shared" si="109"/>
        <v>0</v>
      </c>
    </row>
    <row r="215" spans="1:17" x14ac:dyDescent="0.25">
      <c r="A215" s="54" t="s">
        <v>222</v>
      </c>
      <c r="B215" s="12">
        <v>0</v>
      </c>
      <c r="C215" s="12"/>
      <c r="D215" s="12"/>
      <c r="E215" s="12"/>
      <c r="F215" s="12"/>
      <c r="G215" s="12"/>
      <c r="H215" s="12">
        <f t="shared" si="108"/>
        <v>0</v>
      </c>
      <c r="I215" s="19"/>
      <c r="K215" s="12">
        <v>0</v>
      </c>
      <c r="M215" s="12">
        <f t="shared" si="95"/>
        <v>0</v>
      </c>
      <c r="O215" s="12">
        <v>0</v>
      </c>
      <c r="Q215" s="12">
        <f t="shared" si="109"/>
        <v>0</v>
      </c>
    </row>
    <row r="216" spans="1:17" x14ac:dyDescent="0.25">
      <c r="A216" s="54" t="s">
        <v>223</v>
      </c>
      <c r="B216" s="12">
        <v>0</v>
      </c>
      <c r="C216" s="12"/>
      <c r="D216" s="12"/>
      <c r="E216" s="12"/>
      <c r="F216" s="12"/>
      <c r="G216" s="12"/>
      <c r="H216" s="12">
        <f t="shared" si="108"/>
        <v>0</v>
      </c>
      <c r="I216" s="19"/>
      <c r="K216" s="12">
        <v>0</v>
      </c>
      <c r="M216" s="12">
        <f t="shared" si="95"/>
        <v>0</v>
      </c>
      <c r="O216" s="12">
        <v>0</v>
      </c>
      <c r="Q216" s="12">
        <f t="shared" si="109"/>
        <v>0</v>
      </c>
    </row>
    <row r="217" spans="1:17" x14ac:dyDescent="0.25">
      <c r="A217" s="54"/>
      <c r="B217" s="12">
        <v>0</v>
      </c>
      <c r="C217" s="12">
        <v>0</v>
      </c>
      <c r="D217" s="12">
        <v>0</v>
      </c>
      <c r="E217" s="12"/>
      <c r="F217" s="12"/>
      <c r="G217" s="12"/>
      <c r="H217" s="12">
        <f t="shared" si="108"/>
        <v>0</v>
      </c>
      <c r="I217" s="19"/>
      <c r="K217" s="12">
        <v>0</v>
      </c>
      <c r="M217" s="12">
        <f t="shared" si="95"/>
        <v>0</v>
      </c>
      <c r="O217" s="12">
        <v>0</v>
      </c>
      <c r="Q217" s="12">
        <f t="shared" si="109"/>
        <v>0</v>
      </c>
    </row>
    <row r="218" spans="1:17" ht="15.75" thickBot="1" x14ac:dyDescent="0.3">
      <c r="A218" s="39"/>
      <c r="B218" s="46"/>
      <c r="C218" s="46"/>
      <c r="D218" s="46"/>
      <c r="E218" s="46"/>
      <c r="F218" s="46"/>
      <c r="G218" s="46"/>
      <c r="H218" s="7">
        <f t="shared" si="108"/>
        <v>0</v>
      </c>
      <c r="I218" s="10"/>
      <c r="J218" s="10"/>
      <c r="K218" s="7">
        <v>0</v>
      </c>
      <c r="L218" s="10"/>
      <c r="M218" s="7">
        <f t="shared" si="95"/>
        <v>0</v>
      </c>
      <c r="N218" s="10"/>
      <c r="O218" s="7">
        <v>0</v>
      </c>
      <c r="P218" s="10"/>
      <c r="Q218" s="7">
        <f t="shared" si="107"/>
        <v>0</v>
      </c>
    </row>
    <row r="219" spans="1:17" ht="15.75" thickBot="1" x14ac:dyDescent="0.3">
      <c r="A219" s="106" t="s">
        <v>224</v>
      </c>
      <c r="B219" s="107">
        <f t="shared" ref="B219:G219" si="110">B97-B211-B213-B214-B216-B215</f>
        <v>129735.42500000005</v>
      </c>
      <c r="C219" s="107">
        <f t="shared" si="110"/>
        <v>-39800.06</v>
      </c>
      <c r="D219" s="107">
        <f t="shared" si="110"/>
        <v>-48122.900000000023</v>
      </c>
      <c r="E219" s="107">
        <f t="shared" si="110"/>
        <v>-6945.4250000000029</v>
      </c>
      <c r="F219" s="107">
        <f t="shared" si="110"/>
        <v>-34866.619999999995</v>
      </c>
      <c r="G219" s="107">
        <f t="shared" si="110"/>
        <v>0</v>
      </c>
      <c r="H219" s="107">
        <f>H97-H211-H213-H214-H216-H215</f>
        <v>0.42000000039115548</v>
      </c>
      <c r="I219" s="10"/>
      <c r="J219" s="10"/>
      <c r="K219" s="107">
        <f>K97-K211-K213-K214-K216-K215</f>
        <v>-5.0000000046566129E-2</v>
      </c>
      <c r="L219" s="10"/>
      <c r="M219" s="107">
        <f>M97-M211-M213-M214-M216-M215</f>
        <v>0.46999999997206032</v>
      </c>
      <c r="N219" s="10"/>
      <c r="O219" s="107">
        <f>O97-O211-O213-O214-O216-O215</f>
        <v>4556.0400000000373</v>
      </c>
      <c r="P219" s="10"/>
      <c r="Q219" s="107">
        <f>Q97-Q211-Q213-Q214-Q216-Q215</f>
        <v>-4555.6199999999953</v>
      </c>
    </row>
    <row r="220" spans="1:17" x14ac:dyDescent="0.25">
      <c r="A220" s="108"/>
      <c r="B220" s="109">
        <f t="shared" ref="B220:H220" si="111">B219/(B97)</f>
        <v>6.5499190192647341E-2</v>
      </c>
      <c r="C220" s="109">
        <f t="shared" si="111"/>
        <v>-0.4625900073270427</v>
      </c>
      <c r="D220" s="109">
        <f t="shared" si="111"/>
        <v>-0.36438026528798106</v>
      </c>
      <c r="E220" s="109">
        <f t="shared" si="111"/>
        <v>-0.15660484780157841</v>
      </c>
      <c r="F220" s="109">
        <f t="shared" si="111"/>
        <v>-0.6563746234939758</v>
      </c>
      <c r="G220" s="109">
        <f t="shared" si="111"/>
        <v>0</v>
      </c>
      <c r="H220" s="109">
        <f t="shared" si="111"/>
        <v>1.8159694816434258E-7</v>
      </c>
      <c r="I220" s="28"/>
      <c r="J220" s="10"/>
      <c r="K220" s="109">
        <v>-2.5173125804556955E-8</v>
      </c>
      <c r="L220" s="10"/>
      <c r="M220" s="109">
        <f t="shared" si="95"/>
        <v>2.0677007396889954E-7</v>
      </c>
      <c r="N220" s="10"/>
      <c r="O220" s="109">
        <v>-2.5173125804556955E-8</v>
      </c>
      <c r="P220" s="10"/>
      <c r="Q220" s="109">
        <f t="shared" ref="Q220" si="112">L220-O220</f>
        <v>2.5173125804556955E-8</v>
      </c>
    </row>
    <row r="221" spans="1:17" x14ac:dyDescent="0.25">
      <c r="B221" s="110"/>
      <c r="C221" s="110"/>
      <c r="D221" s="110"/>
      <c r="E221" s="110"/>
      <c r="F221" s="110"/>
      <c r="G221" s="110"/>
      <c r="H221" s="110"/>
      <c r="K221" s="110"/>
      <c r="O221" s="110"/>
    </row>
    <row r="222" spans="1:17" x14ac:dyDescent="0.25">
      <c r="A222" s="1" t="str">
        <f t="shared" ref="A222:H222" si="113">A1</f>
        <v>Young Women's Academy of Las Vegas - FY25</v>
      </c>
      <c r="B222" s="1" t="str">
        <f t="shared" si="113"/>
        <v>Operating</v>
      </c>
      <c r="C222" s="1" t="str">
        <f t="shared" si="113"/>
        <v>SPED</v>
      </c>
      <c r="D222" s="1" t="str">
        <f t="shared" si="113"/>
        <v>NSLP</v>
      </c>
      <c r="E222" s="1" t="str">
        <f t="shared" si="113"/>
        <v>Other</v>
      </c>
      <c r="F222" s="1" t="str">
        <f t="shared" si="113"/>
        <v>Title I</v>
      </c>
      <c r="G222" s="1" t="str">
        <f t="shared" si="113"/>
        <v>Title II/III/IV</v>
      </c>
      <c r="H222" s="1" t="str">
        <f t="shared" si="113"/>
        <v>Total (24-25)</v>
      </c>
      <c r="I222" s="2"/>
      <c r="J222" s="2"/>
      <c r="K222" s="1" t="str">
        <f t="shared" ref="K222" si="114">K1</f>
        <v>24-25 (Final)</v>
      </c>
      <c r="L222" s="2"/>
      <c r="M222" s="1" t="str">
        <f t="shared" ref="M222" si="115">M1</f>
        <v>Variance</v>
      </c>
      <c r="N222" s="2"/>
      <c r="O222" s="1" t="str">
        <f t="shared" ref="O222" si="116">O1</f>
        <v>24-25 (Accelerated)</v>
      </c>
      <c r="P222" s="2"/>
      <c r="Q222" s="1" t="str">
        <f t="shared" ref="Q222" si="117">Q1</f>
        <v>Variance</v>
      </c>
    </row>
    <row r="224" spans="1:17" s="18" customFormat="1" x14ac:dyDescent="0.25">
      <c r="A224" s="10"/>
      <c r="B224" s="111"/>
      <c r="C224" s="111"/>
      <c r="D224" s="111"/>
      <c r="E224" s="111"/>
      <c r="F224" s="111"/>
      <c r="G224" s="111"/>
      <c r="H224" s="111"/>
      <c r="K224" s="111"/>
      <c r="O224" s="111"/>
    </row>
    <row r="225" spans="1:16" s="18" customFormat="1" x14ac:dyDescent="0.25">
      <c r="A225" s="112" t="s">
        <v>225</v>
      </c>
      <c r="B225" s="113"/>
      <c r="C225" s="113"/>
      <c r="D225" s="113"/>
      <c r="E225" s="113"/>
      <c r="F225" s="113"/>
      <c r="G225" s="113"/>
      <c r="H225" s="113">
        <f>H97-H211</f>
        <v>55500.420000000391</v>
      </c>
      <c r="K225" s="113">
        <v>67499.949999999953</v>
      </c>
      <c r="O225" s="113">
        <v>67499.949999999953</v>
      </c>
    </row>
    <row r="226" spans="1:16" x14ac:dyDescent="0.25">
      <c r="A226"/>
      <c r="B226" s="10"/>
      <c r="C226" s="10"/>
      <c r="D226" s="10"/>
      <c r="E226" s="10"/>
      <c r="F226" s="10"/>
      <c r="G226" s="10"/>
      <c r="H226" s="10"/>
      <c r="I226" s="10"/>
      <c r="J226" s="10"/>
      <c r="K226" s="10"/>
      <c r="L226" s="10"/>
      <c r="N226" s="10"/>
      <c r="O226" s="10"/>
      <c r="P226" s="10"/>
    </row>
    <row r="227" spans="1:16" x14ac:dyDescent="0.25">
      <c r="A227" s="114" t="str">
        <f>A213</f>
        <v>Scheduled Lease Payment</v>
      </c>
      <c r="B227" s="115"/>
      <c r="C227" s="115"/>
      <c r="D227" s="115"/>
      <c r="E227" s="115"/>
      <c r="F227" s="115"/>
      <c r="G227" s="115"/>
      <c r="H227" s="115">
        <f>H213</f>
        <v>55500</v>
      </c>
      <c r="I227" s="10"/>
      <c r="J227" s="10"/>
      <c r="K227" s="115">
        <v>67500</v>
      </c>
      <c r="L227" s="10"/>
      <c r="N227" s="10"/>
      <c r="O227" s="115">
        <v>67500</v>
      </c>
      <c r="P227" s="10"/>
    </row>
    <row r="228" spans="1:16" x14ac:dyDescent="0.25">
      <c r="A228" s="114" t="str">
        <f>A214</f>
        <v>Scheduled Bond Payment - Principal</v>
      </c>
      <c r="B228" s="115"/>
      <c r="C228" s="115"/>
      <c r="D228" s="115"/>
      <c r="E228" s="115"/>
      <c r="F228" s="115"/>
      <c r="G228" s="115"/>
      <c r="H228" s="115">
        <f t="shared" ref="H228:H229" si="118">H214</f>
        <v>0</v>
      </c>
      <c r="I228" s="10"/>
      <c r="J228" s="10"/>
      <c r="K228" s="115">
        <v>0</v>
      </c>
      <c r="L228" s="10"/>
      <c r="N228" s="10"/>
      <c r="O228" s="115">
        <v>0</v>
      </c>
      <c r="P228" s="10"/>
    </row>
    <row r="229" spans="1:16" x14ac:dyDescent="0.25">
      <c r="A229" s="114" t="str">
        <f>A215</f>
        <v>Scheduled Bond Payment - Interest</v>
      </c>
      <c r="B229" s="115"/>
      <c r="C229" s="115"/>
      <c r="D229" s="115"/>
      <c r="E229" s="115"/>
      <c r="F229" s="115"/>
      <c r="G229" s="115"/>
      <c r="H229" s="115">
        <f t="shared" si="118"/>
        <v>0</v>
      </c>
      <c r="I229" s="10"/>
      <c r="J229" s="10"/>
      <c r="K229" s="115">
        <v>0</v>
      </c>
      <c r="L229" s="10"/>
      <c r="N229" s="10"/>
      <c r="O229" s="115">
        <v>0</v>
      </c>
      <c r="P229" s="10"/>
    </row>
    <row r="230" spans="1:16" x14ac:dyDescent="0.25">
      <c r="A230"/>
      <c r="B230" s="115"/>
      <c r="C230" s="115"/>
      <c r="D230" s="115"/>
      <c r="E230" s="115"/>
      <c r="F230" s="115"/>
      <c r="G230" s="115"/>
      <c r="H230" s="115"/>
      <c r="I230" s="10"/>
      <c r="J230" s="10"/>
      <c r="K230" s="115"/>
      <c r="L230" s="10"/>
      <c r="N230" s="10"/>
      <c r="O230" s="115"/>
      <c r="P230" s="10"/>
    </row>
    <row r="231" spans="1:16" x14ac:dyDescent="0.25">
      <c r="A231" s="112" t="s">
        <v>226</v>
      </c>
      <c r="B231" s="116"/>
      <c r="C231" s="116"/>
      <c r="D231" s="116"/>
      <c r="E231" s="116"/>
      <c r="F231" s="116"/>
      <c r="G231" s="116"/>
      <c r="H231" s="116">
        <f>SUM(H227:H229)</f>
        <v>55500</v>
      </c>
      <c r="I231" s="10"/>
      <c r="J231" s="10"/>
      <c r="K231" s="116">
        <v>67500</v>
      </c>
      <c r="L231" s="10"/>
      <c r="N231" s="10"/>
      <c r="O231" s="116">
        <v>67500</v>
      </c>
      <c r="P231" s="10"/>
    </row>
    <row r="232" spans="1:16" x14ac:dyDescent="0.25">
      <c r="A232" s="117" t="s">
        <v>227</v>
      </c>
      <c r="B232" s="118"/>
      <c r="C232" s="118"/>
      <c r="D232" s="118"/>
      <c r="E232" s="118"/>
      <c r="F232" s="118"/>
      <c r="G232" s="118"/>
      <c r="H232" s="118">
        <f>H225/H231</f>
        <v>1.0000075675675746</v>
      </c>
      <c r="I232" s="119"/>
      <c r="J232" s="119"/>
      <c r="K232" s="118">
        <v>0.99999925925925859</v>
      </c>
      <c r="L232" s="119"/>
      <c r="N232" s="119"/>
      <c r="O232" s="118">
        <v>0.99999925925925859</v>
      </c>
      <c r="P232" s="119"/>
    </row>
    <row r="233" spans="1:16" x14ac:dyDescent="0.25">
      <c r="A233"/>
      <c r="B233" s="10"/>
      <c r="C233" s="10"/>
      <c r="D233" s="10"/>
      <c r="E233" s="10"/>
      <c r="F233" s="10"/>
      <c r="G233" s="10"/>
      <c r="H233" s="10"/>
      <c r="I233" s="10"/>
      <c r="J233" s="10"/>
      <c r="K233" s="10"/>
      <c r="L233" s="10"/>
      <c r="N233" s="10"/>
      <c r="O233" s="10"/>
      <c r="P233" s="10"/>
    </row>
    <row r="234" spans="1:16" x14ac:dyDescent="0.25">
      <c r="A234" s="120" t="s">
        <v>228</v>
      </c>
      <c r="B234" s="121"/>
      <c r="C234" s="121"/>
      <c r="D234" s="121"/>
      <c r="E234" s="121"/>
      <c r="F234" s="121"/>
      <c r="G234" s="121"/>
      <c r="H234" s="121"/>
      <c r="I234" s="10"/>
      <c r="J234" s="10"/>
      <c r="K234" s="121"/>
      <c r="L234" s="10"/>
      <c r="N234" s="10"/>
      <c r="O234" s="121"/>
      <c r="P234" s="10"/>
    </row>
    <row r="235" spans="1:16" x14ac:dyDescent="0.25">
      <c r="A235" t="s">
        <v>229</v>
      </c>
      <c r="B235" s="122"/>
      <c r="C235" s="122"/>
      <c r="D235" s="122"/>
      <c r="E235" s="122"/>
      <c r="F235" s="122"/>
      <c r="G235" s="122"/>
      <c r="H235" s="123"/>
      <c r="I235" s="10"/>
      <c r="J235" s="10"/>
      <c r="K235" s="123"/>
      <c r="L235" s="10"/>
      <c r="N235" s="10"/>
      <c r="O235" s="123"/>
      <c r="P235" s="10"/>
    </row>
    <row r="236" spans="1:16" x14ac:dyDescent="0.25">
      <c r="A236" s="10" t="s">
        <v>230</v>
      </c>
      <c r="B236" s="122"/>
      <c r="C236" s="122"/>
      <c r="D236" s="122"/>
      <c r="E236" s="122"/>
      <c r="F236" s="122"/>
      <c r="G236" s="122"/>
      <c r="H236" s="122"/>
      <c r="I236" s="10"/>
      <c r="J236" s="10"/>
      <c r="K236" s="122"/>
      <c r="L236" s="10"/>
      <c r="N236" s="10"/>
      <c r="O236" s="122"/>
      <c r="P236" s="10"/>
    </row>
    <row r="237" spans="1:16" x14ac:dyDescent="0.25">
      <c r="A237" s="10" t="s">
        <v>231</v>
      </c>
      <c r="B237" s="122"/>
      <c r="C237" s="122"/>
      <c r="D237" s="122"/>
      <c r="E237" s="122"/>
      <c r="F237" s="122"/>
      <c r="G237" s="122"/>
      <c r="H237" s="122"/>
      <c r="I237" s="119"/>
      <c r="J237" s="119"/>
      <c r="K237" s="122"/>
      <c r="L237" s="119"/>
      <c r="N237" s="119"/>
      <c r="O237" s="122"/>
      <c r="P237" s="119"/>
    </row>
    <row r="238" spans="1:16" x14ac:dyDescent="0.25">
      <c r="A238" s="124" t="s">
        <v>232</v>
      </c>
      <c r="B238" s="125"/>
      <c r="C238" s="125"/>
      <c r="D238" s="125"/>
      <c r="E238" s="125"/>
      <c r="F238" s="125"/>
      <c r="G238" s="125"/>
      <c r="H238" s="125">
        <f>SUM(H235:H237)</f>
        <v>0</v>
      </c>
      <c r="I238" s="10"/>
      <c r="J238" s="10"/>
      <c r="K238" s="125">
        <v>0</v>
      </c>
      <c r="L238" s="10"/>
      <c r="N238" s="10"/>
      <c r="O238" s="125">
        <v>0</v>
      </c>
      <c r="P238" s="10"/>
    </row>
    <row r="239" spans="1:16" x14ac:dyDescent="0.25">
      <c r="A239" s="126" t="s">
        <v>233</v>
      </c>
      <c r="B239" s="127"/>
      <c r="C239" s="127"/>
      <c r="D239" s="127"/>
      <c r="E239" s="127"/>
      <c r="F239" s="127"/>
      <c r="G239" s="127"/>
      <c r="H239" s="127">
        <f>H238/((SUM(H211:H217))/365)</f>
        <v>0</v>
      </c>
      <c r="I239" s="10"/>
      <c r="J239" s="10"/>
      <c r="K239" s="127">
        <v>0</v>
      </c>
      <c r="L239" s="10"/>
      <c r="N239" s="10"/>
      <c r="O239" s="127">
        <v>0</v>
      </c>
      <c r="P239" s="10"/>
    </row>
    <row r="240" spans="1:16" x14ac:dyDescent="0.25">
      <c r="A240"/>
      <c r="B240" s="128"/>
    </row>
    <row r="241" spans="3:15" x14ac:dyDescent="0.25">
      <c r="C241" s="129"/>
      <c r="D241" s="129"/>
      <c r="E241" s="129"/>
      <c r="F241" s="129"/>
      <c r="G241" s="129"/>
      <c r="H241" s="129"/>
      <c r="K241" s="129"/>
      <c r="O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C01F-D9E2-4731-98BE-BC8B7DC845FE}">
  <dimension ref="A1:N241"/>
  <sheetViews>
    <sheetView topLeftCell="A189" zoomScale="85" zoomScaleNormal="85" workbookViewId="0">
      <selection activeCell="B164" sqref="B164"/>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235</v>
      </c>
      <c r="B1" s="1" t="s">
        <v>1</v>
      </c>
      <c r="C1" s="1" t="s">
        <v>2</v>
      </c>
      <c r="D1" s="1" t="s">
        <v>3</v>
      </c>
      <c r="E1" s="1" t="s">
        <v>4</v>
      </c>
      <c r="F1" s="1" t="s">
        <v>5</v>
      </c>
      <c r="G1" s="1" t="s">
        <v>6</v>
      </c>
      <c r="H1" s="1" t="s">
        <v>236</v>
      </c>
      <c r="I1" s="2"/>
      <c r="J1" s="2"/>
      <c r="K1" s="1" t="s">
        <v>7</v>
      </c>
      <c r="L1" s="2"/>
      <c r="M1" s="1" t="s">
        <v>9</v>
      </c>
      <c r="N1" s="2"/>
    </row>
    <row r="2" spans="1:14" x14ac:dyDescent="0.25">
      <c r="A2" s="6" t="s">
        <v>13</v>
      </c>
      <c r="B2" s="7">
        <f>9414*1.03</f>
        <v>9696.42</v>
      </c>
      <c r="C2" s="7"/>
      <c r="D2" s="7"/>
      <c r="E2" s="7"/>
      <c r="F2" s="7"/>
      <c r="G2" s="7"/>
      <c r="H2" s="7">
        <f t="shared" ref="H2:H16" si="0">SUM(B2:G2)</f>
        <v>9696.42</v>
      </c>
      <c r="I2" s="8"/>
      <c r="J2" s="9"/>
      <c r="K2" s="7">
        <v>9414</v>
      </c>
      <c r="L2" s="9"/>
      <c r="M2" s="7">
        <f t="shared" ref="M2:M62" si="1">H2-K2</f>
        <v>282.42000000000007</v>
      </c>
      <c r="N2" s="9"/>
    </row>
    <row r="3" spans="1:14" x14ac:dyDescent="0.25">
      <c r="A3" s="11" t="s">
        <v>14</v>
      </c>
      <c r="B3" s="12">
        <f t="shared" ref="B3" si="2">B4+B5+B6+B7+B8+B9+B10+B11+B12+B13+B14+B15+B16</f>
        <v>150</v>
      </c>
      <c r="C3" s="12"/>
      <c r="D3" s="12"/>
      <c r="E3" s="12"/>
      <c r="F3" s="12"/>
      <c r="G3" s="12"/>
      <c r="H3" s="12">
        <f t="shared" si="0"/>
        <v>150</v>
      </c>
      <c r="I3" s="8"/>
      <c r="J3" s="9"/>
      <c r="K3" s="12">
        <v>111</v>
      </c>
      <c r="L3" s="9"/>
      <c r="M3" s="12">
        <f t="shared" si="1"/>
        <v>39</v>
      </c>
      <c r="N3" s="9"/>
    </row>
    <row r="4" spans="1:14" x14ac:dyDescent="0.25">
      <c r="A4" s="13" t="s">
        <v>15</v>
      </c>
      <c r="B4" s="7">
        <v>0</v>
      </c>
      <c r="C4" s="14"/>
      <c r="D4" s="14"/>
      <c r="E4" s="14"/>
      <c r="F4" s="14"/>
      <c r="G4" s="14"/>
      <c r="H4" s="14">
        <f t="shared" si="0"/>
        <v>0</v>
      </c>
      <c r="I4" s="15">
        <f>B4/25</f>
        <v>0</v>
      </c>
      <c r="J4" s="16"/>
      <c r="K4" s="14">
        <v>0</v>
      </c>
      <c r="L4" s="16">
        <f>K4/25</f>
        <v>0</v>
      </c>
      <c r="M4" s="14">
        <f t="shared" si="1"/>
        <v>0</v>
      </c>
      <c r="N4" s="16"/>
    </row>
    <row r="5" spans="1:14" x14ac:dyDescent="0.25">
      <c r="A5" s="11" t="s">
        <v>16</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17</v>
      </c>
      <c r="B6" s="7">
        <v>0</v>
      </c>
      <c r="C6" s="14"/>
      <c r="D6" s="14"/>
      <c r="E6" s="14"/>
      <c r="F6" s="14"/>
      <c r="G6" s="14"/>
      <c r="H6" s="14">
        <f t="shared" si="0"/>
        <v>0</v>
      </c>
      <c r="I6" s="15">
        <f>B6/26</f>
        <v>0</v>
      </c>
      <c r="J6" s="16"/>
      <c r="K6" s="14">
        <v>0</v>
      </c>
      <c r="L6" s="16">
        <f>K6/26</f>
        <v>0</v>
      </c>
      <c r="M6" s="14">
        <f t="shared" si="1"/>
        <v>0</v>
      </c>
      <c r="N6" s="16"/>
    </row>
    <row r="7" spans="1:14" x14ac:dyDescent="0.25">
      <c r="A7" s="17" t="s">
        <v>18</v>
      </c>
      <c r="B7" s="7">
        <v>0</v>
      </c>
      <c r="C7" s="14"/>
      <c r="D7" s="14"/>
      <c r="E7" s="14"/>
      <c r="F7" s="14"/>
      <c r="G7" s="14"/>
      <c r="H7" s="14">
        <f t="shared" si="0"/>
        <v>0</v>
      </c>
      <c r="I7" s="15">
        <f>B7/26</f>
        <v>0</v>
      </c>
      <c r="J7" s="16"/>
      <c r="K7" s="14">
        <v>0</v>
      </c>
      <c r="L7" s="16">
        <f>K7/27</f>
        <v>0</v>
      </c>
      <c r="M7" s="14">
        <f t="shared" si="1"/>
        <v>0</v>
      </c>
      <c r="N7" s="16"/>
    </row>
    <row r="8" spans="1:14" x14ac:dyDescent="0.25">
      <c r="A8" s="17" t="s">
        <v>19</v>
      </c>
      <c r="B8" s="7">
        <v>0</v>
      </c>
      <c r="C8" s="14"/>
      <c r="D8" s="14"/>
      <c r="E8" s="14"/>
      <c r="F8" s="14"/>
      <c r="G8" s="14"/>
      <c r="H8" s="14">
        <f t="shared" si="0"/>
        <v>0</v>
      </c>
      <c r="I8" s="15">
        <f>B8/27</f>
        <v>0</v>
      </c>
      <c r="J8" s="16"/>
      <c r="K8" s="14">
        <v>0</v>
      </c>
      <c r="L8" s="16">
        <f>K8/27</f>
        <v>0</v>
      </c>
      <c r="M8" s="14">
        <f t="shared" si="1"/>
        <v>0</v>
      </c>
      <c r="N8" s="16"/>
    </row>
    <row r="9" spans="1:14" x14ac:dyDescent="0.25">
      <c r="A9" s="17" t="s">
        <v>20</v>
      </c>
      <c r="B9" s="7">
        <v>0</v>
      </c>
      <c r="C9" s="14"/>
      <c r="D9" s="14"/>
      <c r="E9" s="14"/>
      <c r="F9" s="14"/>
      <c r="G9" s="14"/>
      <c r="H9" s="14">
        <f t="shared" si="0"/>
        <v>0</v>
      </c>
      <c r="I9" s="15">
        <f>B9/27</f>
        <v>0</v>
      </c>
      <c r="J9" s="16"/>
      <c r="K9" s="14">
        <v>0</v>
      </c>
      <c r="L9" s="16">
        <f>K9/31</f>
        <v>0</v>
      </c>
      <c r="M9" s="14">
        <f t="shared" si="1"/>
        <v>0</v>
      </c>
      <c r="N9" s="16"/>
    </row>
    <row r="10" spans="1:14" x14ac:dyDescent="0.25">
      <c r="A10" s="17" t="s">
        <v>21</v>
      </c>
      <c r="B10" s="7">
        <v>35</v>
      </c>
      <c r="C10" s="7"/>
      <c r="D10" s="7"/>
      <c r="E10" s="7"/>
      <c r="F10" s="7"/>
      <c r="G10" s="7"/>
      <c r="H10" s="14">
        <f t="shared" si="0"/>
        <v>35</v>
      </c>
      <c r="I10" s="15">
        <v>1</v>
      </c>
      <c r="J10" s="16"/>
      <c r="K10" s="14">
        <v>35</v>
      </c>
      <c r="L10" s="16">
        <v>1</v>
      </c>
      <c r="M10" s="14">
        <f t="shared" si="1"/>
        <v>0</v>
      </c>
      <c r="N10" s="16"/>
    </row>
    <row r="11" spans="1:14" x14ac:dyDescent="0.25">
      <c r="A11" s="17" t="s">
        <v>22</v>
      </c>
      <c r="B11" s="7">
        <v>35</v>
      </c>
      <c r="C11" s="7"/>
      <c r="D11" s="7"/>
      <c r="E11" s="7"/>
      <c r="F11" s="7"/>
      <c r="G11" s="7"/>
      <c r="H11" s="14">
        <f t="shared" si="0"/>
        <v>35</v>
      </c>
      <c r="I11" s="15">
        <v>1</v>
      </c>
      <c r="J11" s="16"/>
      <c r="K11" s="14">
        <v>29</v>
      </c>
      <c r="L11" s="16">
        <v>1</v>
      </c>
      <c r="M11" s="14">
        <f t="shared" si="1"/>
        <v>6</v>
      </c>
      <c r="N11" s="16"/>
    </row>
    <row r="12" spans="1:14" x14ac:dyDescent="0.25">
      <c r="A12" s="17" t="s">
        <v>23</v>
      </c>
      <c r="B12" s="7">
        <v>29</v>
      </c>
      <c r="C12" s="7"/>
      <c r="D12" s="7"/>
      <c r="E12" s="7"/>
      <c r="F12" s="7"/>
      <c r="G12" s="7"/>
      <c r="H12" s="14">
        <f t="shared" si="0"/>
        <v>29</v>
      </c>
      <c r="I12" s="15">
        <v>1</v>
      </c>
      <c r="J12" s="16"/>
      <c r="K12" s="14">
        <v>29</v>
      </c>
      <c r="L12" s="16">
        <v>1</v>
      </c>
      <c r="M12" s="14">
        <f t="shared" si="1"/>
        <v>0</v>
      </c>
      <c r="N12" s="16"/>
    </row>
    <row r="13" spans="1:14" x14ac:dyDescent="0.25">
      <c r="A13" s="17" t="s">
        <v>24</v>
      </c>
      <c r="B13" s="7">
        <v>29</v>
      </c>
      <c r="C13" s="7"/>
      <c r="D13" s="7"/>
      <c r="E13" s="7"/>
      <c r="F13" s="7"/>
      <c r="G13" s="7"/>
      <c r="H13" s="14">
        <f t="shared" si="0"/>
        <v>29</v>
      </c>
      <c r="I13" s="15">
        <v>1</v>
      </c>
      <c r="K13" s="14">
        <v>18</v>
      </c>
      <c r="L13" s="16">
        <v>1</v>
      </c>
      <c r="M13" s="14">
        <f t="shared" si="1"/>
        <v>11</v>
      </c>
    </row>
    <row r="14" spans="1:14" x14ac:dyDescent="0.25">
      <c r="A14" s="17" t="s">
        <v>25</v>
      </c>
      <c r="B14" s="7">
        <v>22</v>
      </c>
      <c r="C14" s="7"/>
      <c r="D14" s="7"/>
      <c r="E14" s="7"/>
      <c r="F14" s="7"/>
      <c r="G14" s="7"/>
      <c r="H14" s="14">
        <f t="shared" si="0"/>
        <v>22</v>
      </c>
      <c r="I14" s="15">
        <v>1</v>
      </c>
      <c r="K14" s="14">
        <v>0</v>
      </c>
      <c r="L14" s="16">
        <v>1</v>
      </c>
      <c r="M14" s="14">
        <f t="shared" si="1"/>
        <v>22</v>
      </c>
    </row>
    <row r="15" spans="1:14" x14ac:dyDescent="0.25">
      <c r="A15" s="17" t="s">
        <v>26</v>
      </c>
      <c r="B15" s="7">
        <v>0</v>
      </c>
      <c r="C15" s="7"/>
      <c r="D15" s="7"/>
      <c r="E15" s="7"/>
      <c r="F15" s="7"/>
      <c r="G15" s="7"/>
      <c r="H15" s="14">
        <f t="shared" si="0"/>
        <v>0</v>
      </c>
      <c r="I15" s="15">
        <v>0</v>
      </c>
      <c r="K15" s="14">
        <v>0</v>
      </c>
      <c r="L15" s="16">
        <v>1</v>
      </c>
      <c r="M15" s="14">
        <f t="shared" si="1"/>
        <v>0</v>
      </c>
    </row>
    <row r="16" spans="1:14" x14ac:dyDescent="0.25">
      <c r="A16" s="17" t="s">
        <v>27</v>
      </c>
      <c r="B16" s="7">
        <v>0</v>
      </c>
      <c r="C16" s="7"/>
      <c r="D16" s="7"/>
      <c r="E16" s="7"/>
      <c r="F16" s="7"/>
      <c r="G16" s="7"/>
      <c r="H16" s="14">
        <f t="shared" si="0"/>
        <v>0</v>
      </c>
      <c r="I16" s="19"/>
      <c r="K16" s="14">
        <v>0</v>
      </c>
      <c r="M16" s="14">
        <f t="shared" si="1"/>
        <v>0</v>
      </c>
    </row>
    <row r="17" spans="1:14" x14ac:dyDescent="0.25">
      <c r="A17" s="20" t="s">
        <v>14</v>
      </c>
      <c r="B17" s="12">
        <f t="shared" ref="B17:G17" si="4">SUM(B4:B16)</f>
        <v>150</v>
      </c>
      <c r="C17" s="12">
        <f t="shared" si="4"/>
        <v>0</v>
      </c>
      <c r="D17" s="12">
        <f t="shared" si="4"/>
        <v>0</v>
      </c>
      <c r="E17" s="12"/>
      <c r="F17" s="12">
        <f t="shared" si="4"/>
        <v>0</v>
      </c>
      <c r="G17" s="12">
        <f t="shared" si="4"/>
        <v>0</v>
      </c>
      <c r="H17" s="12">
        <f>SUM(H4:H16)</f>
        <v>150</v>
      </c>
      <c r="I17" s="15">
        <f>SUM(I4:I16)</f>
        <v>5</v>
      </c>
      <c r="J17" s="21"/>
      <c r="K17" s="12">
        <v>111</v>
      </c>
      <c r="L17" s="21"/>
      <c r="M17" s="12">
        <f>H17-K17</f>
        <v>39</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28</v>
      </c>
      <c r="B19" s="24" t="str">
        <f>B1</f>
        <v>Operating</v>
      </c>
      <c r="C19" s="24" t="str">
        <f>C1</f>
        <v>SPED</v>
      </c>
      <c r="D19" s="24" t="str">
        <f>D1</f>
        <v>NSLP</v>
      </c>
      <c r="E19" s="24" t="str">
        <f>E1</f>
        <v>Other</v>
      </c>
      <c r="F19" s="24" t="str">
        <f t="shared" ref="F19:G19" si="5">F1</f>
        <v>Title I</v>
      </c>
      <c r="G19" s="24" t="str">
        <f t="shared" si="5"/>
        <v>Title II/III/IV</v>
      </c>
      <c r="H19" s="24" t="str">
        <f>H1</f>
        <v>Total (25-26)</v>
      </c>
      <c r="I19" s="25"/>
      <c r="J19" s="25"/>
      <c r="K19" s="24" t="s">
        <v>7</v>
      </c>
      <c r="L19" s="25"/>
      <c r="M19" s="24" t="str">
        <f>M1</f>
        <v>Variance</v>
      </c>
      <c r="N19" s="25"/>
    </row>
    <row r="20" spans="1:14" x14ac:dyDescent="0.25">
      <c r="A20" s="17" t="s">
        <v>29</v>
      </c>
      <c r="B20" s="7"/>
      <c r="C20" s="7">
        <f>('24-25'!C20/'24-25'!B17)*'25-26'!B17</f>
        <v>22.972972972972972</v>
      </c>
      <c r="D20" s="7"/>
      <c r="E20" s="7"/>
      <c r="F20" s="7"/>
      <c r="G20" s="7"/>
      <c r="H20" s="7">
        <f>SUM(B20:G20)</f>
        <v>22.972972972972972</v>
      </c>
      <c r="I20" s="26" t="s">
        <v>30</v>
      </c>
      <c r="J20" s="27"/>
      <c r="K20" s="7">
        <v>17</v>
      </c>
      <c r="L20" s="27"/>
      <c r="M20" s="7">
        <f t="shared" si="1"/>
        <v>5.9729729729729719</v>
      </c>
      <c r="N20" s="27"/>
    </row>
    <row r="21" spans="1:14" x14ac:dyDescent="0.25">
      <c r="A21" s="17" t="s">
        <v>31</v>
      </c>
      <c r="B21" s="7">
        <f>('24-25'!B21/'24-25'!B17)*'25-26'!B17</f>
        <v>31.081081081081081</v>
      </c>
      <c r="C21" s="7"/>
      <c r="D21" s="7"/>
      <c r="E21" s="7"/>
      <c r="F21" s="7"/>
      <c r="G21" s="7"/>
      <c r="H21" s="7">
        <f>SUM(B21:G21)</f>
        <v>31.081081081081081</v>
      </c>
      <c r="I21" s="26"/>
      <c r="J21" s="27"/>
      <c r="K21" s="7">
        <v>23</v>
      </c>
      <c r="L21" s="27"/>
      <c r="M21" s="7">
        <f t="shared" si="1"/>
        <v>8.0810810810810807</v>
      </c>
      <c r="N21" s="27"/>
    </row>
    <row r="22" spans="1:14" x14ac:dyDescent="0.25">
      <c r="A22" s="17" t="s">
        <v>32</v>
      </c>
      <c r="B22" s="14">
        <v>0</v>
      </c>
      <c r="C22" s="14"/>
      <c r="D22" s="14"/>
      <c r="E22" s="14"/>
      <c r="F22" s="14"/>
      <c r="G22" s="14"/>
      <c r="H22" s="7">
        <f>SUM(B22:G22)</f>
        <v>0</v>
      </c>
      <c r="I22" s="19"/>
      <c r="K22" s="7">
        <v>0</v>
      </c>
      <c r="M22" s="7">
        <f t="shared" si="1"/>
        <v>0</v>
      </c>
    </row>
    <row r="23" spans="1:14" x14ac:dyDescent="0.25">
      <c r="A23" s="17" t="s">
        <v>33</v>
      </c>
      <c r="B23" s="7">
        <v>101</v>
      </c>
      <c r="C23" s="29"/>
      <c r="D23" s="29">
        <v>1</v>
      </c>
      <c r="E23" s="29"/>
      <c r="F23" s="29"/>
      <c r="G23" s="29"/>
      <c r="H23" s="29">
        <f>D23</f>
        <v>1</v>
      </c>
      <c r="I23" s="30"/>
      <c r="J23" s="31"/>
      <c r="K23" s="29">
        <v>1</v>
      </c>
      <c r="L23" s="31"/>
      <c r="M23" s="29">
        <f t="shared" si="1"/>
        <v>0</v>
      </c>
      <c r="N23" s="31"/>
    </row>
    <row r="24" spans="1:14" x14ac:dyDescent="0.25">
      <c r="A24" s="17" t="s">
        <v>34</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35</v>
      </c>
      <c r="B26" s="24" t="str">
        <f>B1</f>
        <v>Operating</v>
      </c>
      <c r="C26" s="24" t="str">
        <f>C1</f>
        <v>SPED</v>
      </c>
      <c r="D26" s="24" t="str">
        <f>D1</f>
        <v>NSLP</v>
      </c>
      <c r="E26" s="24" t="str">
        <f>E1</f>
        <v>Other</v>
      </c>
      <c r="F26" s="24" t="str">
        <f t="shared" ref="F26:G26" si="6">F1</f>
        <v>Title I</v>
      </c>
      <c r="G26" s="24" t="str">
        <f t="shared" si="6"/>
        <v>Title II/III/IV</v>
      </c>
      <c r="H26" s="24" t="str">
        <f>H1</f>
        <v>Total (25-26)</v>
      </c>
      <c r="I26" s="25"/>
      <c r="J26" s="25"/>
      <c r="K26" s="24" t="s">
        <v>7</v>
      </c>
      <c r="L26" s="25"/>
      <c r="M26" s="24" t="str">
        <f>M1</f>
        <v>Variance</v>
      </c>
      <c r="N26" s="25"/>
    </row>
    <row r="27" spans="1:14" x14ac:dyDescent="0.25">
      <c r="A27" s="33" t="s">
        <v>36</v>
      </c>
      <c r="B27" s="34">
        <v>5</v>
      </c>
      <c r="C27" s="34"/>
      <c r="D27" s="34"/>
      <c r="E27" s="34"/>
      <c r="F27" s="34"/>
      <c r="G27" s="34"/>
      <c r="H27" s="34">
        <f t="shared" ref="H27:H35" si="7">SUM(B27:G27)</f>
        <v>5</v>
      </c>
      <c r="I27" s="15">
        <f>H27/6</f>
        <v>0.83333333333333337</v>
      </c>
      <c r="J27" s="16"/>
      <c r="K27" s="34">
        <v>4</v>
      </c>
      <c r="L27" s="16"/>
      <c r="M27" s="34">
        <f t="shared" si="1"/>
        <v>1</v>
      </c>
      <c r="N27" s="16"/>
    </row>
    <row r="28" spans="1:14" x14ac:dyDescent="0.25">
      <c r="A28" s="33" t="s">
        <v>37</v>
      </c>
      <c r="B28" s="36">
        <v>0</v>
      </c>
      <c r="C28" s="36">
        <v>1</v>
      </c>
      <c r="D28" s="36"/>
      <c r="E28" s="36"/>
      <c r="F28" s="36"/>
      <c r="G28" s="36"/>
      <c r="H28" s="34">
        <f t="shared" si="7"/>
        <v>1</v>
      </c>
      <c r="I28" s="15">
        <f>H20/21</f>
        <v>1.0939510939510939</v>
      </c>
      <c r="J28" s="16"/>
      <c r="K28" s="34">
        <v>1</v>
      </c>
      <c r="L28" s="16"/>
      <c r="M28" s="34">
        <f t="shared" si="1"/>
        <v>0</v>
      </c>
      <c r="N28" s="16"/>
    </row>
    <row r="29" spans="1:14" x14ac:dyDescent="0.25">
      <c r="A29" s="33" t="s">
        <v>38</v>
      </c>
      <c r="B29" s="34">
        <v>0</v>
      </c>
      <c r="C29" s="34"/>
      <c r="D29" s="34"/>
      <c r="E29" s="34"/>
      <c r="F29" s="34"/>
      <c r="G29" s="34"/>
      <c r="H29" s="34">
        <f t="shared" si="7"/>
        <v>0</v>
      </c>
      <c r="I29" s="19"/>
      <c r="K29" s="34">
        <v>0</v>
      </c>
      <c r="M29" s="34">
        <f t="shared" si="1"/>
        <v>0</v>
      </c>
    </row>
    <row r="30" spans="1:14" x14ac:dyDescent="0.25">
      <c r="A30" s="33" t="s">
        <v>39</v>
      </c>
      <c r="B30" s="34">
        <v>0</v>
      </c>
      <c r="C30" s="34"/>
      <c r="D30" s="34"/>
      <c r="E30" s="34"/>
      <c r="F30" s="34"/>
      <c r="G30" s="34"/>
      <c r="H30" s="34">
        <f t="shared" si="7"/>
        <v>0</v>
      </c>
      <c r="I30" s="19"/>
      <c r="K30" s="34">
        <v>0</v>
      </c>
      <c r="M30" s="34">
        <f t="shared" si="1"/>
        <v>0</v>
      </c>
    </row>
    <row r="31" spans="1:14" x14ac:dyDescent="0.25">
      <c r="A31" s="33" t="s">
        <v>40</v>
      </c>
      <c r="B31" s="34">
        <v>0</v>
      </c>
      <c r="C31" s="34"/>
      <c r="D31" s="34"/>
      <c r="E31" s="34"/>
      <c r="F31" s="34"/>
      <c r="G31" s="34"/>
      <c r="H31" s="34">
        <f t="shared" si="7"/>
        <v>0</v>
      </c>
      <c r="I31" s="19"/>
      <c r="K31" s="34">
        <v>0</v>
      </c>
      <c r="M31" s="34">
        <f t="shared" si="1"/>
        <v>0</v>
      </c>
    </row>
    <row r="32" spans="1:14" x14ac:dyDescent="0.25">
      <c r="A32" s="38" t="s">
        <v>41</v>
      </c>
      <c r="B32" s="34">
        <v>0</v>
      </c>
      <c r="C32" s="34"/>
      <c r="D32" s="34"/>
      <c r="E32" s="34"/>
      <c r="F32" s="34"/>
      <c r="G32" s="34"/>
      <c r="H32" s="34">
        <f t="shared" si="7"/>
        <v>0</v>
      </c>
      <c r="I32" s="19"/>
      <c r="K32" s="34">
        <v>0</v>
      </c>
      <c r="M32" s="34">
        <f t="shared" si="1"/>
        <v>0</v>
      </c>
    </row>
    <row r="33" spans="1:14" x14ac:dyDescent="0.25">
      <c r="A33" s="38" t="s">
        <v>42</v>
      </c>
      <c r="B33" s="34">
        <v>0</v>
      </c>
      <c r="C33" s="34"/>
      <c r="D33" s="34"/>
      <c r="E33" s="34"/>
      <c r="F33" s="34"/>
      <c r="G33" s="34"/>
      <c r="H33" s="34">
        <f t="shared" si="7"/>
        <v>0</v>
      </c>
      <c r="I33" s="19"/>
      <c r="K33" s="34">
        <v>0</v>
      </c>
      <c r="M33" s="34">
        <f t="shared" si="1"/>
        <v>0</v>
      </c>
    </row>
    <row r="34" spans="1:14" x14ac:dyDescent="0.25">
      <c r="A34" s="38" t="s">
        <v>43</v>
      </c>
      <c r="B34" s="34">
        <v>3</v>
      </c>
      <c r="C34" s="34"/>
      <c r="D34" s="34"/>
      <c r="E34" s="34"/>
      <c r="F34" s="34"/>
      <c r="G34" s="34"/>
      <c r="H34" s="34">
        <f t="shared" si="7"/>
        <v>3</v>
      </c>
      <c r="I34" s="19"/>
      <c r="K34" s="34">
        <v>4</v>
      </c>
      <c r="M34" s="34">
        <f t="shared" si="1"/>
        <v>-1</v>
      </c>
    </row>
    <row r="35" spans="1:14" x14ac:dyDescent="0.25">
      <c r="A35" s="39" t="s">
        <v>44</v>
      </c>
      <c r="B35" s="34">
        <v>0</v>
      </c>
      <c r="C35" s="34"/>
      <c r="D35" s="34"/>
      <c r="E35" s="34"/>
      <c r="F35" s="34"/>
      <c r="G35" s="34"/>
      <c r="H35" s="34">
        <f t="shared" si="7"/>
        <v>0</v>
      </c>
      <c r="I35" s="19"/>
      <c r="K35" s="34">
        <v>0</v>
      </c>
      <c r="M35" s="34">
        <f t="shared" si="1"/>
        <v>0</v>
      </c>
    </row>
    <row r="36" spans="1:14" x14ac:dyDescent="0.25">
      <c r="A36" s="32" t="s">
        <v>45</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46</v>
      </c>
      <c r="B38" s="24" t="str">
        <f>B1</f>
        <v>Operating</v>
      </c>
      <c r="C38" s="24" t="str">
        <f>C1</f>
        <v>SPED</v>
      </c>
      <c r="D38" s="24" t="str">
        <f>D1</f>
        <v>NSLP</v>
      </c>
      <c r="E38" s="24" t="str">
        <f>E1</f>
        <v>Other</v>
      </c>
      <c r="F38" s="24" t="str">
        <f t="shared" ref="F38:G38" si="9">F1</f>
        <v>Title I</v>
      </c>
      <c r="G38" s="24" t="str">
        <f t="shared" si="9"/>
        <v>Title II/III/IV</v>
      </c>
      <c r="H38" s="24" t="str">
        <f>H1</f>
        <v>Total (25-26)</v>
      </c>
      <c r="I38" s="25"/>
      <c r="J38" s="25"/>
      <c r="K38" s="24" t="s">
        <v>7</v>
      </c>
      <c r="L38" s="25"/>
      <c r="M38" s="24" t="str">
        <f>M1</f>
        <v>Variance</v>
      </c>
      <c r="N38" s="25"/>
    </row>
    <row r="39" spans="1:14" x14ac:dyDescent="0.25">
      <c r="A39" s="33" t="s">
        <v>47</v>
      </c>
      <c r="B39" s="36">
        <v>1</v>
      </c>
      <c r="C39" s="36"/>
      <c r="D39" s="36"/>
      <c r="E39" s="36"/>
      <c r="F39" s="36"/>
      <c r="G39" s="36"/>
      <c r="H39" s="34">
        <f t="shared" ref="H39:H60" si="10">SUM(B39:G39)</f>
        <v>1</v>
      </c>
      <c r="I39" s="19"/>
      <c r="K39" s="34">
        <v>1</v>
      </c>
      <c r="M39" s="34">
        <f t="shared" si="1"/>
        <v>0</v>
      </c>
    </row>
    <row r="40" spans="1:14" x14ac:dyDescent="0.25">
      <c r="A40" s="33" t="s">
        <v>48</v>
      </c>
      <c r="B40" s="36">
        <v>1</v>
      </c>
      <c r="C40" s="36"/>
      <c r="D40" s="36"/>
      <c r="E40" s="36"/>
      <c r="F40" s="36"/>
      <c r="G40" s="36"/>
      <c r="H40" s="34">
        <f t="shared" si="10"/>
        <v>1</v>
      </c>
      <c r="I40" s="19"/>
      <c r="K40" s="34">
        <v>1</v>
      </c>
      <c r="M40" s="34">
        <f t="shared" si="1"/>
        <v>0</v>
      </c>
    </row>
    <row r="41" spans="1:14" x14ac:dyDescent="0.25">
      <c r="A41" s="39" t="s">
        <v>49</v>
      </c>
      <c r="B41" s="36">
        <v>0</v>
      </c>
      <c r="C41" s="36"/>
      <c r="D41" s="36"/>
      <c r="E41" s="36">
        <v>0</v>
      </c>
      <c r="F41" s="36">
        <v>1</v>
      </c>
      <c r="G41" s="36"/>
      <c r="H41" s="34">
        <f t="shared" si="10"/>
        <v>1</v>
      </c>
      <c r="I41" s="19"/>
      <c r="K41" s="34">
        <v>1</v>
      </c>
      <c r="M41" s="34">
        <f t="shared" si="1"/>
        <v>0</v>
      </c>
    </row>
    <row r="42" spans="1:14" x14ac:dyDescent="0.25">
      <c r="A42" s="42" t="s">
        <v>50</v>
      </c>
      <c r="B42" s="36">
        <v>0</v>
      </c>
      <c r="C42" s="36"/>
      <c r="D42" s="36"/>
      <c r="E42" s="36"/>
      <c r="F42" s="36"/>
      <c r="G42" s="36"/>
      <c r="H42" s="34">
        <f t="shared" si="10"/>
        <v>0</v>
      </c>
      <c r="I42" s="19"/>
      <c r="K42" s="34">
        <v>0</v>
      </c>
      <c r="M42" s="34">
        <f t="shared" si="1"/>
        <v>0</v>
      </c>
    </row>
    <row r="43" spans="1:14" x14ac:dyDescent="0.25">
      <c r="A43" s="42" t="s">
        <v>51</v>
      </c>
      <c r="B43" s="36">
        <v>0</v>
      </c>
      <c r="C43" s="36"/>
      <c r="D43" s="36"/>
      <c r="E43" s="36"/>
      <c r="F43" s="36"/>
      <c r="G43" s="36"/>
      <c r="H43" s="34">
        <f t="shared" si="10"/>
        <v>0</v>
      </c>
      <c r="I43" s="19"/>
      <c r="K43" s="34">
        <v>0</v>
      </c>
      <c r="M43" s="34">
        <f t="shared" si="1"/>
        <v>0</v>
      </c>
    </row>
    <row r="44" spans="1:14" x14ac:dyDescent="0.25">
      <c r="A44" s="42" t="s">
        <v>52</v>
      </c>
      <c r="B44" s="36">
        <v>1</v>
      </c>
      <c r="C44" s="36"/>
      <c r="D44" s="36"/>
      <c r="E44" s="36">
        <v>0</v>
      </c>
      <c r="F44" s="36"/>
      <c r="G44" s="36"/>
      <c r="H44" s="34">
        <f t="shared" si="10"/>
        <v>1</v>
      </c>
      <c r="I44" s="19"/>
      <c r="K44" s="34">
        <v>1</v>
      </c>
      <c r="M44" s="34">
        <f t="shared" si="1"/>
        <v>0</v>
      </c>
    </row>
    <row r="45" spans="1:14" x14ac:dyDescent="0.25">
      <c r="A45" s="42" t="s">
        <v>53</v>
      </c>
      <c r="B45" s="36">
        <v>0</v>
      </c>
      <c r="C45" s="36"/>
      <c r="D45" s="36"/>
      <c r="E45" s="36">
        <v>0</v>
      </c>
      <c r="F45" s="36"/>
      <c r="G45" s="36"/>
      <c r="H45" s="34">
        <f t="shared" si="10"/>
        <v>0</v>
      </c>
      <c r="I45" s="19"/>
      <c r="K45" s="34">
        <v>1</v>
      </c>
      <c r="M45" s="34">
        <f t="shared" si="1"/>
        <v>-1</v>
      </c>
    </row>
    <row r="46" spans="1:14" x14ac:dyDescent="0.25">
      <c r="A46" s="33" t="s">
        <v>54</v>
      </c>
      <c r="B46" s="36">
        <v>1</v>
      </c>
      <c r="C46" s="36"/>
      <c r="D46" s="36"/>
      <c r="E46" s="36"/>
      <c r="F46" s="36"/>
      <c r="G46" s="36"/>
      <c r="H46" s="34">
        <f t="shared" si="10"/>
        <v>1</v>
      </c>
      <c r="I46" s="19"/>
      <c r="K46" s="34">
        <v>1</v>
      </c>
      <c r="M46" s="34">
        <f t="shared" si="1"/>
        <v>0</v>
      </c>
    </row>
    <row r="47" spans="1:14" x14ac:dyDescent="0.25">
      <c r="A47" s="33" t="s">
        <v>55</v>
      </c>
      <c r="B47" s="36">
        <v>0</v>
      </c>
      <c r="C47" s="36"/>
      <c r="D47" s="36"/>
      <c r="E47" s="36"/>
      <c r="F47" s="36"/>
      <c r="G47" s="36"/>
      <c r="H47" s="34">
        <f t="shared" si="10"/>
        <v>0</v>
      </c>
      <c r="I47" s="19"/>
      <c r="K47" s="34">
        <v>0</v>
      </c>
      <c r="M47" s="34">
        <f t="shared" si="1"/>
        <v>0</v>
      </c>
    </row>
    <row r="48" spans="1:14" x14ac:dyDescent="0.25">
      <c r="A48" s="33" t="s">
        <v>56</v>
      </c>
      <c r="B48" s="36">
        <v>0</v>
      </c>
      <c r="C48" s="36"/>
      <c r="D48" s="36"/>
      <c r="E48" s="36"/>
      <c r="F48" s="36"/>
      <c r="G48" s="36"/>
      <c r="H48" s="34">
        <f t="shared" si="10"/>
        <v>0</v>
      </c>
      <c r="I48" s="19"/>
      <c r="K48" s="34">
        <v>0</v>
      </c>
      <c r="M48" s="34">
        <f t="shared" si="1"/>
        <v>0</v>
      </c>
    </row>
    <row r="49" spans="1:14" x14ac:dyDescent="0.25">
      <c r="A49" s="33" t="s">
        <v>57</v>
      </c>
      <c r="B49" s="36">
        <v>0</v>
      </c>
      <c r="C49" s="36"/>
      <c r="D49" s="36"/>
      <c r="E49" s="36"/>
      <c r="F49" s="36"/>
      <c r="G49" s="36"/>
      <c r="H49" s="34">
        <f t="shared" si="10"/>
        <v>0</v>
      </c>
      <c r="I49" s="19"/>
      <c r="K49" s="34">
        <v>0</v>
      </c>
      <c r="M49" s="34">
        <f t="shared" si="1"/>
        <v>0</v>
      </c>
    </row>
    <row r="50" spans="1:14" x14ac:dyDescent="0.25">
      <c r="A50" s="33" t="s">
        <v>58</v>
      </c>
      <c r="B50" s="36">
        <v>1</v>
      </c>
      <c r="C50" s="36"/>
      <c r="D50" s="36"/>
      <c r="E50" s="36"/>
      <c r="F50" s="36">
        <v>0</v>
      </c>
      <c r="G50" s="36"/>
      <c r="H50" s="34">
        <f t="shared" si="10"/>
        <v>1</v>
      </c>
      <c r="I50" s="19"/>
      <c r="K50" s="34">
        <v>1</v>
      </c>
      <c r="M50" s="34">
        <f t="shared" si="1"/>
        <v>0</v>
      </c>
    </row>
    <row r="51" spans="1:14" x14ac:dyDescent="0.25">
      <c r="A51" s="33" t="s">
        <v>59</v>
      </c>
      <c r="B51" s="36">
        <v>0</v>
      </c>
      <c r="C51" s="36"/>
      <c r="D51" s="36"/>
      <c r="E51" s="36"/>
      <c r="F51" s="36"/>
      <c r="G51" s="36"/>
      <c r="H51" s="34">
        <f t="shared" si="10"/>
        <v>0</v>
      </c>
      <c r="I51" s="19"/>
      <c r="K51" s="34">
        <v>0</v>
      </c>
      <c r="M51" s="34">
        <f t="shared" si="1"/>
        <v>0</v>
      </c>
    </row>
    <row r="52" spans="1:14" x14ac:dyDescent="0.25">
      <c r="A52" s="33" t="s">
        <v>60</v>
      </c>
      <c r="B52" s="36"/>
      <c r="C52" s="36"/>
      <c r="D52" s="36">
        <v>1</v>
      </c>
      <c r="E52" s="36"/>
      <c r="F52" s="36"/>
      <c r="G52" s="36"/>
      <c r="H52" s="34">
        <f t="shared" si="10"/>
        <v>1</v>
      </c>
      <c r="I52" s="19"/>
      <c r="K52" s="34">
        <v>1</v>
      </c>
      <c r="M52" s="34">
        <f t="shared" si="1"/>
        <v>0</v>
      </c>
    </row>
    <row r="53" spans="1:14" x14ac:dyDescent="0.25">
      <c r="A53" s="33" t="s">
        <v>61</v>
      </c>
      <c r="B53" s="36"/>
      <c r="C53" s="36"/>
      <c r="D53" s="36"/>
      <c r="E53" s="36"/>
      <c r="F53" s="36"/>
      <c r="G53" s="36"/>
      <c r="H53" s="34">
        <f t="shared" si="10"/>
        <v>0</v>
      </c>
      <c r="I53" s="8"/>
      <c r="J53" s="9"/>
      <c r="K53" s="34">
        <v>0</v>
      </c>
      <c r="L53" s="9"/>
      <c r="M53" s="34">
        <f t="shared" si="1"/>
        <v>0</v>
      </c>
      <c r="N53" s="9"/>
    </row>
    <row r="54" spans="1:14" x14ac:dyDescent="0.25">
      <c r="A54" s="39" t="s">
        <v>62</v>
      </c>
      <c r="B54" s="36"/>
      <c r="C54" s="36"/>
      <c r="D54" s="36"/>
      <c r="E54" s="36"/>
      <c r="F54" s="36"/>
      <c r="G54" s="36"/>
      <c r="H54" s="34">
        <f t="shared" si="10"/>
        <v>0</v>
      </c>
      <c r="I54" s="8"/>
      <c r="J54" s="9"/>
      <c r="K54" s="34">
        <v>0</v>
      </c>
      <c r="L54" s="9"/>
      <c r="M54" s="34">
        <f t="shared" si="1"/>
        <v>0</v>
      </c>
      <c r="N54" s="9"/>
    </row>
    <row r="55" spans="1:14" x14ac:dyDescent="0.25">
      <c r="A55" s="39" t="s">
        <v>63</v>
      </c>
      <c r="B55" s="36"/>
      <c r="C55" s="36"/>
      <c r="D55" s="36"/>
      <c r="E55" s="36"/>
      <c r="F55" s="36"/>
      <c r="G55" s="36"/>
      <c r="H55" s="34">
        <f t="shared" si="10"/>
        <v>0</v>
      </c>
      <c r="I55" s="8"/>
      <c r="J55" s="9"/>
      <c r="K55" s="34">
        <v>0</v>
      </c>
      <c r="L55" s="9"/>
      <c r="M55" s="34">
        <f t="shared" si="1"/>
        <v>0</v>
      </c>
      <c r="N55" s="9"/>
    </row>
    <row r="56" spans="1:14" x14ac:dyDescent="0.25">
      <c r="A56" s="39" t="s">
        <v>64</v>
      </c>
      <c r="B56" s="36"/>
      <c r="C56" s="36"/>
      <c r="D56" s="36"/>
      <c r="E56" s="36"/>
      <c r="F56" s="36"/>
      <c r="G56" s="36"/>
      <c r="H56" s="34">
        <f t="shared" si="10"/>
        <v>0</v>
      </c>
      <c r="I56" s="8"/>
      <c r="J56" s="9"/>
      <c r="K56" s="34">
        <v>0</v>
      </c>
      <c r="L56" s="9"/>
      <c r="M56" s="34">
        <f t="shared" si="1"/>
        <v>0</v>
      </c>
      <c r="N56" s="9"/>
    </row>
    <row r="57" spans="1:14" x14ac:dyDescent="0.25">
      <c r="A57" s="39" t="s">
        <v>65</v>
      </c>
      <c r="B57" s="36"/>
      <c r="C57" s="36"/>
      <c r="D57" s="36"/>
      <c r="E57" s="36"/>
      <c r="F57" s="36"/>
      <c r="G57" s="36"/>
      <c r="H57" s="34">
        <f t="shared" si="10"/>
        <v>0</v>
      </c>
      <c r="I57" s="8"/>
      <c r="J57" s="9"/>
      <c r="K57" s="34">
        <v>0</v>
      </c>
      <c r="L57" s="9"/>
      <c r="M57" s="34">
        <f t="shared" si="1"/>
        <v>0</v>
      </c>
      <c r="N57" s="9"/>
    </row>
    <row r="58" spans="1:14" x14ac:dyDescent="0.25">
      <c r="A58" s="39" t="s">
        <v>66</v>
      </c>
      <c r="B58" s="36"/>
      <c r="C58" s="36"/>
      <c r="D58" s="36"/>
      <c r="E58" s="36"/>
      <c r="F58" s="36"/>
      <c r="G58" s="36"/>
      <c r="H58" s="34">
        <f t="shared" si="10"/>
        <v>0</v>
      </c>
      <c r="I58" s="8"/>
      <c r="J58" s="9"/>
      <c r="K58" s="34">
        <v>0</v>
      </c>
      <c r="L58" s="9"/>
      <c r="M58" s="34">
        <f t="shared" si="1"/>
        <v>0</v>
      </c>
      <c r="N58" s="9"/>
    </row>
    <row r="59" spans="1:14" x14ac:dyDescent="0.25">
      <c r="A59" s="39" t="s">
        <v>67</v>
      </c>
      <c r="B59" s="36"/>
      <c r="C59" s="36"/>
      <c r="D59" s="36"/>
      <c r="E59" s="36"/>
      <c r="F59" s="36"/>
      <c r="G59" s="36"/>
      <c r="H59" s="34">
        <f t="shared" si="10"/>
        <v>0</v>
      </c>
      <c r="I59" s="8"/>
      <c r="J59" s="9"/>
      <c r="K59" s="34">
        <v>0</v>
      </c>
      <c r="L59" s="9"/>
      <c r="M59" s="34">
        <f t="shared" si="1"/>
        <v>0</v>
      </c>
      <c r="N59" s="9"/>
    </row>
    <row r="60" spans="1:14" x14ac:dyDescent="0.25">
      <c r="A60" s="33" t="s">
        <v>68</v>
      </c>
      <c r="B60" s="34"/>
      <c r="C60" s="34"/>
      <c r="D60" s="34"/>
      <c r="E60" s="34"/>
      <c r="F60" s="34"/>
      <c r="G60" s="34"/>
      <c r="H60" s="34">
        <f t="shared" si="10"/>
        <v>0</v>
      </c>
      <c r="I60" s="8"/>
      <c r="J60" s="9"/>
      <c r="K60" s="34">
        <v>0</v>
      </c>
      <c r="L60" s="9"/>
      <c r="M60" s="34">
        <f t="shared" si="1"/>
        <v>0</v>
      </c>
      <c r="N60" s="9"/>
    </row>
    <row r="61" spans="1:14" x14ac:dyDescent="0.25">
      <c r="A61" s="32" t="s">
        <v>69</v>
      </c>
      <c r="B61" s="44">
        <f>SUM(B39:B60)</f>
        <v>5</v>
      </c>
      <c r="C61" s="44">
        <f>SUM(C39:C60)</f>
        <v>0</v>
      </c>
      <c r="D61" s="44">
        <f>SUM(D39:D60)</f>
        <v>1</v>
      </c>
      <c r="E61" s="44">
        <f>SUM(E39:E60)</f>
        <v>0</v>
      </c>
      <c r="F61" s="44">
        <f t="shared" ref="F61:G61" si="11">SUM(F39:F60)</f>
        <v>1</v>
      </c>
      <c r="G61" s="44">
        <f t="shared" si="11"/>
        <v>0</v>
      </c>
      <c r="H61" s="44">
        <f>SUM(H39:H60)</f>
        <v>7</v>
      </c>
      <c r="I61" s="10"/>
      <c r="J61" s="10"/>
      <c r="K61" s="44">
        <v>8</v>
      </c>
      <c r="L61" s="10"/>
      <c r="M61" s="44">
        <f>SUM(M39:M60)</f>
        <v>-1</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70</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71</v>
      </c>
      <c r="B64" s="50">
        <f>B61</f>
        <v>5</v>
      </c>
      <c r="C64" s="50">
        <f t="shared" ref="C64:H64" si="13">C61</f>
        <v>0</v>
      </c>
      <c r="D64" s="50">
        <f t="shared" si="13"/>
        <v>1</v>
      </c>
      <c r="E64" s="50">
        <f t="shared" si="13"/>
        <v>0</v>
      </c>
      <c r="F64" s="50">
        <f t="shared" si="13"/>
        <v>1</v>
      </c>
      <c r="G64" s="50">
        <f t="shared" si="13"/>
        <v>0</v>
      </c>
      <c r="H64" s="50">
        <f t="shared" si="13"/>
        <v>7</v>
      </c>
      <c r="I64" s="10"/>
      <c r="J64" s="10"/>
      <c r="K64" s="50">
        <v>8</v>
      </c>
      <c r="L64" s="10"/>
      <c r="M64" s="50">
        <f t="shared" ref="M64" si="14">M61</f>
        <v>-1</v>
      </c>
      <c r="N64" s="10"/>
    </row>
    <row r="65" spans="1:14" ht="15.75" thickBot="1" x14ac:dyDescent="0.3">
      <c r="A65" s="51" t="s">
        <v>72</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17</v>
      </c>
      <c r="L65" s="10"/>
      <c r="M65" s="52">
        <f>SUM(M63:M64)</f>
        <v>-1</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73</v>
      </c>
      <c r="B67" s="55"/>
      <c r="C67" s="55"/>
      <c r="D67" s="55"/>
      <c r="E67" s="55"/>
      <c r="F67" s="55"/>
      <c r="G67" s="55"/>
      <c r="H67" s="56">
        <f>H142/(H211+H213+H214+H215+H216+H217)</f>
        <v>0.62431188969388729</v>
      </c>
      <c r="I67" s="10"/>
      <c r="J67" s="10"/>
      <c r="K67" s="56">
        <v>0.65549666194915179</v>
      </c>
      <c r="L67" s="10"/>
      <c r="M67" s="56"/>
      <c r="N67" s="10"/>
    </row>
    <row r="68" spans="1:14" x14ac:dyDescent="0.25">
      <c r="A68" s="54" t="s">
        <v>74</v>
      </c>
      <c r="B68" s="55"/>
      <c r="C68" s="55"/>
      <c r="D68" s="55"/>
      <c r="E68" s="55"/>
      <c r="F68" s="55"/>
      <c r="G68" s="55"/>
      <c r="H68" s="56">
        <f>(H114+H115+H118+H128)/H132</f>
        <v>0.51799708953215673</v>
      </c>
      <c r="I68" s="10"/>
      <c r="J68" s="10"/>
      <c r="K68" s="56">
        <v>0.4927187803779311</v>
      </c>
      <c r="L68" s="10"/>
      <c r="M68" s="56"/>
      <c r="N68" s="10"/>
    </row>
    <row r="69" spans="1:14" x14ac:dyDescent="0.25">
      <c r="A69" s="54" t="s">
        <v>75</v>
      </c>
      <c r="B69" s="55"/>
      <c r="C69" s="55"/>
      <c r="D69" s="55"/>
      <c r="E69" s="55"/>
      <c r="F69" s="55"/>
      <c r="G69" s="55"/>
      <c r="H69" s="56">
        <f>(H107+H108+H109+H112+H116+H117+H119+H120++H123+H124+H125+H126+H127+H129+H130)/H132</f>
        <v>0.48200291046784333</v>
      </c>
      <c r="I69" s="10"/>
      <c r="J69" s="10"/>
      <c r="K69" s="56">
        <v>0.46522038077625244</v>
      </c>
      <c r="L69" s="10"/>
      <c r="M69" s="56"/>
      <c r="N69" s="10"/>
    </row>
    <row r="70" spans="1:14" x14ac:dyDescent="0.25">
      <c r="A70" s="54" t="s">
        <v>76</v>
      </c>
      <c r="B70" s="55"/>
      <c r="C70" s="55"/>
      <c r="D70" s="55"/>
      <c r="E70" s="55"/>
      <c r="F70" s="55"/>
      <c r="G70" s="55"/>
      <c r="H70" s="56">
        <f>(H213+H214+H215+H216)/(H97)</f>
        <v>3.3762532800249462E-2</v>
      </c>
      <c r="I70" s="10"/>
      <c r="J70" s="10"/>
      <c r="K70" s="56">
        <v>2.3996739556510851E-2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77</v>
      </c>
      <c r="B72" s="58" t="str">
        <f>B1</f>
        <v>Operating</v>
      </c>
      <c r="C72" s="58" t="str">
        <f>C1</f>
        <v>SPED</v>
      </c>
      <c r="D72" s="58" t="str">
        <f>D1</f>
        <v>NSLP</v>
      </c>
      <c r="E72" s="58" t="str">
        <f>E1</f>
        <v>Other</v>
      </c>
      <c r="F72" s="58" t="str">
        <f t="shared" ref="F72:G72" si="17">F1</f>
        <v>Title I</v>
      </c>
      <c r="G72" s="58" t="str">
        <f t="shared" si="17"/>
        <v>Title II/III/IV</v>
      </c>
      <c r="H72" s="58" t="str">
        <f>H1</f>
        <v>Total (25-26)</v>
      </c>
      <c r="I72" s="10"/>
      <c r="J72" s="10"/>
      <c r="K72" s="58" t="s">
        <v>7</v>
      </c>
      <c r="L72" s="10"/>
      <c r="M72" s="58" t="str">
        <f>M1</f>
        <v>Variance</v>
      </c>
      <c r="N72" s="10"/>
    </row>
    <row r="73" spans="1:14" x14ac:dyDescent="0.25">
      <c r="A73" s="59" t="s">
        <v>78</v>
      </c>
      <c r="B73" s="60"/>
      <c r="C73" s="60"/>
      <c r="D73" s="60"/>
      <c r="E73" s="60"/>
      <c r="F73" s="60"/>
      <c r="G73" s="60"/>
      <c r="H73" s="61"/>
      <c r="I73" s="10"/>
      <c r="J73" s="10"/>
      <c r="K73" s="61"/>
      <c r="L73" s="10"/>
      <c r="M73" s="61">
        <f t="shared" si="16"/>
        <v>0</v>
      </c>
      <c r="N73" s="10"/>
    </row>
    <row r="74" spans="1:14" x14ac:dyDescent="0.25">
      <c r="A74" s="39" t="s">
        <v>79</v>
      </c>
      <c r="B74" s="62">
        <f>(B2*B3)</f>
        <v>1454463</v>
      </c>
      <c r="C74" s="62"/>
      <c r="D74" s="62"/>
      <c r="E74" s="62"/>
      <c r="F74" s="62"/>
      <c r="G74" s="62"/>
      <c r="H74" s="63">
        <f t="shared" ref="H74:H79" si="18">SUM(B74:G74)</f>
        <v>1454463</v>
      </c>
      <c r="I74" s="19"/>
      <c r="K74" s="63">
        <v>1044954</v>
      </c>
      <c r="M74" s="63">
        <f t="shared" si="16"/>
        <v>409509</v>
      </c>
    </row>
    <row r="75" spans="1:14" x14ac:dyDescent="0.25">
      <c r="A75" s="39" t="s">
        <v>80</v>
      </c>
      <c r="B75" s="46">
        <f>B21*(4236*1.015)</f>
        <v>133634.35135135136</v>
      </c>
      <c r="C75" s="46"/>
      <c r="D75" s="46"/>
      <c r="E75" s="46"/>
      <c r="F75" s="46"/>
      <c r="G75" s="46"/>
      <c r="H75" s="7">
        <f t="shared" si="18"/>
        <v>133634.35135135136</v>
      </c>
      <c r="I75" s="8">
        <v>4236</v>
      </c>
      <c r="J75" s="9"/>
      <c r="K75" s="7">
        <v>97435</v>
      </c>
      <c r="L75" s="9"/>
      <c r="M75" s="7">
        <f t="shared" si="16"/>
        <v>36199.351351351361</v>
      </c>
      <c r="N75" s="9"/>
    </row>
    <row r="76" spans="1:14" x14ac:dyDescent="0.25">
      <c r="A76" s="39" t="s">
        <v>81</v>
      </c>
      <c r="B76" s="7">
        <f>1129*B22</f>
        <v>0</v>
      </c>
      <c r="C76" s="7"/>
      <c r="D76" s="7"/>
      <c r="E76" s="7"/>
      <c r="F76" s="7"/>
      <c r="G76" s="7"/>
      <c r="H76" s="7">
        <f t="shared" si="18"/>
        <v>0</v>
      </c>
      <c r="I76" s="8">
        <v>1129</v>
      </c>
      <c r="J76" s="9"/>
      <c r="K76" s="7">
        <v>0</v>
      </c>
      <c r="L76" s="9"/>
      <c r="M76" s="7">
        <f t="shared" si="16"/>
        <v>0</v>
      </c>
      <c r="N76" s="9"/>
    </row>
    <row r="77" spans="1:14" x14ac:dyDescent="0.25">
      <c r="A77" s="39" t="s">
        <v>82</v>
      </c>
      <c r="B77" s="14">
        <f>B24*(3295*1.015)</f>
        <v>127088.15</v>
      </c>
      <c r="C77" s="7"/>
      <c r="D77" s="7"/>
      <c r="E77" s="7"/>
      <c r="F77" s="7"/>
      <c r="G77" s="7"/>
      <c r="H77" s="7">
        <f t="shared" si="18"/>
        <v>127088.15</v>
      </c>
      <c r="I77" s="8">
        <v>3295</v>
      </c>
      <c r="K77" s="7">
        <v>125206</v>
      </c>
      <c r="M77" s="7">
        <f t="shared" si="16"/>
        <v>1882.1499999999942</v>
      </c>
    </row>
    <row r="78" spans="1:14" x14ac:dyDescent="0.25">
      <c r="A78" s="39" t="s">
        <v>83</v>
      </c>
      <c r="B78" s="46"/>
      <c r="C78" s="46">
        <v>0</v>
      </c>
      <c r="D78" s="46"/>
      <c r="E78" s="46"/>
      <c r="F78" s="46"/>
      <c r="G78" s="46"/>
      <c r="H78" s="46">
        <f t="shared" si="18"/>
        <v>0</v>
      </c>
      <c r="I78" s="8"/>
      <c r="J78" s="65"/>
      <c r="K78" s="46">
        <v>0</v>
      </c>
      <c r="L78" s="65"/>
      <c r="M78" s="46">
        <f t="shared" si="16"/>
        <v>0</v>
      </c>
      <c r="N78" s="65"/>
    </row>
    <row r="79" spans="1:14" x14ac:dyDescent="0.25">
      <c r="A79" s="39" t="s">
        <v>84</v>
      </c>
      <c r="B79" s="46">
        <v>0</v>
      </c>
      <c r="C79" s="46">
        <f>3840*C20</f>
        <v>88216.216216216213</v>
      </c>
      <c r="D79" s="46"/>
      <c r="E79" s="46"/>
      <c r="F79" s="46"/>
      <c r="G79" s="46"/>
      <c r="H79" s="46">
        <f t="shared" si="18"/>
        <v>88216.216216216213</v>
      </c>
      <c r="I79" s="8">
        <v>3840</v>
      </c>
      <c r="J79" s="65"/>
      <c r="K79" s="46">
        <v>66131.69</v>
      </c>
      <c r="L79" s="65"/>
      <c r="M79" s="46">
        <f t="shared" si="16"/>
        <v>22084.526216216211</v>
      </c>
      <c r="N79" s="65"/>
    </row>
    <row r="80" spans="1:14" x14ac:dyDescent="0.25">
      <c r="A80" s="66" t="s">
        <v>85</v>
      </c>
      <c r="B80" s="67">
        <f>SUM(B74:B79)</f>
        <v>1715185.5013513514</v>
      </c>
      <c r="C80" s="67">
        <f>SUM(C74:C79)</f>
        <v>88216.216216216213</v>
      </c>
      <c r="D80" s="67">
        <f>SUM(D74:D79)</f>
        <v>0</v>
      </c>
      <c r="E80" s="67">
        <f t="shared" ref="E80:G80" si="19">SUM(E74:E79)</f>
        <v>0</v>
      </c>
      <c r="F80" s="67">
        <f t="shared" si="19"/>
        <v>0</v>
      </c>
      <c r="G80" s="67">
        <f t="shared" si="19"/>
        <v>0</v>
      </c>
      <c r="H80" s="67">
        <f>SUM(H74:H79)</f>
        <v>1803401.7175675677</v>
      </c>
      <c r="I80" s="10"/>
      <c r="J80" s="10"/>
      <c r="K80" s="67">
        <v>1333726.69</v>
      </c>
      <c r="L80" s="10"/>
      <c r="M80" s="67">
        <f>SUM(M74:M79)</f>
        <v>469675.02756756759</v>
      </c>
      <c r="N80" s="10"/>
    </row>
    <row r="81" spans="1:14" x14ac:dyDescent="0.25">
      <c r="A81" s="68" t="s">
        <v>86</v>
      </c>
      <c r="B81" s="60"/>
      <c r="C81" s="60"/>
      <c r="D81" s="60"/>
      <c r="E81" s="60"/>
      <c r="F81" s="60"/>
      <c r="G81" s="60"/>
      <c r="H81" s="61"/>
      <c r="I81" s="10"/>
      <c r="J81" s="10"/>
      <c r="K81" s="61"/>
      <c r="L81" s="10"/>
      <c r="M81" s="61">
        <f t="shared" si="16"/>
        <v>0</v>
      </c>
      <c r="N81" s="10"/>
    </row>
    <row r="82" spans="1:14" x14ac:dyDescent="0.25">
      <c r="A82" s="39" t="s">
        <v>87</v>
      </c>
      <c r="B82" s="7"/>
      <c r="C82" s="7">
        <f>1170*C20</f>
        <v>26878.378378378377</v>
      </c>
      <c r="D82" s="7"/>
      <c r="E82" s="7"/>
      <c r="F82" s="7"/>
      <c r="G82" s="7"/>
      <c r="H82" s="7">
        <f t="shared" ref="H82:H89" si="20">SUM(B82:G82)</f>
        <v>26878.378378378377</v>
      </c>
      <c r="I82" s="8">
        <f>H82/C20</f>
        <v>1170</v>
      </c>
      <c r="J82" s="9"/>
      <c r="K82" s="7">
        <v>19905.75</v>
      </c>
      <c r="L82" s="9"/>
      <c r="M82" s="7">
        <f t="shared" si="16"/>
        <v>6972.6283783783765</v>
      </c>
      <c r="N82" s="9"/>
    </row>
    <row r="83" spans="1:14" x14ac:dyDescent="0.25">
      <c r="A83" s="39" t="s">
        <v>88</v>
      </c>
      <c r="B83" s="7"/>
      <c r="C83" s="7"/>
      <c r="D83" s="14">
        <f>((B17*D23)*2.28*180)</f>
        <v>61559.999999999993</v>
      </c>
      <c r="E83" s="14"/>
      <c r="F83" s="7"/>
      <c r="G83" s="7"/>
      <c r="H83" s="7">
        <f t="shared" si="20"/>
        <v>61559.999999999993</v>
      </c>
      <c r="I83" s="69">
        <v>2.2799999999999998</v>
      </c>
      <c r="J83" s="70"/>
      <c r="K83" s="7">
        <v>45554.399999999994</v>
      </c>
      <c r="L83" s="70"/>
      <c r="M83" s="7">
        <f t="shared" si="16"/>
        <v>16005.599999999999</v>
      </c>
      <c r="N83" s="70"/>
    </row>
    <row r="84" spans="1:14" x14ac:dyDescent="0.25">
      <c r="A84" s="39" t="s">
        <v>89</v>
      </c>
      <c r="B84" s="46"/>
      <c r="C84" s="46"/>
      <c r="D84" s="14">
        <f>((B17*D23)*4.33*180)</f>
        <v>116910</v>
      </c>
      <c r="E84" s="72"/>
      <c r="F84" s="46"/>
      <c r="G84" s="46"/>
      <c r="H84" s="7">
        <f t="shared" si="20"/>
        <v>116910</v>
      </c>
      <c r="I84" s="69">
        <v>4.33</v>
      </c>
      <c r="J84" s="70"/>
      <c r="K84" s="7">
        <v>86513.4</v>
      </c>
      <c r="L84" s="70"/>
      <c r="M84" s="7">
        <f t="shared" si="16"/>
        <v>30396.600000000006</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90</v>
      </c>
      <c r="B86" s="46"/>
      <c r="C86" s="46"/>
      <c r="D86" s="46"/>
      <c r="E86" s="46"/>
      <c r="F86" s="46"/>
      <c r="G86" s="46">
        <v>6554.33</v>
      </c>
      <c r="H86" s="7">
        <f t="shared" si="20"/>
        <v>6554.33</v>
      </c>
      <c r="I86" s="8"/>
      <c r="J86" s="9"/>
      <c r="K86" s="7">
        <v>6554.33</v>
      </c>
      <c r="L86" s="9"/>
      <c r="M86" s="7">
        <f t="shared" si="16"/>
        <v>0</v>
      </c>
      <c r="N86" s="9"/>
    </row>
    <row r="87" spans="1:14" x14ac:dyDescent="0.25">
      <c r="A87" s="39" t="s">
        <v>91</v>
      </c>
      <c r="B87" s="46"/>
      <c r="C87" s="46"/>
      <c r="D87" s="46"/>
      <c r="E87" s="46"/>
      <c r="F87" s="46"/>
      <c r="G87" s="46">
        <v>4566.38</v>
      </c>
      <c r="H87" s="7">
        <f t="shared" si="20"/>
        <v>4566.38</v>
      </c>
      <c r="I87" s="8"/>
      <c r="J87" s="9"/>
      <c r="K87" s="7">
        <v>4566.38</v>
      </c>
      <c r="L87" s="9"/>
      <c r="M87" s="7">
        <f t="shared" si="16"/>
        <v>0</v>
      </c>
      <c r="N87" s="9"/>
    </row>
    <row r="88" spans="1:14" x14ac:dyDescent="0.25">
      <c r="A88" s="39" t="s">
        <v>92</v>
      </c>
      <c r="B88" s="46"/>
      <c r="C88" s="46"/>
      <c r="D88" s="46"/>
      <c r="E88" s="46"/>
      <c r="F88" s="46"/>
      <c r="G88" s="46">
        <v>5400.25</v>
      </c>
      <c r="H88" s="7">
        <f t="shared" si="20"/>
        <v>5400.25</v>
      </c>
      <c r="I88" s="8"/>
      <c r="J88" s="9"/>
      <c r="K88" s="7">
        <v>5400.25</v>
      </c>
      <c r="L88" s="9"/>
      <c r="M88" s="7">
        <f t="shared" si="16"/>
        <v>0</v>
      </c>
      <c r="N88" s="9"/>
    </row>
    <row r="89" spans="1:14" x14ac:dyDescent="0.25">
      <c r="A89" s="39" t="s">
        <v>93</v>
      </c>
      <c r="B89" s="130">
        <v>60400</v>
      </c>
      <c r="C89" s="46"/>
      <c r="D89" s="46"/>
      <c r="E89" s="46">
        <v>0</v>
      </c>
      <c r="F89" s="46"/>
      <c r="G89" s="46"/>
      <c r="H89" s="7">
        <f t="shared" si="20"/>
        <v>60400</v>
      </c>
      <c r="I89" s="8"/>
      <c r="J89" s="9"/>
      <c r="K89" s="7">
        <v>104750</v>
      </c>
      <c r="L89" s="9"/>
      <c r="M89" s="7">
        <f t="shared" si="16"/>
        <v>-44350</v>
      </c>
      <c r="N89" s="9"/>
    </row>
    <row r="90" spans="1:14" x14ac:dyDescent="0.25">
      <c r="A90" s="66" t="s">
        <v>94</v>
      </c>
      <c r="B90" s="67">
        <f t="shared" ref="B90" si="21">SUM(B82:B89)</f>
        <v>60400</v>
      </c>
      <c r="C90" s="67">
        <f t="shared" ref="C90:G90" si="22">SUM(C82:C89)</f>
        <v>26878.378378378377</v>
      </c>
      <c r="D90" s="67">
        <f t="shared" si="22"/>
        <v>178470</v>
      </c>
      <c r="E90" s="67">
        <f t="shared" si="22"/>
        <v>0</v>
      </c>
      <c r="F90" s="67">
        <f t="shared" si="22"/>
        <v>53120</v>
      </c>
      <c r="G90" s="67">
        <f t="shared" si="22"/>
        <v>16520.96</v>
      </c>
      <c r="H90" s="67">
        <f>SUM(H82:H89)</f>
        <v>335389.33837837836</v>
      </c>
      <c r="I90" s="10"/>
      <c r="J90" s="10"/>
      <c r="K90" s="67">
        <v>326364.51</v>
      </c>
      <c r="L90" s="10"/>
      <c r="M90" s="67">
        <f>SUM(M82:M89)</f>
        <v>9024.8283783783845</v>
      </c>
      <c r="N90" s="10"/>
    </row>
    <row r="91" spans="1:14" x14ac:dyDescent="0.25">
      <c r="A91" s="68" t="s">
        <v>95</v>
      </c>
      <c r="B91" s="60"/>
      <c r="C91" s="60"/>
      <c r="D91" s="60"/>
      <c r="E91" s="60"/>
      <c r="F91" s="60"/>
      <c r="G91" s="60"/>
      <c r="H91" s="61"/>
      <c r="I91" s="10"/>
      <c r="J91" s="10"/>
      <c r="K91" s="61"/>
      <c r="L91" s="10"/>
      <c r="M91" s="61">
        <f t="shared" si="16"/>
        <v>0</v>
      </c>
      <c r="N91" s="10"/>
    </row>
    <row r="92" spans="1:14" x14ac:dyDescent="0.25">
      <c r="A92" s="39" t="s">
        <v>96</v>
      </c>
      <c r="B92" s="7"/>
      <c r="C92" s="7"/>
      <c r="D92" s="7"/>
      <c r="E92" s="7"/>
      <c r="F92" s="7"/>
      <c r="G92" s="7"/>
      <c r="H92" s="7">
        <f>SUM(B92:G92)</f>
        <v>0</v>
      </c>
      <c r="I92" s="19"/>
      <c r="K92" s="7">
        <v>0</v>
      </c>
      <c r="M92" s="7">
        <f t="shared" si="16"/>
        <v>0</v>
      </c>
    </row>
    <row r="93" spans="1:14" x14ac:dyDescent="0.25">
      <c r="A93" s="39" t="s">
        <v>97</v>
      </c>
      <c r="B93" s="14"/>
      <c r="C93" s="14"/>
      <c r="D93" s="14"/>
      <c r="E93" s="14"/>
      <c r="F93" s="14"/>
      <c r="G93" s="14"/>
      <c r="H93" s="7">
        <f>SUM(B93:G93)</f>
        <v>0</v>
      </c>
      <c r="I93" s="19"/>
      <c r="K93" s="7">
        <v>0</v>
      </c>
      <c r="M93" s="7">
        <f t="shared" si="16"/>
        <v>0</v>
      </c>
    </row>
    <row r="94" spans="1:14" x14ac:dyDescent="0.25">
      <c r="A94" s="39" t="s">
        <v>98</v>
      </c>
      <c r="B94" s="46">
        <v>304746</v>
      </c>
      <c r="C94" s="46"/>
      <c r="D94" s="46"/>
      <c r="E94" s="46"/>
      <c r="F94" s="46"/>
      <c r="G94" s="46"/>
      <c r="H94" s="46">
        <f>SUM(B94:G94)</f>
        <v>304746</v>
      </c>
      <c r="I94" s="19"/>
      <c r="K94" s="46">
        <v>652723</v>
      </c>
      <c r="M94" s="46">
        <f t="shared" si="16"/>
        <v>-347977</v>
      </c>
    </row>
    <row r="95" spans="1:14" x14ac:dyDescent="0.25">
      <c r="A95" s="39" t="s">
        <v>99</v>
      </c>
      <c r="B95" s="46"/>
      <c r="C95" s="46"/>
      <c r="D95" s="46"/>
      <c r="E95" s="46"/>
      <c r="F95" s="46"/>
      <c r="G95" s="46"/>
      <c r="H95" s="46">
        <f>SUM(B95:G95)</f>
        <v>0</v>
      </c>
      <c r="I95" s="19"/>
      <c r="K95" s="46">
        <v>0</v>
      </c>
      <c r="M95" s="46">
        <f t="shared" si="16"/>
        <v>0</v>
      </c>
    </row>
    <row r="96" spans="1:14" x14ac:dyDescent="0.25">
      <c r="A96" s="66" t="s">
        <v>100</v>
      </c>
      <c r="B96" s="67">
        <f>SUM(B92:B95)</f>
        <v>304746</v>
      </c>
      <c r="C96" s="67">
        <f t="shared" ref="C96:D96" si="23">SUM(C92:C95)</f>
        <v>0</v>
      </c>
      <c r="D96" s="67">
        <f t="shared" si="23"/>
        <v>0</v>
      </c>
      <c r="E96" s="67"/>
      <c r="F96" s="67"/>
      <c r="G96" s="67"/>
      <c r="H96" s="67">
        <f>SUM(H92:H95)</f>
        <v>304746</v>
      </c>
      <c r="I96" s="10"/>
      <c r="J96" s="10"/>
      <c r="K96" s="67">
        <v>652723</v>
      </c>
      <c r="L96" s="10"/>
      <c r="M96" s="67">
        <f>SUM(M92:M95)</f>
        <v>-347977</v>
      </c>
      <c r="N96" s="10"/>
    </row>
    <row r="97" spans="1:14" x14ac:dyDescent="0.25">
      <c r="A97" s="73" t="s">
        <v>101</v>
      </c>
      <c r="B97" s="74">
        <f>B80+B90+B96</f>
        <v>2080331.5013513514</v>
      </c>
      <c r="C97" s="74">
        <f t="shared" ref="C97:H97" si="24">C80+C90+C96</f>
        <v>115094.59459459459</v>
      </c>
      <c r="D97" s="74">
        <f t="shared" si="24"/>
        <v>178470</v>
      </c>
      <c r="E97" s="74">
        <f t="shared" si="24"/>
        <v>0</v>
      </c>
      <c r="F97" s="74">
        <f t="shared" si="24"/>
        <v>53120</v>
      </c>
      <c r="G97" s="74">
        <f t="shared" si="24"/>
        <v>16520.96</v>
      </c>
      <c r="H97" s="74">
        <f t="shared" si="24"/>
        <v>2443537.0559459459</v>
      </c>
      <c r="I97" s="10"/>
      <c r="J97" s="10"/>
      <c r="K97" s="74">
        <v>2312814.2000000002</v>
      </c>
      <c r="L97" s="10"/>
      <c r="M97" s="74">
        <f t="shared" ref="M97" si="25">M80+M90+M96</f>
        <v>130722.85594594595</v>
      </c>
      <c r="N97" s="10"/>
    </row>
    <row r="98" spans="1:14" x14ac:dyDescent="0.25">
      <c r="A98" s="68" t="s">
        <v>102</v>
      </c>
      <c r="B98" s="60"/>
      <c r="C98" s="60"/>
      <c r="D98" s="60"/>
      <c r="E98" s="60"/>
      <c r="F98" s="60"/>
      <c r="G98" s="60"/>
      <c r="H98" s="61"/>
      <c r="I98" s="10"/>
      <c r="J98" s="10"/>
      <c r="K98" s="61"/>
      <c r="L98" s="10"/>
      <c r="M98" s="61">
        <f t="shared" si="16"/>
        <v>0</v>
      </c>
      <c r="N98" s="10"/>
    </row>
    <row r="99" spans="1:14" x14ac:dyDescent="0.25">
      <c r="A99" s="39" t="s">
        <v>103</v>
      </c>
      <c r="B99" s="7">
        <v>0</v>
      </c>
      <c r="C99" s="7">
        <v>0</v>
      </c>
      <c r="D99" s="7">
        <v>0</v>
      </c>
      <c r="E99" s="7">
        <v>0</v>
      </c>
      <c r="F99" s="7">
        <v>0</v>
      </c>
      <c r="G99" s="7">
        <v>0</v>
      </c>
      <c r="H99" s="7">
        <f>SUM(B99:G99)</f>
        <v>0</v>
      </c>
      <c r="I99" s="19"/>
      <c r="J99" s="10"/>
      <c r="K99" s="7">
        <v>0</v>
      </c>
      <c r="L99" s="10"/>
      <c r="M99" s="7">
        <f t="shared" si="16"/>
        <v>0</v>
      </c>
      <c r="N99" s="10"/>
    </row>
    <row r="100" spans="1:14" x14ac:dyDescent="0.25">
      <c r="A100" s="39" t="s">
        <v>104</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105</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106</v>
      </c>
      <c r="B105" s="76" t="str">
        <f>B1</f>
        <v>Operating</v>
      </c>
      <c r="C105" s="76" t="str">
        <f>C1</f>
        <v>SPED</v>
      </c>
      <c r="D105" s="76" t="str">
        <f>D1</f>
        <v>NSLP</v>
      </c>
      <c r="E105" s="76" t="str">
        <f>E1</f>
        <v>Other</v>
      </c>
      <c r="F105" s="76" t="str">
        <f t="shared" ref="F105:G105" si="27">F1</f>
        <v>Title I</v>
      </c>
      <c r="G105" s="76" t="str">
        <f t="shared" si="27"/>
        <v>Title II/III/IV</v>
      </c>
      <c r="H105" s="76" t="str">
        <f>H1</f>
        <v>Total (25-26)</v>
      </c>
      <c r="I105" s="10"/>
      <c r="J105" s="10"/>
      <c r="K105" s="76" t="s">
        <v>7</v>
      </c>
      <c r="L105" s="10"/>
      <c r="M105" s="76" t="str">
        <f t="shared" ref="M105" si="28">M1</f>
        <v>Variance</v>
      </c>
      <c r="N105" s="10"/>
    </row>
    <row r="106" spans="1:14" x14ac:dyDescent="0.25">
      <c r="A106" s="59" t="s">
        <v>107</v>
      </c>
      <c r="B106" s="60"/>
      <c r="C106" s="60"/>
      <c r="D106" s="60"/>
      <c r="E106" s="60"/>
      <c r="F106" s="60"/>
      <c r="G106" s="60"/>
      <c r="H106" s="61"/>
      <c r="I106" s="10"/>
      <c r="J106" s="10"/>
      <c r="K106" s="61"/>
      <c r="L106" s="10"/>
      <c r="M106" s="61">
        <f t="shared" si="16"/>
        <v>0</v>
      </c>
      <c r="N106" s="10"/>
    </row>
    <row r="107" spans="1:14" x14ac:dyDescent="0.25">
      <c r="A107" s="39" t="s">
        <v>47</v>
      </c>
      <c r="B107" s="14">
        <f>'24-25'!B107*1.015</f>
        <v>137025</v>
      </c>
      <c r="C107" s="14">
        <f>'24-25'!C107*1.015</f>
        <v>0</v>
      </c>
      <c r="D107" s="14">
        <f>'24-25'!D107*1.015</f>
        <v>0</v>
      </c>
      <c r="E107" s="14">
        <f>'24-25'!E107*1.015</f>
        <v>0</v>
      </c>
      <c r="F107" s="14">
        <f>'24-25'!F107*1.015</f>
        <v>0</v>
      </c>
      <c r="G107" s="14">
        <f>'24-25'!G107*1.015</f>
        <v>0</v>
      </c>
      <c r="H107" s="7">
        <f t="shared" ref="H107:H120" si="29">SUM(B107:G107)</f>
        <v>137025</v>
      </c>
      <c r="I107" s="19"/>
      <c r="K107" s="7">
        <v>135000</v>
      </c>
      <c r="M107" s="7">
        <f t="shared" si="16"/>
        <v>2025</v>
      </c>
    </row>
    <row r="108" spans="1:14" x14ac:dyDescent="0.25">
      <c r="A108" s="39" t="s">
        <v>48</v>
      </c>
      <c r="B108" s="14">
        <f>'24-25'!B108*1.015</f>
        <v>126874.99999999999</v>
      </c>
      <c r="C108" s="14">
        <f>'24-25'!C108*1.015</f>
        <v>0</v>
      </c>
      <c r="D108" s="14">
        <f>'24-25'!D108*1.015</f>
        <v>0</v>
      </c>
      <c r="E108" s="14">
        <f>'24-25'!E108*1.015</f>
        <v>0</v>
      </c>
      <c r="F108" s="14">
        <f>'24-25'!F108*1.015</f>
        <v>0</v>
      </c>
      <c r="G108" s="14">
        <f>'24-25'!G108*1.015</f>
        <v>0</v>
      </c>
      <c r="H108" s="7">
        <f t="shared" si="29"/>
        <v>126874.99999999999</v>
      </c>
      <c r="I108" s="19"/>
      <c r="K108" s="7">
        <v>125000</v>
      </c>
      <c r="M108" s="7">
        <f t="shared" si="16"/>
        <v>1874.9999999999854</v>
      </c>
    </row>
    <row r="109" spans="1:14" x14ac:dyDescent="0.25">
      <c r="A109" s="39" t="s">
        <v>49</v>
      </c>
      <c r="B109" s="14">
        <f>'24-25'!B109*1.015</f>
        <v>0</v>
      </c>
      <c r="C109" s="14">
        <f>'24-25'!C109*1.015</f>
        <v>0</v>
      </c>
      <c r="D109" s="14">
        <f>'24-25'!D109*1.015</f>
        <v>0</v>
      </c>
      <c r="E109" s="14">
        <f>'24-25'!E109*1.015</f>
        <v>0</v>
      </c>
      <c r="F109" s="14">
        <f>'24-25'!F109*1.015</f>
        <v>81849.599999999991</v>
      </c>
      <c r="G109" s="14">
        <f>'24-25'!G109*1.015</f>
        <v>0</v>
      </c>
      <c r="H109" s="7">
        <f t="shared" si="29"/>
        <v>81849.599999999991</v>
      </c>
      <c r="I109" s="19"/>
      <c r="K109" s="7">
        <v>80640</v>
      </c>
      <c r="M109" s="7">
        <f t="shared" si="16"/>
        <v>1209.5999999999913</v>
      </c>
    </row>
    <row r="110" spans="1:14" x14ac:dyDescent="0.25">
      <c r="A110" s="42" t="s">
        <v>50</v>
      </c>
      <c r="B110" s="14">
        <f>'24-25'!B110*1.015</f>
        <v>0</v>
      </c>
      <c r="C110" s="14">
        <f>'24-25'!C110*1.015</f>
        <v>0</v>
      </c>
      <c r="D110" s="14">
        <f>'24-25'!D110*1.015</f>
        <v>0</v>
      </c>
      <c r="E110" s="14">
        <f>'24-25'!E110*1.015</f>
        <v>0</v>
      </c>
      <c r="F110" s="14">
        <f>'24-25'!F110*1.015</f>
        <v>0</v>
      </c>
      <c r="G110" s="14">
        <f>'24-25'!G110*1.015</f>
        <v>0</v>
      </c>
      <c r="H110" s="7">
        <f t="shared" si="29"/>
        <v>0</v>
      </c>
      <c r="I110" s="19"/>
      <c r="K110" s="7">
        <v>0</v>
      </c>
      <c r="M110" s="7">
        <f t="shared" si="16"/>
        <v>0</v>
      </c>
    </row>
    <row r="111" spans="1:14" x14ac:dyDescent="0.25">
      <c r="A111" s="42" t="s">
        <v>51</v>
      </c>
      <c r="B111" s="14">
        <f>'24-25'!B111*1.015</f>
        <v>0</v>
      </c>
      <c r="C111" s="14">
        <f>'24-25'!C111*1.015</f>
        <v>0</v>
      </c>
      <c r="D111" s="14">
        <f>'24-25'!D111*1.015</f>
        <v>0</v>
      </c>
      <c r="E111" s="14">
        <f>'24-25'!E111*1.015</f>
        <v>0</v>
      </c>
      <c r="F111" s="14">
        <f>'24-25'!F111*1.015</f>
        <v>0</v>
      </c>
      <c r="G111" s="14">
        <f>'24-25'!G111*1.015</f>
        <v>0</v>
      </c>
      <c r="H111" s="7">
        <f t="shared" si="29"/>
        <v>0</v>
      </c>
      <c r="I111" s="19"/>
      <c r="K111" s="7">
        <v>0</v>
      </c>
      <c r="M111" s="7">
        <f t="shared" si="16"/>
        <v>0</v>
      </c>
    </row>
    <row r="112" spans="1:14" x14ac:dyDescent="0.25">
      <c r="A112" s="42" t="s">
        <v>52</v>
      </c>
      <c r="B112" s="14">
        <f>'24-25'!B112*1.015</f>
        <v>52272.499999999993</v>
      </c>
      <c r="C112" s="7">
        <v>0</v>
      </c>
      <c r="D112" s="7"/>
      <c r="E112" s="7"/>
      <c r="F112" s="7"/>
      <c r="G112" s="7"/>
      <c r="H112" s="7">
        <f t="shared" si="29"/>
        <v>52272.499999999993</v>
      </c>
      <c r="I112" s="19"/>
      <c r="K112" s="7">
        <v>51500</v>
      </c>
      <c r="M112" s="7">
        <f t="shared" si="16"/>
        <v>772.49999999999272</v>
      </c>
    </row>
    <row r="113" spans="1:14" x14ac:dyDescent="0.25">
      <c r="A113" s="39" t="s">
        <v>108</v>
      </c>
      <c r="B113" s="7"/>
      <c r="C113" s="7"/>
      <c r="D113" s="7"/>
      <c r="E113" s="7">
        <f>E89</f>
        <v>0</v>
      </c>
      <c r="F113" s="7"/>
      <c r="G113" s="7"/>
      <c r="H113" s="7">
        <f t="shared" si="29"/>
        <v>0</v>
      </c>
      <c r="I113" s="19"/>
      <c r="K113" s="7">
        <v>44350</v>
      </c>
      <c r="M113" s="7">
        <f t="shared" si="16"/>
        <v>-44350</v>
      </c>
    </row>
    <row r="114" spans="1:14" x14ac:dyDescent="0.25">
      <c r="A114" s="39" t="s">
        <v>109</v>
      </c>
      <c r="B114" s="7">
        <f>B36*57000</f>
        <v>456000</v>
      </c>
      <c r="C114" s="7"/>
      <c r="D114" s="7"/>
      <c r="E114" s="7"/>
      <c r="F114" s="7"/>
      <c r="G114" s="7"/>
      <c r="H114" s="7">
        <f t="shared" si="29"/>
        <v>456000</v>
      </c>
      <c r="I114" s="26">
        <f>H114/(H36-H28)</f>
        <v>57000</v>
      </c>
      <c r="K114" s="7">
        <v>447935</v>
      </c>
      <c r="M114" s="7">
        <f t="shared" si="16"/>
        <v>8065</v>
      </c>
    </row>
    <row r="115" spans="1:14" x14ac:dyDescent="0.25">
      <c r="A115" s="39" t="s">
        <v>37</v>
      </c>
      <c r="B115" s="7"/>
      <c r="C115" s="7">
        <f>57000*C36</f>
        <v>57000</v>
      </c>
      <c r="D115" s="7"/>
      <c r="E115" s="7"/>
      <c r="F115" s="7"/>
      <c r="G115" s="7"/>
      <c r="H115" s="7">
        <f t="shared" si="29"/>
        <v>57000</v>
      </c>
      <c r="I115" s="19"/>
      <c r="K115" s="7">
        <v>50000</v>
      </c>
      <c r="M115" s="7">
        <f t="shared" si="16"/>
        <v>7000</v>
      </c>
    </row>
    <row r="116" spans="1:14" x14ac:dyDescent="0.25">
      <c r="A116" s="39" t="s">
        <v>110</v>
      </c>
      <c r="B116" s="14">
        <f>'24-25'!B116*1.015</f>
        <v>60899.999999999993</v>
      </c>
      <c r="C116" s="7"/>
      <c r="D116" s="7"/>
      <c r="E116" s="7"/>
      <c r="F116" s="7"/>
      <c r="G116" s="7"/>
      <c r="H116" s="7">
        <f t="shared" si="29"/>
        <v>60899.999999999993</v>
      </c>
      <c r="I116" s="19"/>
      <c r="K116" s="7">
        <v>60000</v>
      </c>
      <c r="M116" s="7">
        <f t="shared" si="16"/>
        <v>899.99999999999272</v>
      </c>
    </row>
    <row r="117" spans="1:14" x14ac:dyDescent="0.25">
      <c r="A117" s="39" t="s">
        <v>111</v>
      </c>
      <c r="B117" s="14">
        <f>(14*8*190)*(B49+B48)</f>
        <v>0</v>
      </c>
      <c r="C117" s="7"/>
      <c r="D117" s="7"/>
      <c r="E117" s="7"/>
      <c r="F117" s="7"/>
      <c r="G117" s="7"/>
      <c r="H117" s="7">
        <f t="shared" si="29"/>
        <v>0</v>
      </c>
      <c r="I117" s="19"/>
      <c r="K117" s="7">
        <v>0</v>
      </c>
      <c r="M117" s="7">
        <f t="shared" si="16"/>
        <v>0</v>
      </c>
    </row>
    <row r="118" spans="1:14" x14ac:dyDescent="0.25">
      <c r="A118" s="39" t="s">
        <v>112</v>
      </c>
      <c r="B118" s="7">
        <f>(15.5*8*180)*B50</f>
        <v>22320</v>
      </c>
      <c r="C118" s="7">
        <f t="shared" ref="C118:D118" si="30">(14*8*180)*C50</f>
        <v>0</v>
      </c>
      <c r="D118" s="7">
        <f t="shared" si="30"/>
        <v>0</v>
      </c>
      <c r="E118" s="7"/>
      <c r="F118" s="14">
        <f>(15.25*8*180)*F50</f>
        <v>0</v>
      </c>
      <c r="G118" s="7"/>
      <c r="H118" s="7">
        <f t="shared" si="29"/>
        <v>22320</v>
      </c>
      <c r="I118" s="19"/>
      <c r="K118" s="7">
        <v>21600</v>
      </c>
      <c r="M118" s="7">
        <f t="shared" si="16"/>
        <v>720</v>
      </c>
    </row>
    <row r="119" spans="1:14" x14ac:dyDescent="0.25">
      <c r="A119" s="39" t="s">
        <v>113</v>
      </c>
      <c r="B119" s="14">
        <f>(17*8*210)*B51</f>
        <v>0</v>
      </c>
      <c r="C119" s="7"/>
      <c r="D119" s="7"/>
      <c r="E119" s="7"/>
      <c r="F119" s="7"/>
      <c r="G119" s="7"/>
      <c r="H119" s="7">
        <f t="shared" si="29"/>
        <v>0</v>
      </c>
      <c r="I119" s="19"/>
      <c r="K119" s="7">
        <v>0</v>
      </c>
      <c r="M119" s="7">
        <f t="shared" si="16"/>
        <v>0</v>
      </c>
    </row>
    <row r="120" spans="1:14" x14ac:dyDescent="0.25">
      <c r="A120" s="39" t="s">
        <v>60</v>
      </c>
      <c r="B120" s="7"/>
      <c r="C120" s="7"/>
      <c r="D120" s="7"/>
      <c r="E120" s="7"/>
      <c r="F120" s="7"/>
      <c r="G120" s="7"/>
      <c r="H120" s="7">
        <f t="shared" si="29"/>
        <v>0</v>
      </c>
      <c r="I120" s="19"/>
      <c r="K120" s="7">
        <v>0</v>
      </c>
      <c r="M120" s="7">
        <f t="shared" si="16"/>
        <v>0</v>
      </c>
    </row>
    <row r="121" spans="1:14" x14ac:dyDescent="0.25">
      <c r="A121" s="77" t="s">
        <v>114</v>
      </c>
      <c r="B121" s="78">
        <f>SUM(B107:B120)</f>
        <v>855392.5</v>
      </c>
      <c r="C121" s="78">
        <f t="shared" ref="C121:G121" si="31">SUM(C107:C120)</f>
        <v>57000</v>
      </c>
      <c r="D121" s="78">
        <f t="shared" si="31"/>
        <v>0</v>
      </c>
      <c r="E121" s="78">
        <f t="shared" si="31"/>
        <v>0</v>
      </c>
      <c r="F121" s="78">
        <f t="shared" si="31"/>
        <v>81849.599999999991</v>
      </c>
      <c r="G121" s="78">
        <f t="shared" si="31"/>
        <v>0</v>
      </c>
      <c r="H121" s="78">
        <f>SUM(H107:H120)</f>
        <v>994242.1</v>
      </c>
      <c r="I121" s="10"/>
      <c r="J121" s="10"/>
      <c r="K121" s="78">
        <v>1016025</v>
      </c>
      <c r="L121" s="10"/>
      <c r="M121" s="78">
        <f>SUM(M107:M120)</f>
        <v>-21782.900000000038</v>
      </c>
      <c r="N121" s="10"/>
    </row>
    <row r="122" spans="1:14" x14ac:dyDescent="0.25">
      <c r="A122" s="79" t="s">
        <v>115</v>
      </c>
      <c r="B122" s="60"/>
      <c r="C122" s="60"/>
      <c r="D122" s="60"/>
      <c r="E122" s="60"/>
      <c r="F122" s="60"/>
      <c r="G122" s="60"/>
      <c r="H122" s="61"/>
      <c r="I122" s="10"/>
      <c r="J122" s="10"/>
      <c r="K122" s="61"/>
      <c r="L122" s="10"/>
      <c r="M122" s="61">
        <f t="shared" si="16"/>
        <v>0</v>
      </c>
      <c r="N122" s="10"/>
    </row>
    <row r="123" spans="1:14" x14ac:dyDescent="0.25">
      <c r="A123" s="39" t="s">
        <v>62</v>
      </c>
      <c r="B123" s="7">
        <v>0</v>
      </c>
      <c r="C123" s="7"/>
      <c r="D123" s="7"/>
      <c r="E123" s="7"/>
      <c r="F123" s="7"/>
      <c r="G123" s="7"/>
      <c r="H123" s="34">
        <f t="shared" ref="H123:H130" si="32">SUM(B123:G123)</f>
        <v>0</v>
      </c>
      <c r="I123" s="19"/>
      <c r="K123" s="34">
        <v>0</v>
      </c>
      <c r="M123" s="7">
        <f t="shared" si="16"/>
        <v>0</v>
      </c>
    </row>
    <row r="124" spans="1:14" x14ac:dyDescent="0.25">
      <c r="A124" s="39" t="s">
        <v>63</v>
      </c>
      <c r="B124" s="7">
        <v>0</v>
      </c>
      <c r="C124" s="7"/>
      <c r="D124" s="7"/>
      <c r="E124" s="7"/>
      <c r="F124" s="7"/>
      <c r="G124" s="7"/>
      <c r="H124" s="34">
        <f t="shared" si="32"/>
        <v>0</v>
      </c>
      <c r="I124" s="19"/>
      <c r="K124" s="34">
        <v>0</v>
      </c>
      <c r="M124" s="34">
        <f t="shared" si="16"/>
        <v>0</v>
      </c>
    </row>
    <row r="125" spans="1:14" x14ac:dyDescent="0.25">
      <c r="A125" s="39" t="s">
        <v>64</v>
      </c>
      <c r="B125" s="7">
        <v>0</v>
      </c>
      <c r="C125" s="7"/>
      <c r="D125" s="7"/>
      <c r="E125" s="7"/>
      <c r="F125" s="7"/>
      <c r="G125" s="7"/>
      <c r="H125" s="7">
        <f t="shared" si="32"/>
        <v>0</v>
      </c>
      <c r="I125" s="19"/>
      <c r="K125" s="7">
        <v>0</v>
      </c>
      <c r="M125" s="7">
        <f t="shared" si="16"/>
        <v>0</v>
      </c>
    </row>
    <row r="126" spans="1:14" x14ac:dyDescent="0.25">
      <c r="A126" s="39" t="s">
        <v>116</v>
      </c>
      <c r="B126" s="7">
        <v>0</v>
      </c>
      <c r="C126" s="7"/>
      <c r="D126" s="7"/>
      <c r="E126" s="7"/>
      <c r="F126" s="7"/>
      <c r="G126" s="7"/>
      <c r="H126" s="34">
        <f t="shared" si="32"/>
        <v>0</v>
      </c>
      <c r="I126" s="19"/>
      <c r="K126" s="34">
        <v>0</v>
      </c>
      <c r="M126" s="34">
        <f t="shared" si="16"/>
        <v>0</v>
      </c>
    </row>
    <row r="127" spans="1:14" x14ac:dyDescent="0.25">
      <c r="A127" s="39" t="s">
        <v>66</v>
      </c>
      <c r="B127" s="7">
        <v>0</v>
      </c>
      <c r="C127" s="7"/>
      <c r="D127" s="7"/>
      <c r="E127" s="7"/>
      <c r="F127" s="7"/>
      <c r="G127" s="7"/>
      <c r="H127" s="34">
        <f t="shared" si="32"/>
        <v>0</v>
      </c>
      <c r="I127" s="19"/>
      <c r="K127" s="34">
        <v>0</v>
      </c>
      <c r="M127" s="34">
        <f t="shared" si="16"/>
        <v>0</v>
      </c>
    </row>
    <row r="128" spans="1:14" x14ac:dyDescent="0.25">
      <c r="A128" s="39" t="s">
        <v>117</v>
      </c>
      <c r="B128" s="7">
        <v>0</v>
      </c>
      <c r="C128" s="7"/>
      <c r="D128" s="7"/>
      <c r="E128" s="7"/>
      <c r="F128" s="7"/>
      <c r="G128" s="7"/>
      <c r="H128" s="34">
        <f t="shared" si="32"/>
        <v>0</v>
      </c>
      <c r="I128" s="19"/>
      <c r="K128" s="34">
        <v>0</v>
      </c>
      <c r="M128" s="34">
        <f t="shared" si="16"/>
        <v>0</v>
      </c>
    </row>
    <row r="129" spans="1:14" x14ac:dyDescent="0.25">
      <c r="A129" s="39" t="s">
        <v>118</v>
      </c>
      <c r="B129" s="7">
        <f>(12.5*6*185)*B52</f>
        <v>0</v>
      </c>
      <c r="C129" s="7">
        <f>(12.5*6*185)*C52</f>
        <v>0</v>
      </c>
      <c r="D129" s="7">
        <f>(24.5*8*200)*D52</f>
        <v>39200</v>
      </c>
      <c r="E129" s="7"/>
      <c r="F129" s="7"/>
      <c r="G129" s="7"/>
      <c r="H129" s="7">
        <f t="shared" si="32"/>
        <v>39200</v>
      </c>
      <c r="I129" s="19"/>
      <c r="K129" s="7">
        <v>38400</v>
      </c>
      <c r="M129" s="7">
        <f t="shared" si="16"/>
        <v>800</v>
      </c>
    </row>
    <row r="130" spans="1:14" x14ac:dyDescent="0.25">
      <c r="A130" s="39" t="s">
        <v>67</v>
      </c>
      <c r="B130" s="46">
        <v>0</v>
      </c>
      <c r="C130" s="7"/>
      <c r="D130" s="7"/>
      <c r="E130" s="7"/>
      <c r="F130" s="7"/>
      <c r="G130" s="7">
        <v>0</v>
      </c>
      <c r="H130" s="34">
        <f t="shared" si="32"/>
        <v>0</v>
      </c>
      <c r="I130" s="19"/>
      <c r="K130" s="34">
        <v>0</v>
      </c>
      <c r="M130" s="7">
        <f t="shared" ref="M130:M140" si="33">H130-K130</f>
        <v>0</v>
      </c>
    </row>
    <row r="131" spans="1:14" x14ac:dyDescent="0.25">
      <c r="A131" s="80" t="s">
        <v>119</v>
      </c>
      <c r="B131" s="81">
        <f>SUM(B123:B130)</f>
        <v>0</v>
      </c>
      <c r="C131" s="81">
        <f>SUM(C123:C130)</f>
        <v>0</v>
      </c>
      <c r="D131" s="81">
        <f>SUM(D123:D130)</f>
        <v>39200</v>
      </c>
      <c r="E131" s="81">
        <f>SUM(E123:E130)</f>
        <v>0</v>
      </c>
      <c r="F131" s="81">
        <f t="shared" ref="F131" si="34">SUM(F123:F130)</f>
        <v>0</v>
      </c>
      <c r="G131" s="81"/>
      <c r="H131" s="81">
        <f>SUM(H123:H130)</f>
        <v>39200</v>
      </c>
      <c r="I131" s="25"/>
      <c r="J131" s="28"/>
      <c r="K131" s="81">
        <v>38400</v>
      </c>
      <c r="L131" s="10"/>
      <c r="M131" s="81">
        <f>SUM(M123:M130)</f>
        <v>800</v>
      </c>
      <c r="N131" s="28"/>
    </row>
    <row r="132" spans="1:14" x14ac:dyDescent="0.25">
      <c r="A132" s="82" t="s">
        <v>120</v>
      </c>
      <c r="B132" s="83">
        <f>B121+B131</f>
        <v>855392.5</v>
      </c>
      <c r="C132" s="83">
        <f>C121+C131</f>
        <v>57000</v>
      </c>
      <c r="D132" s="83">
        <f>D121+D131</f>
        <v>39200</v>
      </c>
      <c r="E132" s="83">
        <f>E121+E131</f>
        <v>0</v>
      </c>
      <c r="F132" s="83">
        <f t="shared" ref="F132:G132" si="35">F121+F131</f>
        <v>81849.599999999991</v>
      </c>
      <c r="G132" s="83">
        <f t="shared" si="35"/>
        <v>0</v>
      </c>
      <c r="H132" s="83">
        <f>H121+H131</f>
        <v>1033442.1</v>
      </c>
      <c r="I132" s="28"/>
      <c r="J132" s="10"/>
      <c r="K132" s="83">
        <v>1054425</v>
      </c>
      <c r="L132" s="10"/>
      <c r="M132" s="83">
        <f>M121+M131</f>
        <v>-20982.900000000038</v>
      </c>
      <c r="N132" s="10"/>
    </row>
    <row r="133" spans="1:14" x14ac:dyDescent="0.25">
      <c r="A133" s="39" t="s">
        <v>121</v>
      </c>
      <c r="B133" s="63">
        <f>(B132-B109-58710)*0.3675</f>
        <v>292780.81874999998</v>
      </c>
      <c r="C133" s="63">
        <f>(C132-C109)*0.3675</f>
        <v>20947.5</v>
      </c>
      <c r="D133" s="63">
        <f>(D132-D109)*0.3675</f>
        <v>14406</v>
      </c>
      <c r="E133" s="63">
        <f>(E132-E109-E113)*0.3675</f>
        <v>0</v>
      </c>
      <c r="F133" s="63">
        <f>(F132-F109)*0.3675</f>
        <v>0</v>
      </c>
      <c r="G133" s="63">
        <f>G132*0.3675</f>
        <v>0</v>
      </c>
      <c r="H133" s="7">
        <f t="shared" ref="H133:H140" si="36">SUM(B133:G133)</f>
        <v>328134.31874999998</v>
      </c>
      <c r="I133" s="84">
        <f>H133/H132</f>
        <v>0.31751591961465475</v>
      </c>
      <c r="J133" s="85"/>
      <c r="K133" s="7">
        <v>291692.875</v>
      </c>
      <c r="L133" s="85"/>
      <c r="M133" s="7">
        <f t="shared" si="33"/>
        <v>36441.443749999977</v>
      </c>
      <c r="N133" s="85"/>
    </row>
    <row r="134" spans="1:14" x14ac:dyDescent="0.25">
      <c r="A134" s="86" t="s">
        <v>122</v>
      </c>
      <c r="B134" s="14">
        <f>B132*0.12</f>
        <v>102647.09999999999</v>
      </c>
      <c r="C134" s="14">
        <f t="shared" ref="C134:G134" si="37">C132*0.12</f>
        <v>6840</v>
      </c>
      <c r="D134" s="14">
        <f t="shared" si="37"/>
        <v>4704</v>
      </c>
      <c r="E134" s="14">
        <f t="shared" si="37"/>
        <v>0</v>
      </c>
      <c r="F134" s="14">
        <f t="shared" si="37"/>
        <v>9821.9519999999993</v>
      </c>
      <c r="G134" s="14">
        <f t="shared" si="37"/>
        <v>0</v>
      </c>
      <c r="H134" s="7">
        <f t="shared" si="36"/>
        <v>124013.052</v>
      </c>
      <c r="I134" s="84">
        <f>H134/H132</f>
        <v>0.12</v>
      </c>
      <c r="J134" s="85"/>
      <c r="K134" s="7">
        <v>110493.83749999999</v>
      </c>
      <c r="L134" s="85"/>
      <c r="M134" s="7">
        <f t="shared" si="33"/>
        <v>13519.214500000002</v>
      </c>
      <c r="N134" s="85"/>
    </row>
    <row r="135" spans="1:14" x14ac:dyDescent="0.25">
      <c r="A135" s="39" t="s">
        <v>123</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15250</v>
      </c>
      <c r="M135" s="7">
        <f t="shared" si="33"/>
        <v>-1250</v>
      </c>
    </row>
    <row r="136" spans="1:14" x14ac:dyDescent="0.25">
      <c r="A136" s="86" t="s">
        <v>124</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125</v>
      </c>
      <c r="B137" s="7">
        <v>0</v>
      </c>
      <c r="C137" s="14"/>
      <c r="D137" s="14"/>
      <c r="E137" s="14"/>
      <c r="F137" s="14">
        <v>0</v>
      </c>
      <c r="G137" s="14"/>
      <c r="H137" s="7">
        <f t="shared" si="36"/>
        <v>0</v>
      </c>
      <c r="I137" s="19"/>
      <c r="K137" s="7">
        <v>18240</v>
      </c>
      <c r="M137" s="7">
        <f t="shared" si="33"/>
        <v>-18240</v>
      </c>
    </row>
    <row r="138" spans="1:14" x14ac:dyDescent="0.25">
      <c r="A138" s="39" t="s">
        <v>126</v>
      </c>
      <c r="B138" s="7"/>
      <c r="C138" s="14"/>
      <c r="D138" s="14"/>
      <c r="E138" s="14"/>
      <c r="F138" s="14"/>
      <c r="G138" s="14"/>
      <c r="H138" s="7">
        <f t="shared" si="36"/>
        <v>0</v>
      </c>
      <c r="I138" s="19"/>
      <c r="K138" s="7">
        <v>0</v>
      </c>
      <c r="M138" s="7">
        <f t="shared" si="33"/>
        <v>0</v>
      </c>
    </row>
    <row r="139" spans="1:14" x14ac:dyDescent="0.25">
      <c r="A139" s="39" t="s">
        <v>127</v>
      </c>
      <c r="B139" s="14">
        <v>5000</v>
      </c>
      <c r="C139" s="14"/>
      <c r="D139" s="14"/>
      <c r="E139" s="14"/>
      <c r="F139" s="14"/>
      <c r="G139" s="14"/>
      <c r="H139" s="7">
        <f t="shared" si="36"/>
        <v>5000</v>
      </c>
      <c r="I139" s="19"/>
      <c r="K139" s="7">
        <v>5000</v>
      </c>
      <c r="M139" s="7">
        <f t="shared" si="33"/>
        <v>0</v>
      </c>
    </row>
    <row r="140" spans="1:14" x14ac:dyDescent="0.25">
      <c r="A140" s="39" t="s">
        <v>128</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129</v>
      </c>
      <c r="K140" s="7">
        <v>18315</v>
      </c>
      <c r="M140" s="7">
        <f t="shared" si="33"/>
        <v>0</v>
      </c>
    </row>
    <row r="141" spans="1:14" x14ac:dyDescent="0.25">
      <c r="A141" s="90" t="s">
        <v>130</v>
      </c>
      <c r="B141" s="91">
        <f>SUM(B133:B140)</f>
        <v>431332.91874999995</v>
      </c>
      <c r="C141" s="91">
        <f t="shared" ref="C141:G141" si="41">SUM(C133:C140)</f>
        <v>31197.5</v>
      </c>
      <c r="D141" s="91">
        <f t="shared" si="41"/>
        <v>19735</v>
      </c>
      <c r="E141" s="91">
        <f t="shared" si="41"/>
        <v>0</v>
      </c>
      <c r="F141" s="91">
        <f t="shared" si="41"/>
        <v>9821.9519999999993</v>
      </c>
      <c r="G141" s="91">
        <f t="shared" si="41"/>
        <v>0</v>
      </c>
      <c r="H141" s="91">
        <f>SUM(H133:H140)</f>
        <v>492087.37075</v>
      </c>
      <c r="I141" s="10"/>
      <c r="J141" s="10"/>
      <c r="K141" s="91">
        <v>461616.71250000002</v>
      </c>
      <c r="L141" s="10"/>
      <c r="M141" s="91">
        <f>SUM(M133:M140)</f>
        <v>30470.658249999979</v>
      </c>
      <c r="N141" s="10"/>
    </row>
    <row r="142" spans="1:14" x14ac:dyDescent="0.25">
      <c r="A142" s="82" t="s">
        <v>131</v>
      </c>
      <c r="B142" s="83">
        <f>B132+B141</f>
        <v>1286725.41875</v>
      </c>
      <c r="C142" s="83">
        <f>C132+C141</f>
        <v>88197.5</v>
      </c>
      <c r="D142" s="83">
        <f>D132+D141</f>
        <v>58935</v>
      </c>
      <c r="E142" s="83">
        <f>E132+E141</f>
        <v>0</v>
      </c>
      <c r="F142" s="83">
        <f t="shared" ref="F142:G142" si="42">F132+F141</f>
        <v>91671.551999999996</v>
      </c>
      <c r="G142" s="83">
        <f t="shared" si="42"/>
        <v>0</v>
      </c>
      <c r="H142" s="83">
        <f>H132+H141</f>
        <v>1525529.4707499999</v>
      </c>
      <c r="I142" s="10"/>
      <c r="J142" s="10"/>
      <c r="K142" s="83">
        <v>1516041.7124999999</v>
      </c>
      <c r="L142" s="10"/>
      <c r="M142" s="83">
        <f>M132+M141</f>
        <v>9487.7582499999407</v>
      </c>
      <c r="N142" s="10"/>
    </row>
    <row r="143" spans="1:14" x14ac:dyDescent="0.25">
      <c r="A143" s="92" t="s">
        <v>132</v>
      </c>
      <c r="B143" s="24" t="str">
        <f>B1</f>
        <v>Operating</v>
      </c>
      <c r="C143" s="24" t="str">
        <f>C1</f>
        <v>SPED</v>
      </c>
      <c r="D143" s="24" t="str">
        <f>D1</f>
        <v>NSLP</v>
      </c>
      <c r="E143" s="24" t="str">
        <f>E1</f>
        <v>Other</v>
      </c>
      <c r="F143" s="24" t="str">
        <f t="shared" ref="F143:G143" si="43">F1</f>
        <v>Title I</v>
      </c>
      <c r="G143" s="24" t="str">
        <f t="shared" si="43"/>
        <v>Title II/III/IV</v>
      </c>
      <c r="H143" s="24" t="str">
        <f>H1</f>
        <v>Total (25-26)</v>
      </c>
      <c r="I143" s="10"/>
      <c r="J143" s="10"/>
      <c r="K143" s="24" t="s">
        <v>7</v>
      </c>
      <c r="L143" s="10"/>
      <c r="M143" s="24" t="str">
        <f>M1</f>
        <v>Variance</v>
      </c>
      <c r="N143" s="10"/>
    </row>
    <row r="144" spans="1:14" x14ac:dyDescent="0.25">
      <c r="A144" s="93" t="s">
        <v>133</v>
      </c>
      <c r="B144" s="14">
        <f>210*B17</f>
        <v>31500</v>
      </c>
      <c r="C144" s="14"/>
      <c r="D144" s="14"/>
      <c r="E144" s="14"/>
      <c r="F144" s="14"/>
      <c r="G144" s="14"/>
      <c r="H144" s="7">
        <f t="shared" ref="H144:H153" si="44">SUM(B144:G144)</f>
        <v>31500</v>
      </c>
      <c r="I144" s="8" t="s">
        <v>134</v>
      </c>
      <c r="K144" s="7">
        <v>6500</v>
      </c>
      <c r="M144" s="7">
        <f t="shared" ref="M144:M153" si="45">H144-K144</f>
        <v>25000</v>
      </c>
    </row>
    <row r="145" spans="1:14" x14ac:dyDescent="0.25">
      <c r="A145" s="94" t="s">
        <v>135</v>
      </c>
      <c r="B145" s="14">
        <v>0</v>
      </c>
      <c r="C145" s="14"/>
      <c r="D145" s="14"/>
      <c r="E145" s="14"/>
      <c r="F145" s="14"/>
      <c r="G145" s="14"/>
      <c r="H145" s="7">
        <f t="shared" si="44"/>
        <v>0</v>
      </c>
      <c r="I145" s="19"/>
      <c r="K145" s="7">
        <v>0</v>
      </c>
      <c r="M145" s="7">
        <f t="shared" si="45"/>
        <v>0</v>
      </c>
    </row>
    <row r="146" spans="1:14" x14ac:dyDescent="0.25">
      <c r="A146" s="39" t="s">
        <v>136</v>
      </c>
      <c r="B146" s="14">
        <v>0</v>
      </c>
      <c r="C146" s="14"/>
      <c r="D146" s="14"/>
      <c r="E146" s="14"/>
      <c r="F146" s="14"/>
      <c r="G146" s="14"/>
      <c r="H146" s="7">
        <f t="shared" si="44"/>
        <v>0</v>
      </c>
      <c r="I146" s="19"/>
      <c r="K146" s="7">
        <v>15000</v>
      </c>
      <c r="M146" s="7">
        <f t="shared" si="45"/>
        <v>-15000</v>
      </c>
    </row>
    <row r="147" spans="1:14" x14ac:dyDescent="0.25">
      <c r="A147" s="39" t="s">
        <v>138</v>
      </c>
      <c r="B147" s="14">
        <f>30*B17</f>
        <v>4500</v>
      </c>
      <c r="C147" s="14"/>
      <c r="D147" s="14"/>
      <c r="E147" s="14"/>
      <c r="F147" s="14"/>
      <c r="G147" s="14"/>
      <c r="H147" s="7">
        <f t="shared" si="44"/>
        <v>4500</v>
      </c>
      <c r="I147" s="8" t="s">
        <v>139</v>
      </c>
      <c r="K147" s="7">
        <v>3330</v>
      </c>
      <c r="M147" s="7">
        <f t="shared" si="45"/>
        <v>1170</v>
      </c>
    </row>
    <row r="148" spans="1:14" x14ac:dyDescent="0.25">
      <c r="A148" s="39" t="s">
        <v>140</v>
      </c>
      <c r="B148" s="14">
        <f>40*B17</f>
        <v>6000</v>
      </c>
      <c r="C148" s="14"/>
      <c r="D148" s="14"/>
      <c r="E148" s="14"/>
      <c r="F148" s="14"/>
      <c r="G148" s="14"/>
      <c r="H148" s="7">
        <f t="shared" si="44"/>
        <v>6000</v>
      </c>
      <c r="I148" s="8" t="s">
        <v>141</v>
      </c>
      <c r="K148" s="7">
        <v>9500</v>
      </c>
      <c r="M148" s="7">
        <f t="shared" si="45"/>
        <v>-3500</v>
      </c>
    </row>
    <row r="149" spans="1:14" x14ac:dyDescent="0.25">
      <c r="A149" s="39" t="s">
        <v>142</v>
      </c>
      <c r="B149" s="14">
        <f>10*B17</f>
        <v>1500</v>
      </c>
      <c r="C149" s="14"/>
      <c r="D149" s="14"/>
      <c r="E149" s="14"/>
      <c r="F149" s="14"/>
      <c r="G149" s="14"/>
      <c r="H149" s="7">
        <f t="shared" si="44"/>
        <v>1500</v>
      </c>
      <c r="I149" s="8" t="s">
        <v>143</v>
      </c>
      <c r="K149" s="7">
        <v>1110</v>
      </c>
      <c r="M149" s="7">
        <f t="shared" si="45"/>
        <v>390</v>
      </c>
    </row>
    <row r="150" spans="1:14" x14ac:dyDescent="0.25">
      <c r="A150" s="39" t="s">
        <v>144</v>
      </c>
      <c r="B150" s="7">
        <f>8*B17</f>
        <v>1200</v>
      </c>
      <c r="C150" s="14"/>
      <c r="D150" s="14"/>
      <c r="E150" s="14"/>
      <c r="F150" s="14"/>
      <c r="G150" s="14"/>
      <c r="H150" s="7">
        <f t="shared" si="44"/>
        <v>1200</v>
      </c>
      <c r="I150" s="8" t="s">
        <v>145</v>
      </c>
      <c r="K150" s="7">
        <v>888</v>
      </c>
      <c r="M150" s="7">
        <f t="shared" si="45"/>
        <v>312</v>
      </c>
    </row>
    <row r="151" spans="1:14" x14ac:dyDescent="0.25">
      <c r="A151" s="39" t="s">
        <v>146</v>
      </c>
      <c r="B151" s="7">
        <f>129*B20</f>
        <v>0</v>
      </c>
      <c r="C151" s="14">
        <f>150*(C20)</f>
        <v>3445.9459459459458</v>
      </c>
      <c r="D151" s="14"/>
      <c r="E151" s="14"/>
      <c r="F151" s="14"/>
      <c r="G151" s="14"/>
      <c r="H151" s="7">
        <f t="shared" si="44"/>
        <v>3445.9459459459458</v>
      </c>
      <c r="I151" s="8" t="s">
        <v>147</v>
      </c>
      <c r="K151" s="7">
        <v>2550</v>
      </c>
      <c r="M151" s="7">
        <f t="shared" si="45"/>
        <v>895.94594594594582</v>
      </c>
    </row>
    <row r="152" spans="1:14" x14ac:dyDescent="0.25">
      <c r="A152" s="39" t="s">
        <v>148</v>
      </c>
      <c r="B152" s="7">
        <v>7500</v>
      </c>
      <c r="C152" s="7"/>
      <c r="D152" s="7"/>
      <c r="E152" s="7"/>
      <c r="F152" s="7"/>
      <c r="G152" s="7"/>
      <c r="H152" s="7">
        <f t="shared" si="44"/>
        <v>7500</v>
      </c>
      <c r="I152" s="19"/>
      <c r="K152" s="7">
        <v>7500</v>
      </c>
      <c r="M152" s="7">
        <f t="shared" si="45"/>
        <v>0</v>
      </c>
    </row>
    <row r="153" spans="1:14" x14ac:dyDescent="0.25">
      <c r="A153" s="95" t="s">
        <v>149</v>
      </c>
      <c r="B153" s="96">
        <f>45*B17</f>
        <v>6750</v>
      </c>
      <c r="C153" s="7"/>
      <c r="D153" s="7"/>
      <c r="E153" s="7"/>
      <c r="F153" s="7"/>
      <c r="G153" s="7"/>
      <c r="H153" s="7">
        <f t="shared" si="44"/>
        <v>6750</v>
      </c>
      <c r="I153" s="19" t="s">
        <v>150</v>
      </c>
      <c r="K153" s="7">
        <v>6705</v>
      </c>
      <c r="M153" s="7">
        <f t="shared" si="45"/>
        <v>45</v>
      </c>
    </row>
    <row r="154" spans="1:14" x14ac:dyDescent="0.25">
      <c r="A154" s="82" t="s">
        <v>151</v>
      </c>
      <c r="B154" s="83">
        <f>SUM(B144:B153)</f>
        <v>58950</v>
      </c>
      <c r="C154" s="83">
        <f t="shared" ref="C154:G154" si="46">SUM(C144:C153)</f>
        <v>3445.9459459459458</v>
      </c>
      <c r="D154" s="83">
        <f t="shared" si="46"/>
        <v>0</v>
      </c>
      <c r="E154" s="83">
        <f t="shared" si="46"/>
        <v>0</v>
      </c>
      <c r="F154" s="83">
        <f t="shared" si="46"/>
        <v>0</v>
      </c>
      <c r="G154" s="83">
        <f t="shared" si="46"/>
        <v>0</v>
      </c>
      <c r="H154" s="83">
        <f>SUM(H144:H153)</f>
        <v>62395.945945945947</v>
      </c>
      <c r="I154" s="10"/>
      <c r="J154" s="10"/>
      <c r="K154" s="83">
        <v>53083</v>
      </c>
      <c r="L154" s="10"/>
      <c r="M154" s="83">
        <f>SUM(M144:M153)</f>
        <v>9312.9459459459467</v>
      </c>
      <c r="N154" s="10"/>
    </row>
    <row r="155" spans="1:14" x14ac:dyDescent="0.25">
      <c r="A155" s="92" t="s">
        <v>152</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(25-26)</v>
      </c>
      <c r="I155" s="10"/>
      <c r="J155" s="10"/>
      <c r="K155" s="24" t="s">
        <v>7</v>
      </c>
      <c r="L155" s="10"/>
      <c r="M155" s="24" t="str">
        <f>M1</f>
        <v>Variance</v>
      </c>
      <c r="N155" s="10"/>
    </row>
    <row r="156" spans="1:14" x14ac:dyDescent="0.25">
      <c r="A156" s="39" t="s">
        <v>153</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154</v>
      </c>
      <c r="B157" s="14">
        <v>0</v>
      </c>
      <c r="C157" s="14">
        <f>425*B17</f>
        <v>63750</v>
      </c>
      <c r="D157" s="7"/>
      <c r="E157" s="7"/>
      <c r="F157" s="7"/>
      <c r="G157" s="7"/>
      <c r="H157" s="7">
        <f t="shared" si="48"/>
        <v>63750</v>
      </c>
      <c r="I157" s="19" t="s">
        <v>155</v>
      </c>
      <c r="K157" s="7">
        <v>47175</v>
      </c>
      <c r="M157" s="7">
        <f t="shared" si="49"/>
        <v>16575</v>
      </c>
    </row>
    <row r="158" spans="1:14" x14ac:dyDescent="0.25">
      <c r="A158" s="39" t="s">
        <v>156</v>
      </c>
      <c r="B158" s="14">
        <f>7500*10</f>
        <v>75000</v>
      </c>
      <c r="C158" s="7"/>
      <c r="D158" s="7"/>
      <c r="E158" s="7"/>
      <c r="F158" s="7"/>
      <c r="G158" s="7"/>
      <c r="H158" s="7">
        <f t="shared" si="48"/>
        <v>75000</v>
      </c>
      <c r="I158" s="19" t="s">
        <v>157</v>
      </c>
      <c r="K158" s="7">
        <v>75000</v>
      </c>
      <c r="M158" s="7">
        <f t="shared" si="49"/>
        <v>0</v>
      </c>
    </row>
    <row r="159" spans="1:14" x14ac:dyDescent="0.25">
      <c r="A159" s="39" t="s">
        <v>158</v>
      </c>
      <c r="B159" s="14">
        <v>50000</v>
      </c>
      <c r="C159" s="7"/>
      <c r="D159" s="7"/>
      <c r="E159" s="7"/>
      <c r="F159" s="7"/>
      <c r="G159" s="7"/>
      <c r="H159" s="7">
        <f t="shared" si="48"/>
        <v>50000</v>
      </c>
      <c r="I159" s="19"/>
      <c r="K159" s="7">
        <v>50000</v>
      </c>
      <c r="M159" s="7">
        <f t="shared" si="49"/>
        <v>0</v>
      </c>
    </row>
    <row r="160" spans="1:14" x14ac:dyDescent="0.25">
      <c r="A160" s="39" t="s">
        <v>159</v>
      </c>
      <c r="B160" s="14">
        <f>(495*1.03)*B17</f>
        <v>76477.5</v>
      </c>
      <c r="C160" s="7"/>
      <c r="D160" s="7"/>
      <c r="E160" s="7"/>
      <c r="F160" s="7"/>
      <c r="G160" s="7"/>
      <c r="H160" s="7">
        <f t="shared" si="48"/>
        <v>76477.5</v>
      </c>
      <c r="I160" s="19" t="s">
        <v>160</v>
      </c>
      <c r="K160" s="7">
        <v>54945</v>
      </c>
      <c r="M160" s="7">
        <f t="shared" si="49"/>
        <v>21532.5</v>
      </c>
    </row>
    <row r="161" spans="1:14" x14ac:dyDescent="0.25">
      <c r="A161" s="39" t="s">
        <v>161</v>
      </c>
      <c r="B161" s="14">
        <f>'24-25'!B161*1.05</f>
        <v>7153.6500000000005</v>
      </c>
      <c r="C161" s="14"/>
      <c r="D161" s="14"/>
      <c r="E161" s="14"/>
      <c r="F161" s="14"/>
      <c r="G161" s="14">
        <f>(240*G65)</f>
        <v>0</v>
      </c>
      <c r="H161" s="7">
        <f t="shared" si="48"/>
        <v>7153.6500000000005</v>
      </c>
      <c r="I161" s="19" t="s">
        <v>162</v>
      </c>
      <c r="K161" s="7">
        <v>6813</v>
      </c>
      <c r="M161" s="7">
        <f t="shared" si="49"/>
        <v>340.65000000000055</v>
      </c>
    </row>
    <row r="162" spans="1:14" x14ac:dyDescent="0.25">
      <c r="A162" s="39" t="s">
        <v>163</v>
      </c>
      <c r="B162" s="14">
        <f>'24-25'!B162*1.05</f>
        <v>31500</v>
      </c>
      <c r="C162" s="7"/>
      <c r="D162" s="7"/>
      <c r="E162" s="7"/>
      <c r="F162" s="7"/>
      <c r="G162" s="7"/>
      <c r="H162" s="7">
        <f t="shared" si="48"/>
        <v>31500</v>
      </c>
      <c r="I162" s="19" t="s">
        <v>164</v>
      </c>
      <c r="K162" s="7">
        <v>30000</v>
      </c>
      <c r="M162" s="7">
        <f t="shared" si="49"/>
        <v>1500</v>
      </c>
    </row>
    <row r="163" spans="1:14" x14ac:dyDescent="0.25">
      <c r="A163" s="39" t="s">
        <v>165</v>
      </c>
      <c r="B163" s="7">
        <f>20000</f>
        <v>20000</v>
      </c>
      <c r="C163" s="34"/>
      <c r="D163" s="7"/>
      <c r="E163" s="7"/>
      <c r="F163" s="7"/>
      <c r="G163" s="7"/>
      <c r="H163" s="7">
        <f t="shared" si="48"/>
        <v>20000</v>
      </c>
      <c r="I163" s="19"/>
      <c r="K163" s="7">
        <v>35000</v>
      </c>
      <c r="M163" s="7">
        <f t="shared" si="49"/>
        <v>-15000</v>
      </c>
    </row>
    <row r="164" spans="1:14" x14ac:dyDescent="0.25">
      <c r="A164" s="39" t="s">
        <v>166</v>
      </c>
      <c r="B164" s="14">
        <f>48*B17+(60*12)</f>
        <v>7920</v>
      </c>
      <c r="C164" s="7"/>
      <c r="D164" s="7"/>
      <c r="E164" s="7"/>
      <c r="F164" s="7"/>
      <c r="G164" s="7"/>
      <c r="H164" s="7">
        <f t="shared" si="48"/>
        <v>7920</v>
      </c>
      <c r="I164" s="19" t="s">
        <v>167</v>
      </c>
      <c r="K164" s="7">
        <v>6048</v>
      </c>
      <c r="M164" s="7">
        <f t="shared" si="49"/>
        <v>1872</v>
      </c>
    </row>
    <row r="165" spans="1:14" x14ac:dyDescent="0.25">
      <c r="A165" s="39" t="s">
        <v>168</v>
      </c>
      <c r="B165" s="14">
        <v>15000</v>
      </c>
      <c r="C165" s="7"/>
      <c r="D165" s="7"/>
      <c r="E165" s="7"/>
      <c r="F165" s="7"/>
      <c r="G165" s="7"/>
      <c r="H165" s="7">
        <f t="shared" si="48"/>
        <v>15000</v>
      </c>
      <c r="I165" s="19"/>
      <c r="K165" s="7">
        <v>15000</v>
      </c>
      <c r="M165" s="7">
        <f t="shared" si="49"/>
        <v>0</v>
      </c>
    </row>
    <row r="166" spans="1:14" x14ac:dyDescent="0.25">
      <c r="A166" s="39" t="s">
        <v>169</v>
      </c>
      <c r="B166" s="14">
        <f>(B74+B75+B76+B77)*0.0125</f>
        <v>21439.818766891894</v>
      </c>
      <c r="C166" s="7"/>
      <c r="D166" s="7"/>
      <c r="E166" s="7"/>
      <c r="F166" s="7"/>
      <c r="G166" s="7"/>
      <c r="H166" s="7">
        <f t="shared" si="48"/>
        <v>21439.818766891894</v>
      </c>
      <c r="I166" s="97">
        <v>1.2500000000000001E-2</v>
      </c>
      <c r="J166" s="98"/>
      <c r="K166" s="7">
        <v>15844.9375</v>
      </c>
      <c r="L166" s="98"/>
      <c r="M166" s="7">
        <f t="shared" si="49"/>
        <v>5594.8812668918945</v>
      </c>
      <c r="N166" s="98"/>
    </row>
    <row r="167" spans="1:14" x14ac:dyDescent="0.25">
      <c r="A167" s="39" t="s">
        <v>170</v>
      </c>
      <c r="B167" s="14">
        <v>0</v>
      </c>
      <c r="C167" s="7"/>
      <c r="D167" s="7"/>
      <c r="E167" s="7"/>
      <c r="F167" s="7"/>
      <c r="G167" s="7"/>
      <c r="H167" s="7">
        <f t="shared" si="48"/>
        <v>0</v>
      </c>
      <c r="I167" s="97" t="s">
        <v>171</v>
      </c>
      <c r="J167" s="98"/>
      <c r="K167" s="7">
        <v>0</v>
      </c>
      <c r="L167" s="98"/>
      <c r="M167" s="7">
        <f t="shared" si="49"/>
        <v>0</v>
      </c>
      <c r="N167" s="98"/>
    </row>
    <row r="168" spans="1:14" x14ac:dyDescent="0.25">
      <c r="A168" s="39" t="s">
        <v>172</v>
      </c>
      <c r="B168" s="14">
        <v>0</v>
      </c>
      <c r="C168" s="7"/>
      <c r="D168" s="7"/>
      <c r="E168" s="7"/>
      <c r="F168" s="7"/>
      <c r="G168" s="7"/>
      <c r="H168" s="7">
        <f t="shared" si="48"/>
        <v>0</v>
      </c>
      <c r="I168" s="97" t="s">
        <v>173</v>
      </c>
      <c r="J168" s="98"/>
      <c r="K168" s="7">
        <v>0</v>
      </c>
      <c r="L168" s="98"/>
      <c r="M168" s="7">
        <f t="shared" si="49"/>
        <v>0</v>
      </c>
      <c r="N168" s="98"/>
    </row>
    <row r="169" spans="1:14" x14ac:dyDescent="0.25">
      <c r="A169" s="95" t="s">
        <v>174</v>
      </c>
      <c r="B169" s="14">
        <f>B74*0.005</f>
        <v>7272.3150000000005</v>
      </c>
      <c r="C169" s="7"/>
      <c r="D169" s="7"/>
      <c r="E169" s="7"/>
      <c r="F169" s="7"/>
      <c r="G169" s="7">
        <f>G86+G87</f>
        <v>11120.71</v>
      </c>
      <c r="H169" s="7">
        <f t="shared" si="48"/>
        <v>18393.025000000001</v>
      </c>
      <c r="I169" s="97"/>
      <c r="J169" s="98"/>
      <c r="K169" s="7">
        <v>16345.48</v>
      </c>
      <c r="L169" s="98"/>
      <c r="M169" s="7">
        <f t="shared" si="49"/>
        <v>2047.5450000000019</v>
      </c>
      <c r="N169" s="98"/>
    </row>
    <row r="170" spans="1:14" x14ac:dyDescent="0.25">
      <c r="A170" s="82" t="s">
        <v>175</v>
      </c>
      <c r="B170" s="83">
        <f>SUM(B156:B169)</f>
        <v>321763.28376689192</v>
      </c>
      <c r="C170" s="83">
        <f t="shared" ref="C170:G170" si="50">SUM(C156:C169)</f>
        <v>63750</v>
      </c>
      <c r="D170" s="83">
        <f t="shared" si="50"/>
        <v>0</v>
      </c>
      <c r="E170" s="83">
        <f t="shared" si="50"/>
        <v>0</v>
      </c>
      <c r="F170" s="83">
        <f t="shared" si="50"/>
        <v>0</v>
      </c>
      <c r="G170" s="83">
        <f t="shared" si="50"/>
        <v>11120.71</v>
      </c>
      <c r="H170" s="83">
        <f>SUM(H156:H169)</f>
        <v>396633.99376689194</v>
      </c>
      <c r="I170" s="10"/>
      <c r="J170" s="10"/>
      <c r="K170" s="83">
        <v>362171.41749999998</v>
      </c>
      <c r="L170" s="10"/>
      <c r="M170" s="83">
        <f>SUM(M156:M169)</f>
        <v>34462.576266891898</v>
      </c>
      <c r="N170" s="10"/>
    </row>
    <row r="171" spans="1:14" x14ac:dyDescent="0.25">
      <c r="A171" s="92" t="s">
        <v>176</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(25-26)</v>
      </c>
      <c r="I171" s="10"/>
      <c r="J171" s="10"/>
      <c r="K171" s="24" t="s">
        <v>7</v>
      </c>
      <c r="L171" s="10"/>
      <c r="M171" s="24" t="str">
        <f t="shared" ref="M171" si="52">M1</f>
        <v>Variance</v>
      </c>
      <c r="N171" s="10"/>
    </row>
    <row r="172" spans="1:14" x14ac:dyDescent="0.25">
      <c r="A172" s="99" t="s">
        <v>177</v>
      </c>
      <c r="B172" s="14">
        <f>'24-25'!B172*1.05</f>
        <v>3003</v>
      </c>
      <c r="C172" s="7"/>
      <c r="D172" s="7"/>
      <c r="E172" s="7"/>
      <c r="F172" s="7"/>
      <c r="G172" s="7"/>
      <c r="H172" s="7">
        <f t="shared" ref="H172:H196" si="53">SUM(B172:G172)</f>
        <v>3003</v>
      </c>
      <c r="I172" s="19" t="s">
        <v>178</v>
      </c>
      <c r="K172" s="7">
        <v>2860</v>
      </c>
      <c r="M172" s="7">
        <f t="shared" si="49"/>
        <v>143</v>
      </c>
    </row>
    <row r="173" spans="1:14" x14ac:dyDescent="0.25">
      <c r="A173" s="39" t="s">
        <v>179</v>
      </c>
      <c r="B173" s="14">
        <f>'24-25'!B173*1.05</f>
        <v>4095</v>
      </c>
      <c r="C173" s="7"/>
      <c r="D173" s="7"/>
      <c r="E173" s="7"/>
      <c r="F173" s="7"/>
      <c r="G173" s="7"/>
      <c r="H173" s="7">
        <f t="shared" si="53"/>
        <v>4095</v>
      </c>
      <c r="I173" s="19" t="s">
        <v>178</v>
      </c>
      <c r="K173" s="7">
        <v>3900</v>
      </c>
      <c r="M173" s="7">
        <f t="shared" si="49"/>
        <v>195</v>
      </c>
    </row>
    <row r="174" spans="1:14" x14ac:dyDescent="0.25">
      <c r="A174" s="39" t="s">
        <v>180</v>
      </c>
      <c r="B174" s="96"/>
      <c r="C174" s="7"/>
      <c r="D174" s="7"/>
      <c r="E174" s="7"/>
      <c r="F174" s="7"/>
      <c r="G174" s="7"/>
      <c r="H174" s="7">
        <f t="shared" si="53"/>
        <v>0</v>
      </c>
      <c r="I174" s="19"/>
      <c r="K174" s="7">
        <v>0</v>
      </c>
      <c r="M174" s="7">
        <f t="shared" si="49"/>
        <v>0</v>
      </c>
    </row>
    <row r="175" spans="1:14" x14ac:dyDescent="0.25">
      <c r="A175" s="39" t="s">
        <v>181</v>
      </c>
      <c r="B175" s="96">
        <v>2000</v>
      </c>
      <c r="C175" s="7"/>
      <c r="D175" s="7"/>
      <c r="E175" s="7"/>
      <c r="F175" s="7"/>
      <c r="G175" s="7"/>
      <c r="H175" s="7">
        <f t="shared" si="53"/>
        <v>2000</v>
      </c>
      <c r="I175" s="19"/>
      <c r="K175" s="7">
        <v>2000</v>
      </c>
      <c r="M175" s="7">
        <f t="shared" si="49"/>
        <v>0</v>
      </c>
    </row>
    <row r="176" spans="1:14" x14ac:dyDescent="0.25">
      <c r="A176" s="39" t="s">
        <v>182</v>
      </c>
      <c r="B176" s="14">
        <f>'24-25'!B176*1.05</f>
        <v>5775</v>
      </c>
      <c r="C176" s="7"/>
      <c r="D176" s="7"/>
      <c r="E176" s="7"/>
      <c r="F176" s="7"/>
      <c r="G176" s="7"/>
      <c r="H176" s="7">
        <f t="shared" si="53"/>
        <v>5775</v>
      </c>
      <c r="I176" s="19"/>
      <c r="K176" s="7">
        <v>5500</v>
      </c>
      <c r="M176" s="7">
        <f t="shared" si="49"/>
        <v>275</v>
      </c>
    </row>
    <row r="177" spans="1:14" x14ac:dyDescent="0.25">
      <c r="A177" s="39" t="s">
        <v>183</v>
      </c>
      <c r="B177" s="14">
        <f>'24-25'!B177*1.05</f>
        <v>15750</v>
      </c>
      <c r="C177" s="7"/>
      <c r="D177" s="7"/>
      <c r="E177" s="7"/>
      <c r="F177" s="7"/>
      <c r="G177" s="7"/>
      <c r="H177" s="7">
        <f t="shared" si="53"/>
        <v>15750</v>
      </c>
      <c r="I177" s="19"/>
      <c r="K177" s="7">
        <v>15000</v>
      </c>
      <c r="M177" s="7">
        <f t="shared" si="49"/>
        <v>750</v>
      </c>
    </row>
    <row r="178" spans="1:14" x14ac:dyDescent="0.25">
      <c r="A178" s="39" t="s">
        <v>184</v>
      </c>
      <c r="B178" s="87">
        <f>8500+(B17*2.4)</f>
        <v>8860</v>
      </c>
      <c r="C178" s="7"/>
      <c r="D178" s="7"/>
      <c r="E178" s="7"/>
      <c r="F178" s="7"/>
      <c r="G178" s="7"/>
      <c r="H178" s="7">
        <f t="shared" si="53"/>
        <v>8860</v>
      </c>
      <c r="I178" s="19"/>
      <c r="K178" s="7">
        <v>8766.4</v>
      </c>
      <c r="M178" s="7">
        <f t="shared" si="49"/>
        <v>93.600000000000364</v>
      </c>
    </row>
    <row r="179" spans="1:14" x14ac:dyDescent="0.25">
      <c r="A179" s="39" t="s">
        <v>185</v>
      </c>
      <c r="B179" s="14">
        <f>'24-25'!B179*1.1</f>
        <v>12603.36</v>
      </c>
      <c r="C179" s="7"/>
      <c r="D179" s="7"/>
      <c r="E179" s="7"/>
      <c r="F179" s="7"/>
      <c r="G179" s="7"/>
      <c r="H179" s="7">
        <f t="shared" si="53"/>
        <v>12603.36</v>
      </c>
      <c r="I179" s="19"/>
      <c r="K179" s="7">
        <v>11457.6</v>
      </c>
      <c r="M179" s="7">
        <f t="shared" si="49"/>
        <v>1145.7600000000002</v>
      </c>
    </row>
    <row r="180" spans="1:14" x14ac:dyDescent="0.25">
      <c r="A180" s="39" t="s">
        <v>186</v>
      </c>
      <c r="B180" s="14">
        <f>'24-25'!B180*1.1</f>
        <v>11027.940000000002</v>
      </c>
      <c r="C180" s="7"/>
      <c r="D180" s="7"/>
      <c r="E180" s="7"/>
      <c r="F180" s="7"/>
      <c r="G180" s="7"/>
      <c r="H180" s="7">
        <f t="shared" si="53"/>
        <v>11027.940000000002</v>
      </c>
      <c r="I180" s="19"/>
      <c r="K180" s="7">
        <v>10025.400000000001</v>
      </c>
      <c r="M180" s="7">
        <f t="shared" si="49"/>
        <v>1002.5400000000009</v>
      </c>
    </row>
    <row r="181" spans="1:14" x14ac:dyDescent="0.25">
      <c r="A181" s="39" t="s">
        <v>187</v>
      </c>
      <c r="B181" s="14">
        <f>'24-25'!B181*1.1</f>
        <v>15754.200000000003</v>
      </c>
      <c r="C181" s="7"/>
      <c r="D181" s="7"/>
      <c r="E181" s="7"/>
      <c r="F181" s="7"/>
      <c r="G181" s="7"/>
      <c r="H181" s="7">
        <f t="shared" si="53"/>
        <v>15754.200000000003</v>
      </c>
      <c r="I181" s="19"/>
      <c r="K181" s="7">
        <v>14322.000000000002</v>
      </c>
      <c r="M181" s="7">
        <f t="shared" si="49"/>
        <v>1432.2000000000007</v>
      </c>
    </row>
    <row r="182" spans="1:14" x14ac:dyDescent="0.25">
      <c r="A182" s="39" t="s">
        <v>188</v>
      </c>
      <c r="B182" s="14"/>
      <c r="C182" s="14"/>
      <c r="D182" s="14">
        <f>((B17*D23)*2.4*180)</f>
        <v>64800</v>
      </c>
      <c r="E182" s="7"/>
      <c r="F182" s="7"/>
      <c r="G182" s="7"/>
      <c r="H182" s="7">
        <f t="shared" si="53"/>
        <v>64800</v>
      </c>
      <c r="I182" s="69">
        <v>2.4</v>
      </c>
      <c r="J182" s="100"/>
      <c r="K182" s="7">
        <v>47951.999999999993</v>
      </c>
      <c r="L182" s="100"/>
      <c r="M182" s="7">
        <f t="shared" si="49"/>
        <v>16848.000000000007</v>
      </c>
      <c r="N182" s="100"/>
    </row>
    <row r="183" spans="1:14" x14ac:dyDescent="0.25">
      <c r="A183" s="39" t="s">
        <v>189</v>
      </c>
      <c r="B183" s="14"/>
      <c r="C183" s="14"/>
      <c r="D183" s="14">
        <f>((B17*D23)*3.75*180)</f>
        <v>101250</v>
      </c>
      <c r="E183" s="7"/>
      <c r="F183" s="7"/>
      <c r="G183" s="7"/>
      <c r="H183" s="7">
        <f t="shared" si="53"/>
        <v>101250</v>
      </c>
      <c r="I183" s="69">
        <v>3.75</v>
      </c>
      <c r="J183" s="100"/>
      <c r="K183" s="7">
        <v>74925</v>
      </c>
      <c r="L183" s="100"/>
      <c r="M183" s="7">
        <f t="shared" si="49"/>
        <v>26325</v>
      </c>
      <c r="N183" s="100"/>
    </row>
    <row r="184" spans="1:14" x14ac:dyDescent="0.25">
      <c r="A184" s="39" t="s">
        <v>190</v>
      </c>
      <c r="B184" s="14">
        <v>5000</v>
      </c>
      <c r="C184" s="14"/>
      <c r="D184" s="14"/>
      <c r="E184" s="7"/>
      <c r="F184" s="7"/>
      <c r="G184" s="7"/>
      <c r="H184" s="7">
        <f t="shared" si="53"/>
        <v>5000</v>
      </c>
      <c r="I184" s="19"/>
      <c r="K184" s="7">
        <v>5000</v>
      </c>
      <c r="M184" s="7">
        <f t="shared" si="49"/>
        <v>0</v>
      </c>
    </row>
    <row r="185" spans="1:14" x14ac:dyDescent="0.25">
      <c r="A185" s="39" t="s">
        <v>191</v>
      </c>
      <c r="B185" s="7">
        <v>5500</v>
      </c>
      <c r="C185" s="7"/>
      <c r="D185" s="7"/>
      <c r="E185" s="7"/>
      <c r="F185" s="7"/>
      <c r="G185" s="7">
        <f>G88</f>
        <v>5400.25</v>
      </c>
      <c r="H185" s="7">
        <f t="shared" si="53"/>
        <v>10900.25</v>
      </c>
      <c r="I185" s="19"/>
      <c r="K185" s="7">
        <v>10900.25</v>
      </c>
      <c r="M185" s="7">
        <f t="shared" si="49"/>
        <v>0</v>
      </c>
    </row>
    <row r="186" spans="1:14" x14ac:dyDescent="0.25">
      <c r="A186" s="39" t="s">
        <v>192</v>
      </c>
      <c r="B186" s="7">
        <f>60*15</f>
        <v>900</v>
      </c>
      <c r="C186" s="7">
        <v>0</v>
      </c>
      <c r="D186" s="7">
        <v>0</v>
      </c>
      <c r="E186" s="7"/>
      <c r="F186" s="7"/>
      <c r="G186" s="7"/>
      <c r="H186" s="7">
        <f t="shared" si="53"/>
        <v>900</v>
      </c>
      <c r="I186" s="19"/>
      <c r="K186" s="7">
        <v>900</v>
      </c>
      <c r="M186" s="7">
        <f t="shared" si="49"/>
        <v>0</v>
      </c>
    </row>
    <row r="187" spans="1:14" x14ac:dyDescent="0.25">
      <c r="A187" s="39" t="s">
        <v>193</v>
      </c>
      <c r="B187" s="14">
        <v>6500</v>
      </c>
      <c r="C187" s="7"/>
      <c r="D187" s="7"/>
      <c r="E187" s="7"/>
      <c r="F187" s="7"/>
      <c r="G187" s="7"/>
      <c r="H187" s="7">
        <f t="shared" si="53"/>
        <v>6500</v>
      </c>
      <c r="I187" s="19"/>
      <c r="K187" s="7">
        <v>6500</v>
      </c>
      <c r="M187" s="7">
        <f t="shared" si="49"/>
        <v>0</v>
      </c>
    </row>
    <row r="188" spans="1:14" x14ac:dyDescent="0.25">
      <c r="A188" s="39" t="s">
        <v>194</v>
      </c>
      <c r="B188" s="14">
        <v>0</v>
      </c>
      <c r="C188" s="7"/>
      <c r="D188" s="7"/>
      <c r="E188" s="7"/>
      <c r="F188" s="7"/>
      <c r="G188" s="7"/>
      <c r="H188" s="7">
        <f t="shared" si="53"/>
        <v>0</v>
      </c>
      <c r="I188" s="19"/>
      <c r="K188" s="7">
        <v>0</v>
      </c>
      <c r="M188" s="7">
        <f t="shared" si="49"/>
        <v>0</v>
      </c>
    </row>
    <row r="189" spans="1:14" x14ac:dyDescent="0.25">
      <c r="A189" s="39" t="s">
        <v>195</v>
      </c>
      <c r="B189" s="14">
        <v>0</v>
      </c>
      <c r="C189" s="7"/>
      <c r="D189" s="7"/>
      <c r="E189" s="7"/>
      <c r="F189" s="7"/>
      <c r="G189" s="7"/>
      <c r="H189" s="7">
        <f t="shared" si="53"/>
        <v>0</v>
      </c>
      <c r="I189" s="19"/>
      <c r="K189" s="7">
        <v>0</v>
      </c>
      <c r="M189" s="7">
        <f t="shared" si="49"/>
        <v>0</v>
      </c>
    </row>
    <row r="190" spans="1:14" x14ac:dyDescent="0.25">
      <c r="A190" s="39" t="s">
        <v>196</v>
      </c>
      <c r="B190" s="14">
        <v>0</v>
      </c>
      <c r="C190" s="7"/>
      <c r="D190" s="7"/>
      <c r="E190" s="7"/>
      <c r="F190" s="7"/>
      <c r="G190" s="7"/>
      <c r="H190" s="7">
        <f t="shared" si="53"/>
        <v>0</v>
      </c>
      <c r="I190" s="19"/>
      <c r="K190" s="7">
        <v>0</v>
      </c>
      <c r="M190" s="7">
        <f t="shared" si="49"/>
        <v>0</v>
      </c>
    </row>
    <row r="191" spans="1:14" x14ac:dyDescent="0.25">
      <c r="A191" s="39" t="s">
        <v>197</v>
      </c>
      <c r="B191" s="14">
        <v>0</v>
      </c>
      <c r="C191" s="14"/>
      <c r="D191" s="14"/>
      <c r="E191" s="14"/>
      <c r="F191" s="14"/>
      <c r="G191" s="14"/>
      <c r="H191" s="7">
        <f t="shared" si="53"/>
        <v>0</v>
      </c>
      <c r="I191" s="19"/>
      <c r="K191" s="7">
        <v>0</v>
      </c>
      <c r="M191" s="7">
        <f t="shared" si="49"/>
        <v>0</v>
      </c>
    </row>
    <row r="192" spans="1:14" x14ac:dyDescent="0.25">
      <c r="A192" s="39" t="s">
        <v>198</v>
      </c>
      <c r="B192" s="14"/>
      <c r="C192" s="14"/>
      <c r="D192" s="14"/>
      <c r="E192" s="14"/>
      <c r="F192" s="14"/>
      <c r="G192" s="14"/>
      <c r="H192" s="7">
        <f t="shared" si="53"/>
        <v>0</v>
      </c>
      <c r="I192" s="19"/>
      <c r="K192" s="7">
        <v>0</v>
      </c>
      <c r="M192" s="7">
        <f t="shared" si="49"/>
        <v>0</v>
      </c>
    </row>
    <row r="193" spans="1:14" x14ac:dyDescent="0.25">
      <c r="A193" s="39" t="s">
        <v>199</v>
      </c>
      <c r="B193" s="14"/>
      <c r="C193" s="14"/>
      <c r="D193" s="14"/>
      <c r="E193" s="14"/>
      <c r="F193" s="14"/>
      <c r="G193" s="14"/>
      <c r="H193" s="7">
        <f t="shared" si="53"/>
        <v>0</v>
      </c>
      <c r="I193" s="19"/>
      <c r="K193" s="7">
        <v>0</v>
      </c>
      <c r="M193" s="7">
        <f t="shared" si="49"/>
        <v>0</v>
      </c>
    </row>
    <row r="194" spans="1:14" x14ac:dyDescent="0.25">
      <c r="A194" s="39" t="s">
        <v>200</v>
      </c>
      <c r="B194" s="14"/>
      <c r="C194" s="14"/>
      <c r="D194" s="14"/>
      <c r="E194" s="14"/>
      <c r="F194" s="14"/>
      <c r="G194" s="14"/>
      <c r="H194" s="7">
        <f t="shared" si="53"/>
        <v>0</v>
      </c>
      <c r="I194" s="19"/>
      <c r="K194" s="7">
        <v>0</v>
      </c>
      <c r="M194" s="7"/>
    </row>
    <row r="195" spans="1:14" x14ac:dyDescent="0.25">
      <c r="A195" s="39" t="s">
        <v>201</v>
      </c>
      <c r="B195" s="14">
        <v>5000</v>
      </c>
      <c r="C195" s="14"/>
      <c r="D195" s="14"/>
      <c r="E195" s="14"/>
      <c r="F195" s="14"/>
      <c r="G195" s="14"/>
      <c r="H195" s="7">
        <f t="shared" si="53"/>
        <v>5000</v>
      </c>
      <c r="I195" s="19"/>
      <c r="K195" s="7">
        <v>5000</v>
      </c>
      <c r="M195" s="7">
        <f t="shared" si="49"/>
        <v>0</v>
      </c>
    </row>
    <row r="196" spans="1:14" x14ac:dyDescent="0.25">
      <c r="A196" s="95" t="s">
        <v>202</v>
      </c>
      <c r="B196" s="7">
        <f>((B2*B3)*0)+0</f>
        <v>0</v>
      </c>
      <c r="C196" s="7"/>
      <c r="D196" s="7"/>
      <c r="E196" s="7"/>
      <c r="F196" s="7"/>
      <c r="G196" s="7"/>
      <c r="H196" s="7">
        <f t="shared" si="53"/>
        <v>0</v>
      </c>
      <c r="I196" s="102" t="s">
        <v>203</v>
      </c>
      <c r="J196" s="65"/>
      <c r="K196" s="7">
        <v>0</v>
      </c>
      <c r="L196" s="65"/>
      <c r="M196" s="7">
        <f t="shared" si="49"/>
        <v>0</v>
      </c>
      <c r="N196" s="65"/>
    </row>
    <row r="197" spans="1:14" x14ac:dyDescent="0.25">
      <c r="A197" s="82" t="s">
        <v>204</v>
      </c>
      <c r="B197" s="83">
        <f>SUM(B172:B196)</f>
        <v>101768.5</v>
      </c>
      <c r="C197" s="83">
        <f t="shared" ref="C197:H197" si="54">SUM(C172:C196)</f>
        <v>0</v>
      </c>
      <c r="D197" s="83">
        <f t="shared" si="54"/>
        <v>166050</v>
      </c>
      <c r="E197" s="83">
        <f t="shared" si="54"/>
        <v>0</v>
      </c>
      <c r="F197" s="83">
        <f t="shared" si="54"/>
        <v>0</v>
      </c>
      <c r="G197" s="83">
        <f t="shared" si="54"/>
        <v>5400.25</v>
      </c>
      <c r="H197" s="83">
        <f t="shared" si="54"/>
        <v>273218.75</v>
      </c>
      <c r="I197" s="10"/>
      <c r="J197" s="10"/>
      <c r="K197" s="83">
        <v>225008.65</v>
      </c>
      <c r="L197" s="10"/>
      <c r="M197" s="83">
        <f t="shared" ref="M197" si="55">SUM(M172:M196)</f>
        <v>48210.100000000006</v>
      </c>
      <c r="N197" s="10"/>
    </row>
    <row r="198" spans="1:14" x14ac:dyDescent="0.25">
      <c r="A198" s="92" t="s">
        <v>205</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(25-26)</v>
      </c>
      <c r="I198" s="10"/>
      <c r="J198" s="10"/>
      <c r="K198" s="24" t="s">
        <v>7</v>
      </c>
      <c r="L198" s="10"/>
      <c r="M198" s="24" t="str">
        <f t="shared" ref="M198" si="57">M1</f>
        <v>Variance</v>
      </c>
      <c r="N198" s="10"/>
    </row>
    <row r="199" spans="1:14" x14ac:dyDescent="0.25">
      <c r="A199" s="99" t="s">
        <v>206</v>
      </c>
      <c r="B199" s="14">
        <f>'24-25'!B199*1.03</f>
        <v>45938</v>
      </c>
      <c r="C199" s="7"/>
      <c r="D199" s="7"/>
      <c r="E199" s="7"/>
      <c r="F199" s="7"/>
      <c r="G199" s="7"/>
      <c r="H199" s="7">
        <f t="shared" ref="H199:H208" si="58">SUM(B199:G199)</f>
        <v>45938</v>
      </c>
      <c r="I199" s="8"/>
      <c r="J199" s="9"/>
      <c r="K199" s="7">
        <v>44600</v>
      </c>
      <c r="L199" s="9"/>
      <c r="M199" s="7">
        <f t="shared" ref="M199:M220" si="59">H199-K199</f>
        <v>1338</v>
      </c>
      <c r="N199" s="9"/>
    </row>
    <row r="200" spans="1:14" x14ac:dyDescent="0.25">
      <c r="A200" s="39" t="s">
        <v>207</v>
      </c>
      <c r="B200" s="14">
        <f>'24-25'!B200*1.03</f>
        <v>1854</v>
      </c>
      <c r="C200" s="7"/>
      <c r="D200" s="7"/>
      <c r="E200" s="7"/>
      <c r="F200" s="7"/>
      <c r="G200" s="7"/>
      <c r="H200" s="7">
        <f t="shared" si="58"/>
        <v>1854</v>
      </c>
      <c r="I200" s="8" t="s">
        <v>208</v>
      </c>
      <c r="K200" s="7">
        <v>1800</v>
      </c>
      <c r="M200" s="7">
        <f t="shared" si="59"/>
        <v>54</v>
      </c>
    </row>
    <row r="201" spans="1:14" x14ac:dyDescent="0.25">
      <c r="A201" s="39" t="s">
        <v>209</v>
      </c>
      <c r="B201" s="14">
        <f>'24-25'!B201*1.03</f>
        <v>10918</v>
      </c>
      <c r="C201" s="7"/>
      <c r="D201" s="7"/>
      <c r="E201" s="7"/>
      <c r="F201" s="7"/>
      <c r="G201" s="7"/>
      <c r="H201" s="7">
        <f t="shared" si="58"/>
        <v>10918</v>
      </c>
      <c r="I201" s="19"/>
      <c r="K201" s="7">
        <v>10600</v>
      </c>
      <c r="M201" s="7">
        <f t="shared" si="59"/>
        <v>318</v>
      </c>
    </row>
    <row r="202" spans="1:14" x14ac:dyDescent="0.25">
      <c r="A202" s="39" t="s">
        <v>210</v>
      </c>
      <c r="B202" s="14">
        <f>'24-25'!B202*1.03</f>
        <v>4120</v>
      </c>
      <c r="C202" s="7"/>
      <c r="D202" s="7"/>
      <c r="E202" s="7"/>
      <c r="F202" s="7"/>
      <c r="G202" s="7"/>
      <c r="H202" s="7">
        <f t="shared" si="58"/>
        <v>4120</v>
      </c>
      <c r="I202" s="19"/>
      <c r="K202" s="7">
        <v>4000</v>
      </c>
      <c r="M202" s="7">
        <f t="shared" si="59"/>
        <v>120</v>
      </c>
    </row>
    <row r="203" spans="1:14" x14ac:dyDescent="0.25">
      <c r="A203" s="39" t="s">
        <v>211</v>
      </c>
      <c r="B203" s="14">
        <f>'24-25'!B203*1.03</f>
        <v>1030</v>
      </c>
      <c r="C203" s="7"/>
      <c r="D203" s="7"/>
      <c r="E203" s="7"/>
      <c r="F203" s="7"/>
      <c r="G203" s="7"/>
      <c r="H203" s="7">
        <f t="shared" si="58"/>
        <v>1030</v>
      </c>
      <c r="I203" s="19"/>
      <c r="K203" s="7">
        <v>1000</v>
      </c>
      <c r="M203" s="7">
        <f t="shared" si="59"/>
        <v>30</v>
      </c>
    </row>
    <row r="204" spans="1:14" x14ac:dyDescent="0.25">
      <c r="A204" s="39" t="s">
        <v>212</v>
      </c>
      <c r="B204" s="14">
        <f>'24-25'!B204*1.03</f>
        <v>13399.27</v>
      </c>
      <c r="C204" s="7"/>
      <c r="D204" s="7"/>
      <c r="E204" s="7"/>
      <c r="F204" s="7"/>
      <c r="G204" s="7"/>
      <c r="H204" s="7">
        <f t="shared" si="58"/>
        <v>13399.27</v>
      </c>
      <c r="I204" s="19" t="s">
        <v>213</v>
      </c>
      <c r="K204" s="7">
        <v>13009</v>
      </c>
      <c r="M204" s="7">
        <f t="shared" si="59"/>
        <v>390.27000000000044</v>
      </c>
    </row>
    <row r="205" spans="1:14" x14ac:dyDescent="0.25">
      <c r="A205" s="39" t="s">
        <v>214</v>
      </c>
      <c r="B205" s="14">
        <f>17000+3000</f>
        <v>20000</v>
      </c>
      <c r="C205" s="7"/>
      <c r="D205" s="7"/>
      <c r="E205" s="7"/>
      <c r="F205" s="7"/>
      <c r="G205" s="7"/>
      <c r="H205" s="7">
        <f t="shared" si="58"/>
        <v>20000</v>
      </c>
      <c r="I205" s="19"/>
      <c r="K205" s="7">
        <v>20000</v>
      </c>
      <c r="M205" s="7">
        <f t="shared" si="59"/>
        <v>0</v>
      </c>
    </row>
    <row r="206" spans="1:14" x14ac:dyDescent="0.25">
      <c r="A206" s="39" t="s">
        <v>215</v>
      </c>
      <c r="B206" s="7">
        <v>0</v>
      </c>
      <c r="C206" s="7"/>
      <c r="D206" s="7"/>
      <c r="E206" s="7"/>
      <c r="F206" s="7"/>
      <c r="G206" s="7"/>
      <c r="H206" s="7">
        <f t="shared" si="58"/>
        <v>0</v>
      </c>
      <c r="I206" s="19"/>
      <c r="K206" s="7">
        <v>0</v>
      </c>
      <c r="M206" s="7">
        <f t="shared" si="59"/>
        <v>0</v>
      </c>
    </row>
    <row r="207" spans="1:14" x14ac:dyDescent="0.25">
      <c r="A207" s="39" t="s">
        <v>216</v>
      </c>
      <c r="B207" s="7">
        <v>0</v>
      </c>
      <c r="C207" s="7"/>
      <c r="D207" s="7"/>
      <c r="E207" s="7"/>
      <c r="F207" s="7"/>
      <c r="G207" s="7"/>
      <c r="H207" s="7">
        <f t="shared" si="58"/>
        <v>0</v>
      </c>
      <c r="I207" s="19"/>
      <c r="K207" s="7">
        <v>0</v>
      </c>
      <c r="M207" s="7">
        <f t="shared" si="59"/>
        <v>0</v>
      </c>
    </row>
    <row r="208" spans="1:14" x14ac:dyDescent="0.25">
      <c r="A208" s="95" t="s">
        <v>217</v>
      </c>
      <c r="B208" s="7">
        <f>4696+590+714</f>
        <v>6000</v>
      </c>
      <c r="C208" s="7"/>
      <c r="D208" s="7"/>
      <c r="E208" s="7"/>
      <c r="F208" s="7"/>
      <c r="G208" s="7"/>
      <c r="H208" s="7">
        <f t="shared" si="58"/>
        <v>6000</v>
      </c>
      <c r="I208" s="19"/>
      <c r="K208" s="7">
        <v>6000</v>
      </c>
      <c r="M208" s="7">
        <f t="shared" si="59"/>
        <v>0</v>
      </c>
    </row>
    <row r="209" spans="1:14" x14ac:dyDescent="0.25">
      <c r="A209" s="82" t="s">
        <v>218</v>
      </c>
      <c r="B209" s="83">
        <f t="shared" ref="B209:H209" si="60">SUM(B199:B208)</f>
        <v>103259.27</v>
      </c>
      <c r="C209" s="83">
        <f t="shared" si="60"/>
        <v>0</v>
      </c>
      <c r="D209" s="83">
        <f t="shared" si="60"/>
        <v>0</v>
      </c>
      <c r="E209" s="83">
        <f t="shared" si="60"/>
        <v>0</v>
      </c>
      <c r="F209" s="83">
        <f t="shared" si="60"/>
        <v>0</v>
      </c>
      <c r="G209" s="83">
        <f t="shared" si="60"/>
        <v>0</v>
      </c>
      <c r="H209" s="83">
        <f t="shared" si="60"/>
        <v>103259.27</v>
      </c>
      <c r="I209" s="10"/>
      <c r="J209" s="10"/>
      <c r="K209" s="83">
        <v>101009</v>
      </c>
      <c r="L209" s="10"/>
      <c r="M209" s="83">
        <f t="shared" ref="M209" si="61">SUM(M199:M208)</f>
        <v>2250.2700000000004</v>
      </c>
      <c r="N209" s="10"/>
    </row>
    <row r="210" spans="1:14" x14ac:dyDescent="0.25">
      <c r="A210" s="104"/>
      <c r="B210" s="7"/>
      <c r="C210" s="7"/>
      <c r="D210" s="7"/>
      <c r="E210" s="7"/>
      <c r="F210" s="7"/>
      <c r="G210" s="7"/>
      <c r="H210" s="7"/>
      <c r="I210" s="10"/>
      <c r="J210" s="10"/>
      <c r="K210" s="7"/>
      <c r="L210" s="10"/>
      <c r="M210" s="7"/>
      <c r="N210" s="10"/>
    </row>
    <row r="211" spans="1:14" x14ac:dyDescent="0.25">
      <c r="A211" s="82" t="s">
        <v>219</v>
      </c>
      <c r="B211" s="83">
        <f>B142+B154+B170+B197+B209</f>
        <v>1872466.472516892</v>
      </c>
      <c r="C211" s="83">
        <f t="shared" ref="C211:H211" si="62">C142+C154+C170+C197+C209</f>
        <v>155393.44594594595</v>
      </c>
      <c r="D211" s="83">
        <f t="shared" si="62"/>
        <v>224985</v>
      </c>
      <c r="E211" s="83">
        <f t="shared" si="62"/>
        <v>0</v>
      </c>
      <c r="F211" s="83">
        <f t="shared" si="62"/>
        <v>91671.551999999996</v>
      </c>
      <c r="G211" s="83">
        <f t="shared" si="62"/>
        <v>16520.96</v>
      </c>
      <c r="H211" s="83">
        <f t="shared" si="62"/>
        <v>2361037.4304628377</v>
      </c>
      <c r="I211" s="10"/>
      <c r="J211" s="10"/>
      <c r="K211" s="83">
        <v>2257313.7799999998</v>
      </c>
      <c r="L211" s="10"/>
      <c r="M211" s="83">
        <f t="shared" ref="M211" si="63">M142+M154+M170+M197+M209</f>
        <v>103723.65046283779</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220</v>
      </c>
      <c r="B213" s="12">
        <f>550*B17</f>
        <v>82500</v>
      </c>
      <c r="C213" s="12"/>
      <c r="D213" s="12"/>
      <c r="E213" s="12"/>
      <c r="F213" s="12"/>
      <c r="G213" s="12"/>
      <c r="H213" s="12">
        <f t="shared" ref="H213:H218" si="64">SUM(B213:G213)</f>
        <v>82500</v>
      </c>
      <c r="I213" s="19"/>
      <c r="K213" s="12">
        <v>55500</v>
      </c>
      <c r="M213" s="12">
        <f t="shared" si="59"/>
        <v>27000</v>
      </c>
    </row>
    <row r="214" spans="1:14" x14ac:dyDescent="0.25">
      <c r="A214" s="54" t="s">
        <v>221</v>
      </c>
      <c r="B214" s="12">
        <v>0</v>
      </c>
      <c r="C214" s="12"/>
      <c r="D214" s="12"/>
      <c r="E214" s="12"/>
      <c r="F214" s="12"/>
      <c r="G214" s="12"/>
      <c r="H214" s="12">
        <f t="shared" si="64"/>
        <v>0</v>
      </c>
      <c r="I214" s="19"/>
      <c r="K214" s="12">
        <v>0</v>
      </c>
      <c r="M214" s="12">
        <f t="shared" si="59"/>
        <v>0</v>
      </c>
    </row>
    <row r="215" spans="1:14" x14ac:dyDescent="0.25">
      <c r="A215" s="54" t="s">
        <v>222</v>
      </c>
      <c r="B215" s="12">
        <v>0</v>
      </c>
      <c r="C215" s="12"/>
      <c r="D215" s="12"/>
      <c r="E215" s="12"/>
      <c r="F215" s="12"/>
      <c r="G215" s="12"/>
      <c r="H215" s="12">
        <f t="shared" si="64"/>
        <v>0</v>
      </c>
      <c r="I215" s="19"/>
      <c r="K215" s="12">
        <v>0</v>
      </c>
      <c r="M215" s="12">
        <f t="shared" si="59"/>
        <v>0</v>
      </c>
    </row>
    <row r="216" spans="1:14" x14ac:dyDescent="0.25">
      <c r="A216" s="54" t="s">
        <v>223</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224</v>
      </c>
      <c r="B219" s="107">
        <f t="shared" ref="B219:G219" si="65">B97-B211-B213-B214-B216-B215</f>
        <v>125365.02883445937</v>
      </c>
      <c r="C219" s="107">
        <f t="shared" si="65"/>
        <v>-40298.851351351361</v>
      </c>
      <c r="D219" s="107">
        <f t="shared" si="65"/>
        <v>-46515</v>
      </c>
      <c r="E219" s="107">
        <f t="shared" si="65"/>
        <v>0</v>
      </c>
      <c r="F219" s="107">
        <f t="shared" si="65"/>
        <v>-38551.551999999996</v>
      </c>
      <c r="G219" s="107">
        <f t="shared" si="65"/>
        <v>0</v>
      </c>
      <c r="H219" s="107">
        <f>H97-H211-H213-H214-H216-H215</f>
        <v>-0.3745168917812407</v>
      </c>
      <c r="I219" s="10"/>
      <c r="J219" s="10"/>
      <c r="K219" s="107">
        <v>0.42000000039115548</v>
      </c>
      <c r="L219" s="10"/>
      <c r="M219" s="107">
        <f>M97-M211-M213-M214-M216-M215</f>
        <v>-0.79451689183770213</v>
      </c>
      <c r="N219" s="10"/>
    </row>
    <row r="220" spans="1:14" x14ac:dyDescent="0.25">
      <c r="A220" s="108"/>
      <c r="B220" s="109">
        <f t="shared" ref="B220:H220" si="66">B219/(B97)</f>
        <v>6.0262044175663436E-2</v>
      </c>
      <c r="C220" s="109">
        <f t="shared" si="66"/>
        <v>-0.3501367852530235</v>
      </c>
      <c r="D220" s="109">
        <f t="shared" si="66"/>
        <v>-0.26063203899815096</v>
      </c>
      <c r="E220" s="109" t="e">
        <f t="shared" si="66"/>
        <v>#DIV/0!</v>
      </c>
      <c r="F220" s="109">
        <f t="shared" si="66"/>
        <v>-0.7257445783132529</v>
      </c>
      <c r="G220" s="109">
        <f t="shared" si="66"/>
        <v>0</v>
      </c>
      <c r="H220" s="109">
        <f t="shared" si="66"/>
        <v>-1.5326834961226203E-7</v>
      </c>
      <c r="I220" s="28"/>
      <c r="J220" s="10"/>
      <c r="K220" s="109">
        <v>1.8159694816434258E-7</v>
      </c>
      <c r="L220" s="10"/>
      <c r="M220" s="109">
        <f t="shared" si="59"/>
        <v>-3.3486529777660461E-7</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FY26</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(25-26)</v>
      </c>
      <c r="I222" s="2"/>
      <c r="J222" s="2"/>
      <c r="K222" s="1" t="s">
        <v>7</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225</v>
      </c>
      <c r="B225" s="113"/>
      <c r="C225" s="113"/>
      <c r="D225" s="113"/>
      <c r="E225" s="113"/>
      <c r="F225" s="113"/>
      <c r="G225" s="113"/>
      <c r="H225" s="113">
        <f>H97-H211</f>
        <v>82499.625483108219</v>
      </c>
      <c r="K225" s="113">
        <v>55500.420000000391</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82500</v>
      </c>
      <c r="I227" s="10"/>
      <c r="J227" s="10"/>
      <c r="K227" s="115">
        <v>55500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226</v>
      </c>
      <c r="B231" s="116"/>
      <c r="C231" s="116"/>
      <c r="D231" s="116"/>
      <c r="E231" s="116"/>
      <c r="F231" s="116"/>
      <c r="G231" s="116"/>
      <c r="H231" s="116">
        <f>SUM(H227:H229)</f>
        <v>82500</v>
      </c>
      <c r="I231" s="10"/>
      <c r="J231" s="10"/>
      <c r="K231" s="116">
        <v>55500</v>
      </c>
      <c r="L231" s="10"/>
      <c r="N231" s="10"/>
    </row>
    <row r="232" spans="1:14" x14ac:dyDescent="0.25">
      <c r="A232" s="117" t="s">
        <v>227</v>
      </c>
      <c r="B232" s="118"/>
      <c r="C232" s="118"/>
      <c r="D232" s="118"/>
      <c r="E232" s="118"/>
      <c r="F232" s="118"/>
      <c r="G232" s="118"/>
      <c r="H232" s="118">
        <f>H225/H231</f>
        <v>0.99999546040131171</v>
      </c>
      <c r="I232" s="119"/>
      <c r="J232" s="119"/>
      <c r="K232" s="118">
        <v>1.0000075675675746</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228</v>
      </c>
      <c r="B234" s="121"/>
      <c r="C234" s="121"/>
      <c r="D234" s="121"/>
      <c r="E234" s="121"/>
      <c r="F234" s="121"/>
      <c r="G234" s="121"/>
      <c r="H234" s="121"/>
      <c r="I234" s="10"/>
      <c r="J234" s="10"/>
      <c r="K234" s="121"/>
      <c r="L234" s="10"/>
      <c r="N234" s="10"/>
    </row>
    <row r="235" spans="1:14" x14ac:dyDescent="0.25">
      <c r="A235" t="s">
        <v>229</v>
      </c>
      <c r="B235" s="122"/>
      <c r="C235" s="122"/>
      <c r="D235" s="122"/>
      <c r="E235" s="122"/>
      <c r="F235" s="122"/>
      <c r="G235" s="122"/>
      <c r="H235" s="123"/>
      <c r="I235" s="10"/>
      <c r="J235" s="10"/>
      <c r="K235" s="123"/>
      <c r="L235" s="10"/>
      <c r="N235" s="10"/>
    </row>
    <row r="236" spans="1:14" x14ac:dyDescent="0.25">
      <c r="A236" s="10" t="s">
        <v>230</v>
      </c>
      <c r="B236" s="122"/>
      <c r="C236" s="122"/>
      <c r="D236" s="122"/>
      <c r="E236" s="122"/>
      <c r="F236" s="122"/>
      <c r="G236" s="122"/>
      <c r="H236" s="122"/>
      <c r="I236" s="10"/>
      <c r="J236" s="10"/>
      <c r="K236" s="122"/>
      <c r="L236" s="10"/>
      <c r="N236" s="10"/>
    </row>
    <row r="237" spans="1:14" x14ac:dyDescent="0.25">
      <c r="A237" s="10" t="s">
        <v>231</v>
      </c>
      <c r="B237" s="122"/>
      <c r="C237" s="122"/>
      <c r="D237" s="122"/>
      <c r="E237" s="122"/>
      <c r="F237" s="122"/>
      <c r="G237" s="122"/>
      <c r="H237" s="122"/>
      <c r="I237" s="119"/>
      <c r="J237" s="119"/>
      <c r="K237" s="122"/>
      <c r="L237" s="119"/>
      <c r="N237" s="119"/>
    </row>
    <row r="238" spans="1:14" x14ac:dyDescent="0.25">
      <c r="A238" s="124" t="s">
        <v>232</v>
      </c>
      <c r="B238" s="125"/>
      <c r="C238" s="125"/>
      <c r="D238" s="125"/>
      <c r="E238" s="125"/>
      <c r="F238" s="125"/>
      <c r="G238" s="125"/>
      <c r="H238" s="125">
        <f>SUM(H235:H237)</f>
        <v>0</v>
      </c>
      <c r="I238" s="10"/>
      <c r="J238" s="10"/>
      <c r="K238" s="125">
        <v>0</v>
      </c>
      <c r="L238" s="10"/>
      <c r="N238" s="10"/>
    </row>
    <row r="239" spans="1:14" x14ac:dyDescent="0.25">
      <c r="A239" s="126" t="s">
        <v>233</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F630-555D-443E-A969-48BA0B07C1C7}">
  <dimension ref="A1:N241"/>
  <sheetViews>
    <sheetView topLeftCell="A94" zoomScale="85" zoomScaleNormal="85" workbookViewId="0">
      <selection activeCell="B95" sqref="B95"/>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237</v>
      </c>
      <c r="B1" s="1" t="s">
        <v>1</v>
      </c>
      <c r="C1" s="1" t="s">
        <v>2</v>
      </c>
      <c r="D1" s="1" t="s">
        <v>3</v>
      </c>
      <c r="E1" s="1" t="s">
        <v>4</v>
      </c>
      <c r="F1" s="1" t="s">
        <v>5</v>
      </c>
      <c r="G1" s="1" t="s">
        <v>6</v>
      </c>
      <c r="H1" s="1" t="s">
        <v>238</v>
      </c>
      <c r="I1" s="2"/>
      <c r="J1" s="2"/>
      <c r="K1" s="1" t="s">
        <v>236</v>
      </c>
      <c r="L1" s="2"/>
      <c r="M1" s="1" t="s">
        <v>9</v>
      </c>
      <c r="N1" s="2"/>
    </row>
    <row r="2" spans="1:14" x14ac:dyDescent="0.25">
      <c r="A2" s="6" t="s">
        <v>13</v>
      </c>
      <c r="B2" s="7">
        <f>9414*1.03*1.015</f>
        <v>9841.8662999999997</v>
      </c>
      <c r="C2" s="7"/>
      <c r="D2" s="7"/>
      <c r="E2" s="7"/>
      <c r="F2" s="7"/>
      <c r="G2" s="7"/>
      <c r="H2" s="7">
        <f t="shared" ref="H2:H16" si="0">SUM(B2:G2)</f>
        <v>9841.8662999999997</v>
      </c>
      <c r="I2" s="8"/>
      <c r="J2" s="9"/>
      <c r="K2" s="7">
        <v>9555.2099999999991</v>
      </c>
      <c r="L2" s="9"/>
      <c r="M2" s="7">
        <f t="shared" ref="M2:M62" si="1">H2-K2</f>
        <v>286.65630000000056</v>
      </c>
      <c r="N2" s="9"/>
    </row>
    <row r="3" spans="1:14" x14ac:dyDescent="0.25">
      <c r="A3" s="11" t="s">
        <v>14</v>
      </c>
      <c r="B3" s="12">
        <f t="shared" ref="B3" si="2">B4+B5+B6+B7+B8+B9+B10+B11+B12+B13+B14+B15+B16</f>
        <v>165</v>
      </c>
      <c r="C3" s="12"/>
      <c r="D3" s="12"/>
      <c r="E3" s="12"/>
      <c r="F3" s="12"/>
      <c r="G3" s="12"/>
      <c r="H3" s="12">
        <f t="shared" si="0"/>
        <v>165</v>
      </c>
      <c r="I3" s="8"/>
      <c r="J3" s="9"/>
      <c r="K3" s="12">
        <v>150</v>
      </c>
      <c r="L3" s="9"/>
      <c r="M3" s="12">
        <f t="shared" si="1"/>
        <v>15</v>
      </c>
      <c r="N3" s="9"/>
    </row>
    <row r="4" spans="1:14" x14ac:dyDescent="0.25">
      <c r="A4" s="13" t="s">
        <v>15</v>
      </c>
      <c r="B4" s="7">
        <v>0</v>
      </c>
      <c r="C4" s="14"/>
      <c r="D4" s="14"/>
      <c r="E4" s="14"/>
      <c r="F4" s="14"/>
      <c r="G4" s="14"/>
      <c r="H4" s="14">
        <f t="shared" si="0"/>
        <v>0</v>
      </c>
      <c r="I4" s="15">
        <f>B4/25</f>
        <v>0</v>
      </c>
      <c r="J4" s="16"/>
      <c r="K4" s="14">
        <v>0</v>
      </c>
      <c r="L4" s="16">
        <f>K4/25</f>
        <v>0</v>
      </c>
      <c r="M4" s="14">
        <f t="shared" si="1"/>
        <v>0</v>
      </c>
      <c r="N4" s="16"/>
    </row>
    <row r="5" spans="1:14" x14ac:dyDescent="0.25">
      <c r="A5" s="11" t="s">
        <v>16</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17</v>
      </c>
      <c r="B6" s="7">
        <v>0</v>
      </c>
      <c r="C6" s="14"/>
      <c r="D6" s="14"/>
      <c r="E6" s="14"/>
      <c r="F6" s="14"/>
      <c r="G6" s="14"/>
      <c r="H6" s="14">
        <f t="shared" si="0"/>
        <v>0</v>
      </c>
      <c r="I6" s="15">
        <f>B6/26</f>
        <v>0</v>
      </c>
      <c r="J6" s="16"/>
      <c r="K6" s="14">
        <v>0</v>
      </c>
      <c r="L6" s="16">
        <f>K6/26</f>
        <v>0</v>
      </c>
      <c r="M6" s="14">
        <f t="shared" si="1"/>
        <v>0</v>
      </c>
      <c r="N6" s="16"/>
    </row>
    <row r="7" spans="1:14" x14ac:dyDescent="0.25">
      <c r="A7" s="17" t="s">
        <v>18</v>
      </c>
      <c r="B7" s="7">
        <v>0</v>
      </c>
      <c r="C7" s="14"/>
      <c r="D7" s="14"/>
      <c r="E7" s="14"/>
      <c r="F7" s="14"/>
      <c r="G7" s="14"/>
      <c r="H7" s="14">
        <f t="shared" si="0"/>
        <v>0</v>
      </c>
      <c r="I7" s="15">
        <f>B7/26</f>
        <v>0</v>
      </c>
      <c r="J7" s="16"/>
      <c r="K7" s="14">
        <v>0</v>
      </c>
      <c r="L7" s="16">
        <f>K7/27</f>
        <v>0</v>
      </c>
      <c r="M7" s="14">
        <f t="shared" si="1"/>
        <v>0</v>
      </c>
      <c r="N7" s="16"/>
    </row>
    <row r="8" spans="1:14" x14ac:dyDescent="0.25">
      <c r="A8" s="17" t="s">
        <v>19</v>
      </c>
      <c r="B8" s="7">
        <v>0</v>
      </c>
      <c r="C8" s="14"/>
      <c r="D8" s="14"/>
      <c r="E8" s="14"/>
      <c r="F8" s="14"/>
      <c r="G8" s="14"/>
      <c r="H8" s="14">
        <f t="shared" si="0"/>
        <v>0</v>
      </c>
      <c r="I8" s="15">
        <f>B8/27</f>
        <v>0</v>
      </c>
      <c r="J8" s="16"/>
      <c r="K8" s="14">
        <v>0</v>
      </c>
      <c r="L8" s="16">
        <f>K8/27</f>
        <v>0</v>
      </c>
      <c r="M8" s="14">
        <f t="shared" si="1"/>
        <v>0</v>
      </c>
      <c r="N8" s="16"/>
    </row>
    <row r="9" spans="1:14" x14ac:dyDescent="0.25">
      <c r="A9" s="17" t="s">
        <v>20</v>
      </c>
      <c r="B9" s="7">
        <v>0</v>
      </c>
      <c r="C9" s="14"/>
      <c r="D9" s="14"/>
      <c r="E9" s="14"/>
      <c r="F9" s="14"/>
      <c r="G9" s="14"/>
      <c r="H9" s="14">
        <f t="shared" si="0"/>
        <v>0</v>
      </c>
      <c r="I9" s="15">
        <f>B9/27</f>
        <v>0</v>
      </c>
      <c r="J9" s="16"/>
      <c r="K9" s="14">
        <v>0</v>
      </c>
      <c r="L9" s="16">
        <f>K9/31</f>
        <v>0</v>
      </c>
      <c r="M9" s="14">
        <f t="shared" si="1"/>
        <v>0</v>
      </c>
      <c r="N9" s="16"/>
    </row>
    <row r="10" spans="1:14" x14ac:dyDescent="0.25">
      <c r="A10" s="17" t="s">
        <v>21</v>
      </c>
      <c r="B10" s="7">
        <v>35</v>
      </c>
      <c r="C10" s="7"/>
      <c r="D10" s="7"/>
      <c r="E10" s="7"/>
      <c r="F10" s="7"/>
      <c r="G10" s="7"/>
      <c r="H10" s="14">
        <f t="shared" si="0"/>
        <v>35</v>
      </c>
      <c r="I10" s="15">
        <v>1</v>
      </c>
      <c r="J10" s="16"/>
      <c r="K10" s="14">
        <v>35</v>
      </c>
      <c r="L10" s="16">
        <v>1</v>
      </c>
      <c r="M10" s="14">
        <f t="shared" si="1"/>
        <v>0</v>
      </c>
      <c r="N10" s="16"/>
    </row>
    <row r="11" spans="1:14" x14ac:dyDescent="0.25">
      <c r="A11" s="17" t="s">
        <v>22</v>
      </c>
      <c r="B11" s="7">
        <v>35</v>
      </c>
      <c r="C11" s="7"/>
      <c r="D11" s="7"/>
      <c r="E11" s="7"/>
      <c r="F11" s="7"/>
      <c r="G11" s="7"/>
      <c r="H11" s="14">
        <f t="shared" si="0"/>
        <v>35</v>
      </c>
      <c r="I11" s="15">
        <v>1</v>
      </c>
      <c r="J11" s="16"/>
      <c r="K11" s="14">
        <v>35</v>
      </c>
      <c r="L11" s="16">
        <v>1</v>
      </c>
      <c r="M11" s="14">
        <f t="shared" si="1"/>
        <v>0</v>
      </c>
      <c r="N11" s="16"/>
    </row>
    <row r="12" spans="1:14" x14ac:dyDescent="0.25">
      <c r="A12" s="17" t="s">
        <v>23</v>
      </c>
      <c r="B12" s="7">
        <v>30</v>
      </c>
      <c r="C12" s="7"/>
      <c r="D12" s="7"/>
      <c r="E12" s="7"/>
      <c r="F12" s="7"/>
      <c r="G12" s="7"/>
      <c r="H12" s="14">
        <f t="shared" si="0"/>
        <v>30</v>
      </c>
      <c r="I12" s="15">
        <v>1</v>
      </c>
      <c r="J12" s="16"/>
      <c r="K12" s="14">
        <v>29</v>
      </c>
      <c r="L12" s="16">
        <v>1</v>
      </c>
      <c r="M12" s="14">
        <f t="shared" si="1"/>
        <v>1</v>
      </c>
      <c r="N12" s="16"/>
    </row>
    <row r="13" spans="1:14" x14ac:dyDescent="0.25">
      <c r="A13" s="17" t="s">
        <v>24</v>
      </c>
      <c r="B13" s="7">
        <v>29</v>
      </c>
      <c r="C13" s="7"/>
      <c r="D13" s="7"/>
      <c r="E13" s="7"/>
      <c r="F13" s="7"/>
      <c r="G13" s="7"/>
      <c r="H13" s="14">
        <f t="shared" si="0"/>
        <v>29</v>
      </c>
      <c r="I13" s="15">
        <v>1</v>
      </c>
      <c r="K13" s="14">
        <v>29</v>
      </c>
      <c r="L13" s="16">
        <v>1</v>
      </c>
      <c r="M13" s="14">
        <f t="shared" si="1"/>
        <v>0</v>
      </c>
    </row>
    <row r="14" spans="1:14" x14ac:dyDescent="0.25">
      <c r="A14" s="17" t="s">
        <v>25</v>
      </c>
      <c r="B14" s="7">
        <v>18</v>
      </c>
      <c r="C14" s="7"/>
      <c r="D14" s="7"/>
      <c r="E14" s="7"/>
      <c r="F14" s="7"/>
      <c r="G14" s="7"/>
      <c r="H14" s="14">
        <f t="shared" si="0"/>
        <v>18</v>
      </c>
      <c r="I14" s="15">
        <v>1</v>
      </c>
      <c r="K14" s="14">
        <v>22</v>
      </c>
      <c r="L14" s="16">
        <v>1</v>
      </c>
      <c r="M14" s="14">
        <f t="shared" si="1"/>
        <v>-4</v>
      </c>
    </row>
    <row r="15" spans="1:14" x14ac:dyDescent="0.25">
      <c r="A15" s="17" t="s">
        <v>26</v>
      </c>
      <c r="B15" s="7">
        <v>18</v>
      </c>
      <c r="C15" s="7"/>
      <c r="D15" s="7"/>
      <c r="E15" s="7"/>
      <c r="F15" s="7"/>
      <c r="G15" s="7"/>
      <c r="H15" s="14">
        <f t="shared" si="0"/>
        <v>18</v>
      </c>
      <c r="I15" s="15">
        <v>1</v>
      </c>
      <c r="K15" s="14">
        <v>0</v>
      </c>
      <c r="L15" s="16">
        <v>1</v>
      </c>
      <c r="M15" s="14">
        <f t="shared" si="1"/>
        <v>18</v>
      </c>
    </row>
    <row r="16" spans="1:14" x14ac:dyDescent="0.25">
      <c r="A16" s="17" t="s">
        <v>27</v>
      </c>
      <c r="B16" s="7">
        <v>0</v>
      </c>
      <c r="C16" s="7"/>
      <c r="D16" s="7"/>
      <c r="E16" s="7"/>
      <c r="F16" s="7"/>
      <c r="G16" s="7"/>
      <c r="H16" s="14">
        <f t="shared" si="0"/>
        <v>0</v>
      </c>
      <c r="I16" s="19"/>
      <c r="K16" s="14">
        <v>0</v>
      </c>
      <c r="M16" s="14">
        <f t="shared" si="1"/>
        <v>0</v>
      </c>
    </row>
    <row r="17" spans="1:14" x14ac:dyDescent="0.25">
      <c r="A17" s="20" t="s">
        <v>14</v>
      </c>
      <c r="B17" s="12">
        <f t="shared" ref="B17:G17" si="4">SUM(B4:B16)</f>
        <v>165</v>
      </c>
      <c r="C17" s="12">
        <f t="shared" si="4"/>
        <v>0</v>
      </c>
      <c r="D17" s="12">
        <f t="shared" si="4"/>
        <v>0</v>
      </c>
      <c r="E17" s="12"/>
      <c r="F17" s="12">
        <f t="shared" si="4"/>
        <v>0</v>
      </c>
      <c r="G17" s="12">
        <f t="shared" si="4"/>
        <v>0</v>
      </c>
      <c r="H17" s="12">
        <f>SUM(H4:H16)</f>
        <v>165</v>
      </c>
      <c r="I17" s="15">
        <f>SUM(I4:I16)</f>
        <v>6</v>
      </c>
      <c r="J17" s="21"/>
      <c r="K17" s="12">
        <v>150</v>
      </c>
      <c r="L17" s="21"/>
      <c r="M17" s="12">
        <f>H17-K17</f>
        <v>15</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28</v>
      </c>
      <c r="B19" s="24" t="str">
        <f>B1</f>
        <v>Operating</v>
      </c>
      <c r="C19" s="24" t="str">
        <f>C1</f>
        <v>SPED</v>
      </c>
      <c r="D19" s="24" t="str">
        <f>D1</f>
        <v>NSLP</v>
      </c>
      <c r="E19" s="24" t="str">
        <f>E1</f>
        <v>Other</v>
      </c>
      <c r="F19" s="24" t="str">
        <f t="shared" ref="F19:G19" si="5">F1</f>
        <v>Title I</v>
      </c>
      <c r="G19" s="24" t="str">
        <f t="shared" si="5"/>
        <v>Title II/III/IV</v>
      </c>
      <c r="H19" s="24" t="str">
        <f>H1</f>
        <v>Total (26-27)</v>
      </c>
      <c r="I19" s="25"/>
      <c r="J19" s="25"/>
      <c r="K19" s="24" t="s">
        <v>236</v>
      </c>
      <c r="L19" s="25"/>
      <c r="M19" s="24" t="str">
        <f>M1</f>
        <v>Variance</v>
      </c>
      <c r="N19" s="25"/>
    </row>
    <row r="20" spans="1:14" x14ac:dyDescent="0.25">
      <c r="A20" s="17" t="s">
        <v>29</v>
      </c>
      <c r="B20" s="7"/>
      <c r="C20" s="7">
        <f>('25-26'!C20/'25-26'!B17)*'26-27'!B17</f>
        <v>25.27027027027027</v>
      </c>
      <c r="D20" s="7"/>
      <c r="E20" s="7"/>
      <c r="F20" s="7"/>
      <c r="G20" s="7"/>
      <c r="H20" s="7">
        <f>SUM(B20:G20)</f>
        <v>25.27027027027027</v>
      </c>
      <c r="I20" s="26" t="s">
        <v>30</v>
      </c>
      <c r="J20" s="27"/>
      <c r="K20" s="7">
        <v>17</v>
      </c>
      <c r="L20" s="27"/>
      <c r="M20" s="7">
        <f t="shared" si="1"/>
        <v>8.2702702702702702</v>
      </c>
      <c r="N20" s="27"/>
    </row>
    <row r="21" spans="1:14" x14ac:dyDescent="0.25">
      <c r="A21" s="17" t="s">
        <v>31</v>
      </c>
      <c r="B21" s="7">
        <f>('25-26'!B21/'25-26'!B17)*'26-27'!B17</f>
        <v>34.189189189189186</v>
      </c>
      <c r="C21" s="7"/>
      <c r="D21" s="7"/>
      <c r="E21" s="7"/>
      <c r="F21" s="7"/>
      <c r="G21" s="7"/>
      <c r="H21" s="7">
        <f>SUM(B21:G21)</f>
        <v>34.189189189189186</v>
      </c>
      <c r="I21" s="26"/>
      <c r="J21" s="27"/>
      <c r="K21" s="7">
        <v>23</v>
      </c>
      <c r="L21" s="27"/>
      <c r="M21" s="7">
        <f t="shared" si="1"/>
        <v>11.189189189189186</v>
      </c>
      <c r="N21" s="27"/>
    </row>
    <row r="22" spans="1:14" x14ac:dyDescent="0.25">
      <c r="A22" s="17" t="s">
        <v>32</v>
      </c>
      <c r="B22" s="14">
        <v>0</v>
      </c>
      <c r="C22" s="14"/>
      <c r="D22" s="14"/>
      <c r="E22" s="14"/>
      <c r="F22" s="14"/>
      <c r="G22" s="14"/>
      <c r="H22" s="7">
        <f>SUM(B22:G22)</f>
        <v>0</v>
      </c>
      <c r="I22" s="19"/>
      <c r="K22" s="7">
        <v>0</v>
      </c>
      <c r="M22" s="7">
        <f t="shared" si="1"/>
        <v>0</v>
      </c>
    </row>
    <row r="23" spans="1:14" x14ac:dyDescent="0.25">
      <c r="A23" s="17" t="s">
        <v>33</v>
      </c>
      <c r="B23" s="7">
        <v>101</v>
      </c>
      <c r="C23" s="29"/>
      <c r="D23" s="29">
        <v>1</v>
      </c>
      <c r="E23" s="29"/>
      <c r="F23" s="29"/>
      <c r="G23" s="29"/>
      <c r="H23" s="29">
        <f>D23</f>
        <v>1</v>
      </c>
      <c r="I23" s="30"/>
      <c r="J23" s="31"/>
      <c r="K23" s="29">
        <v>1</v>
      </c>
      <c r="L23" s="31"/>
      <c r="M23" s="29">
        <f t="shared" si="1"/>
        <v>0</v>
      </c>
      <c r="N23" s="31"/>
    </row>
    <row r="24" spans="1:14" x14ac:dyDescent="0.25">
      <c r="A24" s="17" t="s">
        <v>34</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35</v>
      </c>
      <c r="B26" s="24" t="str">
        <f>B1</f>
        <v>Operating</v>
      </c>
      <c r="C26" s="24" t="str">
        <f>C1</f>
        <v>SPED</v>
      </c>
      <c r="D26" s="24" t="str">
        <f>D1</f>
        <v>NSLP</v>
      </c>
      <c r="E26" s="24" t="str">
        <f>E1</f>
        <v>Other</v>
      </c>
      <c r="F26" s="24" t="str">
        <f t="shared" ref="F26:G26" si="6">F1</f>
        <v>Title I</v>
      </c>
      <c r="G26" s="24" t="str">
        <f t="shared" si="6"/>
        <v>Title II/III/IV</v>
      </c>
      <c r="H26" s="24" t="str">
        <f>H1</f>
        <v>Total (26-27)</v>
      </c>
      <c r="I26" s="25"/>
      <c r="J26" s="25"/>
      <c r="K26" s="24" t="s">
        <v>236</v>
      </c>
      <c r="L26" s="25"/>
      <c r="M26" s="24" t="str">
        <f>M1</f>
        <v>Variance</v>
      </c>
      <c r="N26" s="25"/>
    </row>
    <row r="27" spans="1:14" x14ac:dyDescent="0.25">
      <c r="A27" s="33" t="s">
        <v>36</v>
      </c>
      <c r="B27" s="34">
        <v>6</v>
      </c>
      <c r="C27" s="34"/>
      <c r="D27" s="34"/>
      <c r="E27" s="34"/>
      <c r="F27" s="34"/>
      <c r="G27" s="34"/>
      <c r="H27" s="34">
        <f t="shared" ref="H27:H35" si="7">SUM(B27:G27)</f>
        <v>6</v>
      </c>
      <c r="I27" s="15">
        <f>H27/6</f>
        <v>1</v>
      </c>
      <c r="J27" s="16"/>
      <c r="K27" s="34">
        <v>5</v>
      </c>
      <c r="L27" s="16"/>
      <c r="M27" s="34">
        <f t="shared" si="1"/>
        <v>1</v>
      </c>
      <c r="N27" s="16"/>
    </row>
    <row r="28" spans="1:14" x14ac:dyDescent="0.25">
      <c r="A28" s="33" t="s">
        <v>37</v>
      </c>
      <c r="B28" s="36">
        <v>0</v>
      </c>
      <c r="C28" s="36">
        <v>1</v>
      </c>
      <c r="D28" s="36"/>
      <c r="E28" s="36"/>
      <c r="F28" s="36"/>
      <c r="G28" s="36"/>
      <c r="H28" s="34">
        <f t="shared" si="7"/>
        <v>1</v>
      </c>
      <c r="I28" s="15">
        <f>H20/21</f>
        <v>1.2033462033462032</v>
      </c>
      <c r="J28" s="16"/>
      <c r="K28" s="34">
        <v>1</v>
      </c>
      <c r="L28" s="16"/>
      <c r="M28" s="34">
        <f t="shared" si="1"/>
        <v>0</v>
      </c>
      <c r="N28" s="16"/>
    </row>
    <row r="29" spans="1:14" x14ac:dyDescent="0.25">
      <c r="A29" s="33" t="s">
        <v>38</v>
      </c>
      <c r="B29" s="34">
        <v>0</v>
      </c>
      <c r="C29" s="34"/>
      <c r="D29" s="34"/>
      <c r="E29" s="34"/>
      <c r="F29" s="34"/>
      <c r="G29" s="34"/>
      <c r="H29" s="34">
        <f t="shared" si="7"/>
        <v>0</v>
      </c>
      <c r="I29" s="19"/>
      <c r="K29" s="34">
        <v>0</v>
      </c>
      <c r="M29" s="34">
        <f t="shared" si="1"/>
        <v>0</v>
      </c>
    </row>
    <row r="30" spans="1:14" x14ac:dyDescent="0.25">
      <c r="A30" s="33" t="s">
        <v>39</v>
      </c>
      <c r="B30" s="34">
        <v>0</v>
      </c>
      <c r="C30" s="34"/>
      <c r="D30" s="34"/>
      <c r="E30" s="34"/>
      <c r="F30" s="34"/>
      <c r="G30" s="34"/>
      <c r="H30" s="34">
        <f t="shared" si="7"/>
        <v>0</v>
      </c>
      <c r="I30" s="19"/>
      <c r="K30" s="34">
        <v>0</v>
      </c>
      <c r="M30" s="34">
        <f t="shared" si="1"/>
        <v>0</v>
      </c>
    </row>
    <row r="31" spans="1:14" x14ac:dyDescent="0.25">
      <c r="A31" s="33" t="s">
        <v>40</v>
      </c>
      <c r="B31" s="34">
        <v>0</v>
      </c>
      <c r="C31" s="34"/>
      <c r="D31" s="34"/>
      <c r="E31" s="34"/>
      <c r="F31" s="34"/>
      <c r="G31" s="34"/>
      <c r="H31" s="34">
        <f t="shared" si="7"/>
        <v>0</v>
      </c>
      <c r="I31" s="19"/>
      <c r="K31" s="34">
        <v>0</v>
      </c>
      <c r="M31" s="34">
        <f t="shared" si="1"/>
        <v>0</v>
      </c>
    </row>
    <row r="32" spans="1:14" x14ac:dyDescent="0.25">
      <c r="A32" s="38" t="s">
        <v>41</v>
      </c>
      <c r="B32" s="34">
        <v>0</v>
      </c>
      <c r="C32" s="34"/>
      <c r="D32" s="34"/>
      <c r="E32" s="34"/>
      <c r="F32" s="34"/>
      <c r="G32" s="34"/>
      <c r="H32" s="34">
        <f t="shared" si="7"/>
        <v>0</v>
      </c>
      <c r="I32" s="19"/>
      <c r="K32" s="34">
        <v>0</v>
      </c>
      <c r="M32" s="34">
        <f t="shared" si="1"/>
        <v>0</v>
      </c>
    </row>
    <row r="33" spans="1:14" x14ac:dyDescent="0.25">
      <c r="A33" s="38" t="s">
        <v>42</v>
      </c>
      <c r="B33" s="34">
        <v>0</v>
      </c>
      <c r="C33" s="34"/>
      <c r="D33" s="34"/>
      <c r="E33" s="34"/>
      <c r="F33" s="34"/>
      <c r="G33" s="34"/>
      <c r="H33" s="34">
        <f t="shared" si="7"/>
        <v>0</v>
      </c>
      <c r="I33" s="19"/>
      <c r="K33" s="34">
        <v>0</v>
      </c>
      <c r="M33" s="34">
        <f t="shared" si="1"/>
        <v>0</v>
      </c>
    </row>
    <row r="34" spans="1:14" x14ac:dyDescent="0.25">
      <c r="A34" s="38" t="s">
        <v>43</v>
      </c>
      <c r="B34" s="34">
        <v>2</v>
      </c>
      <c r="C34" s="34"/>
      <c r="D34" s="34"/>
      <c r="E34" s="34"/>
      <c r="F34" s="34"/>
      <c r="G34" s="34"/>
      <c r="H34" s="34">
        <f t="shared" si="7"/>
        <v>2</v>
      </c>
      <c r="I34" s="19"/>
      <c r="K34" s="34">
        <v>3</v>
      </c>
      <c r="M34" s="34">
        <f t="shared" si="1"/>
        <v>-1</v>
      </c>
    </row>
    <row r="35" spans="1:14" x14ac:dyDescent="0.25">
      <c r="A35" s="39" t="s">
        <v>44</v>
      </c>
      <c r="B35" s="34">
        <v>0</v>
      </c>
      <c r="C35" s="34"/>
      <c r="D35" s="34"/>
      <c r="E35" s="34"/>
      <c r="F35" s="34"/>
      <c r="G35" s="34"/>
      <c r="H35" s="34">
        <f t="shared" si="7"/>
        <v>0</v>
      </c>
      <c r="I35" s="19"/>
      <c r="K35" s="34">
        <v>0</v>
      </c>
      <c r="M35" s="34">
        <f t="shared" si="1"/>
        <v>0</v>
      </c>
    </row>
    <row r="36" spans="1:14" x14ac:dyDescent="0.25">
      <c r="A36" s="32" t="s">
        <v>45</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46</v>
      </c>
      <c r="B38" s="24" t="str">
        <f>B1</f>
        <v>Operating</v>
      </c>
      <c r="C38" s="24" t="str">
        <f>C1</f>
        <v>SPED</v>
      </c>
      <c r="D38" s="24" t="str">
        <f>D1</f>
        <v>NSLP</v>
      </c>
      <c r="E38" s="24" t="str">
        <f>E1</f>
        <v>Other</v>
      </c>
      <c r="F38" s="24" t="str">
        <f t="shared" ref="F38:G38" si="9">F1</f>
        <v>Title I</v>
      </c>
      <c r="G38" s="24" t="str">
        <f t="shared" si="9"/>
        <v>Title II/III/IV</v>
      </c>
      <c r="H38" s="24" t="str">
        <f>H1</f>
        <v>Total (26-27)</v>
      </c>
      <c r="I38" s="25"/>
      <c r="J38" s="25"/>
      <c r="K38" s="24" t="s">
        <v>236</v>
      </c>
      <c r="L38" s="25"/>
      <c r="M38" s="24" t="str">
        <f>M1</f>
        <v>Variance</v>
      </c>
      <c r="N38" s="25"/>
    </row>
    <row r="39" spans="1:14" x14ac:dyDescent="0.25">
      <c r="A39" s="33" t="s">
        <v>47</v>
      </c>
      <c r="B39" s="36">
        <v>1</v>
      </c>
      <c r="C39" s="36"/>
      <c r="D39" s="36"/>
      <c r="E39" s="36"/>
      <c r="F39" s="36"/>
      <c r="G39" s="36"/>
      <c r="H39" s="34">
        <f t="shared" ref="H39:H60" si="10">SUM(B39:G39)</f>
        <v>1</v>
      </c>
      <c r="I39" s="19"/>
      <c r="K39" s="34">
        <v>1</v>
      </c>
      <c r="M39" s="34">
        <f t="shared" si="1"/>
        <v>0</v>
      </c>
    </row>
    <row r="40" spans="1:14" x14ac:dyDescent="0.25">
      <c r="A40" s="33" t="s">
        <v>48</v>
      </c>
      <c r="B40" s="36">
        <v>1</v>
      </c>
      <c r="C40" s="36"/>
      <c r="D40" s="36"/>
      <c r="E40" s="36"/>
      <c r="F40" s="36"/>
      <c r="G40" s="36"/>
      <c r="H40" s="34">
        <f t="shared" si="10"/>
        <v>1</v>
      </c>
      <c r="I40" s="19"/>
      <c r="K40" s="34">
        <v>1</v>
      </c>
      <c r="M40" s="34">
        <f t="shared" si="1"/>
        <v>0</v>
      </c>
    </row>
    <row r="41" spans="1:14" x14ac:dyDescent="0.25">
      <c r="A41" s="39" t="s">
        <v>49</v>
      </c>
      <c r="B41" s="36">
        <v>0</v>
      </c>
      <c r="C41" s="36"/>
      <c r="D41" s="36"/>
      <c r="E41" s="36">
        <v>0</v>
      </c>
      <c r="F41" s="36">
        <v>1</v>
      </c>
      <c r="G41" s="36"/>
      <c r="H41" s="34">
        <f t="shared" si="10"/>
        <v>1</v>
      </c>
      <c r="I41" s="19"/>
      <c r="K41" s="34">
        <v>1</v>
      </c>
      <c r="M41" s="34">
        <f t="shared" si="1"/>
        <v>0</v>
      </c>
    </row>
    <row r="42" spans="1:14" x14ac:dyDescent="0.25">
      <c r="A42" s="42" t="s">
        <v>50</v>
      </c>
      <c r="B42" s="36">
        <v>0</v>
      </c>
      <c r="C42" s="36"/>
      <c r="D42" s="36"/>
      <c r="E42" s="36"/>
      <c r="F42" s="36"/>
      <c r="G42" s="36"/>
      <c r="H42" s="34">
        <f t="shared" si="10"/>
        <v>0</v>
      </c>
      <c r="I42" s="19"/>
      <c r="K42" s="34">
        <v>0</v>
      </c>
      <c r="M42" s="34">
        <f t="shared" si="1"/>
        <v>0</v>
      </c>
    </row>
    <row r="43" spans="1:14" x14ac:dyDescent="0.25">
      <c r="A43" s="42" t="s">
        <v>51</v>
      </c>
      <c r="B43" s="36">
        <v>0</v>
      </c>
      <c r="C43" s="36"/>
      <c r="D43" s="36"/>
      <c r="E43" s="36"/>
      <c r="F43" s="36"/>
      <c r="G43" s="36"/>
      <c r="H43" s="34">
        <f t="shared" si="10"/>
        <v>0</v>
      </c>
      <c r="I43" s="19"/>
      <c r="K43" s="34">
        <v>0</v>
      </c>
      <c r="M43" s="34">
        <f t="shared" si="1"/>
        <v>0</v>
      </c>
    </row>
    <row r="44" spans="1:14" x14ac:dyDescent="0.25">
      <c r="A44" s="42" t="s">
        <v>52</v>
      </c>
      <c r="B44" s="36">
        <v>1</v>
      </c>
      <c r="C44" s="36"/>
      <c r="D44" s="36"/>
      <c r="E44" s="36">
        <v>0</v>
      </c>
      <c r="F44" s="36"/>
      <c r="G44" s="36"/>
      <c r="H44" s="34">
        <f t="shared" si="10"/>
        <v>1</v>
      </c>
      <c r="I44" s="19"/>
      <c r="K44" s="34">
        <v>1</v>
      </c>
      <c r="M44" s="34">
        <f t="shared" si="1"/>
        <v>0</v>
      </c>
    </row>
    <row r="45" spans="1:14" x14ac:dyDescent="0.25">
      <c r="A45" s="42" t="s">
        <v>53</v>
      </c>
      <c r="B45" s="36">
        <v>0</v>
      </c>
      <c r="C45" s="36"/>
      <c r="D45" s="36"/>
      <c r="E45" s="36">
        <v>0</v>
      </c>
      <c r="F45" s="36"/>
      <c r="G45" s="36"/>
      <c r="H45" s="34">
        <f t="shared" si="10"/>
        <v>0</v>
      </c>
      <c r="I45" s="19"/>
      <c r="K45" s="34">
        <v>0</v>
      </c>
      <c r="M45" s="34">
        <f t="shared" si="1"/>
        <v>0</v>
      </c>
    </row>
    <row r="46" spans="1:14" x14ac:dyDescent="0.25">
      <c r="A46" s="33" t="s">
        <v>54</v>
      </c>
      <c r="B46" s="36">
        <v>1</v>
      </c>
      <c r="C46" s="36"/>
      <c r="D46" s="36"/>
      <c r="E46" s="36"/>
      <c r="F46" s="36"/>
      <c r="G46" s="36"/>
      <c r="H46" s="34">
        <f t="shared" si="10"/>
        <v>1</v>
      </c>
      <c r="I46" s="19"/>
      <c r="K46" s="34">
        <v>1</v>
      </c>
      <c r="M46" s="34">
        <f t="shared" si="1"/>
        <v>0</v>
      </c>
    </row>
    <row r="47" spans="1:14" x14ac:dyDescent="0.25">
      <c r="A47" s="33" t="s">
        <v>55</v>
      </c>
      <c r="B47" s="36">
        <v>0</v>
      </c>
      <c r="C47" s="36"/>
      <c r="D47" s="36"/>
      <c r="E47" s="36"/>
      <c r="F47" s="36"/>
      <c r="G47" s="36"/>
      <c r="H47" s="34">
        <f t="shared" si="10"/>
        <v>0</v>
      </c>
      <c r="I47" s="19"/>
      <c r="K47" s="34">
        <v>0</v>
      </c>
      <c r="M47" s="34">
        <f t="shared" si="1"/>
        <v>0</v>
      </c>
    </row>
    <row r="48" spans="1:14" x14ac:dyDescent="0.25">
      <c r="A48" s="33" t="s">
        <v>56</v>
      </c>
      <c r="B48" s="36">
        <v>0</v>
      </c>
      <c r="C48" s="36"/>
      <c r="D48" s="36"/>
      <c r="E48" s="36"/>
      <c r="F48" s="36"/>
      <c r="G48" s="36"/>
      <c r="H48" s="34">
        <f t="shared" si="10"/>
        <v>0</v>
      </c>
      <c r="I48" s="19"/>
      <c r="K48" s="34">
        <v>0</v>
      </c>
      <c r="M48" s="34">
        <f t="shared" si="1"/>
        <v>0</v>
      </c>
    </row>
    <row r="49" spans="1:14" x14ac:dyDescent="0.25">
      <c r="A49" s="33" t="s">
        <v>57</v>
      </c>
      <c r="B49" s="36">
        <v>0</v>
      </c>
      <c r="C49" s="36"/>
      <c r="D49" s="36"/>
      <c r="E49" s="36"/>
      <c r="F49" s="36"/>
      <c r="G49" s="36"/>
      <c r="H49" s="34">
        <f t="shared" si="10"/>
        <v>0</v>
      </c>
      <c r="I49" s="19"/>
      <c r="K49" s="34">
        <v>0</v>
      </c>
      <c r="M49" s="34">
        <f t="shared" si="1"/>
        <v>0</v>
      </c>
    </row>
    <row r="50" spans="1:14" x14ac:dyDescent="0.25">
      <c r="A50" s="33" t="s">
        <v>58</v>
      </c>
      <c r="B50" s="36">
        <v>1</v>
      </c>
      <c r="C50" s="36"/>
      <c r="D50" s="36"/>
      <c r="E50" s="36"/>
      <c r="F50" s="36">
        <v>0</v>
      </c>
      <c r="G50" s="36"/>
      <c r="H50" s="34">
        <f t="shared" si="10"/>
        <v>1</v>
      </c>
      <c r="I50" s="19"/>
      <c r="K50" s="34">
        <v>1</v>
      </c>
      <c r="M50" s="34">
        <f t="shared" si="1"/>
        <v>0</v>
      </c>
    </row>
    <row r="51" spans="1:14" x14ac:dyDescent="0.25">
      <c r="A51" s="33" t="s">
        <v>59</v>
      </c>
      <c r="B51" s="36">
        <v>0</v>
      </c>
      <c r="C51" s="36"/>
      <c r="D51" s="36"/>
      <c r="E51" s="36"/>
      <c r="F51" s="36"/>
      <c r="G51" s="36"/>
      <c r="H51" s="34">
        <f t="shared" si="10"/>
        <v>0</v>
      </c>
      <c r="I51" s="19"/>
      <c r="K51" s="34">
        <v>0</v>
      </c>
      <c r="M51" s="34">
        <f t="shared" si="1"/>
        <v>0</v>
      </c>
    </row>
    <row r="52" spans="1:14" x14ac:dyDescent="0.25">
      <c r="A52" s="33" t="s">
        <v>60</v>
      </c>
      <c r="B52" s="36"/>
      <c r="C52" s="36"/>
      <c r="D52" s="36">
        <v>1</v>
      </c>
      <c r="E52" s="36"/>
      <c r="F52" s="36"/>
      <c r="G52" s="36"/>
      <c r="H52" s="34">
        <f t="shared" si="10"/>
        <v>1</v>
      </c>
      <c r="I52" s="19"/>
      <c r="K52" s="34">
        <v>1</v>
      </c>
      <c r="M52" s="34">
        <f t="shared" si="1"/>
        <v>0</v>
      </c>
    </row>
    <row r="53" spans="1:14" x14ac:dyDescent="0.25">
      <c r="A53" s="33" t="s">
        <v>61</v>
      </c>
      <c r="B53" s="36"/>
      <c r="C53" s="36"/>
      <c r="D53" s="36"/>
      <c r="E53" s="36"/>
      <c r="F53" s="36"/>
      <c r="G53" s="36"/>
      <c r="H53" s="34">
        <f t="shared" si="10"/>
        <v>0</v>
      </c>
      <c r="I53" s="8"/>
      <c r="J53" s="9"/>
      <c r="K53" s="34">
        <v>0</v>
      </c>
      <c r="L53" s="9"/>
      <c r="M53" s="34">
        <f t="shared" si="1"/>
        <v>0</v>
      </c>
      <c r="N53" s="9"/>
    </row>
    <row r="54" spans="1:14" x14ac:dyDescent="0.25">
      <c r="A54" s="39" t="s">
        <v>62</v>
      </c>
      <c r="B54" s="36"/>
      <c r="C54" s="36"/>
      <c r="D54" s="36"/>
      <c r="E54" s="36"/>
      <c r="F54" s="36"/>
      <c r="G54" s="36"/>
      <c r="H54" s="34">
        <f t="shared" si="10"/>
        <v>0</v>
      </c>
      <c r="I54" s="8"/>
      <c r="J54" s="9"/>
      <c r="K54" s="34">
        <v>0</v>
      </c>
      <c r="L54" s="9"/>
      <c r="M54" s="34">
        <f t="shared" si="1"/>
        <v>0</v>
      </c>
      <c r="N54" s="9"/>
    </row>
    <row r="55" spans="1:14" x14ac:dyDescent="0.25">
      <c r="A55" s="39" t="s">
        <v>63</v>
      </c>
      <c r="B55" s="36"/>
      <c r="C55" s="36"/>
      <c r="D55" s="36"/>
      <c r="E55" s="36"/>
      <c r="F55" s="36"/>
      <c r="G55" s="36"/>
      <c r="H55" s="34">
        <f t="shared" si="10"/>
        <v>0</v>
      </c>
      <c r="I55" s="8"/>
      <c r="J55" s="9"/>
      <c r="K55" s="34">
        <v>0</v>
      </c>
      <c r="L55" s="9"/>
      <c r="M55" s="34">
        <f t="shared" si="1"/>
        <v>0</v>
      </c>
      <c r="N55" s="9"/>
    </row>
    <row r="56" spans="1:14" x14ac:dyDescent="0.25">
      <c r="A56" s="39" t="s">
        <v>64</v>
      </c>
      <c r="B56" s="36"/>
      <c r="C56" s="36"/>
      <c r="D56" s="36"/>
      <c r="E56" s="36"/>
      <c r="F56" s="36"/>
      <c r="G56" s="36"/>
      <c r="H56" s="34">
        <f t="shared" si="10"/>
        <v>0</v>
      </c>
      <c r="I56" s="8"/>
      <c r="J56" s="9"/>
      <c r="K56" s="34">
        <v>0</v>
      </c>
      <c r="L56" s="9"/>
      <c r="M56" s="34">
        <f t="shared" si="1"/>
        <v>0</v>
      </c>
      <c r="N56" s="9"/>
    </row>
    <row r="57" spans="1:14" x14ac:dyDescent="0.25">
      <c r="A57" s="39" t="s">
        <v>65</v>
      </c>
      <c r="B57" s="36"/>
      <c r="C57" s="36"/>
      <c r="D57" s="36"/>
      <c r="E57" s="36"/>
      <c r="F57" s="36"/>
      <c r="G57" s="36"/>
      <c r="H57" s="34">
        <f t="shared" si="10"/>
        <v>0</v>
      </c>
      <c r="I57" s="8"/>
      <c r="J57" s="9"/>
      <c r="K57" s="34">
        <v>0</v>
      </c>
      <c r="L57" s="9"/>
      <c r="M57" s="34">
        <f t="shared" si="1"/>
        <v>0</v>
      </c>
      <c r="N57" s="9"/>
    </row>
    <row r="58" spans="1:14" x14ac:dyDescent="0.25">
      <c r="A58" s="39" t="s">
        <v>66</v>
      </c>
      <c r="B58" s="36"/>
      <c r="C58" s="36"/>
      <c r="D58" s="36"/>
      <c r="E58" s="36"/>
      <c r="F58" s="36"/>
      <c r="G58" s="36"/>
      <c r="H58" s="34">
        <f t="shared" si="10"/>
        <v>0</v>
      </c>
      <c r="I58" s="8"/>
      <c r="J58" s="9"/>
      <c r="K58" s="34">
        <v>0</v>
      </c>
      <c r="L58" s="9"/>
      <c r="M58" s="34">
        <f t="shared" si="1"/>
        <v>0</v>
      </c>
      <c r="N58" s="9"/>
    </row>
    <row r="59" spans="1:14" x14ac:dyDescent="0.25">
      <c r="A59" s="39" t="s">
        <v>67</v>
      </c>
      <c r="B59" s="36"/>
      <c r="C59" s="36"/>
      <c r="D59" s="36"/>
      <c r="E59" s="36"/>
      <c r="F59" s="36"/>
      <c r="G59" s="36"/>
      <c r="H59" s="34">
        <f t="shared" si="10"/>
        <v>0</v>
      </c>
      <c r="I59" s="8"/>
      <c r="J59" s="9"/>
      <c r="K59" s="34">
        <v>0</v>
      </c>
      <c r="L59" s="9"/>
      <c r="M59" s="34">
        <f t="shared" si="1"/>
        <v>0</v>
      </c>
      <c r="N59" s="9"/>
    </row>
    <row r="60" spans="1:14" x14ac:dyDescent="0.25">
      <c r="A60" s="33" t="s">
        <v>68</v>
      </c>
      <c r="B60" s="34"/>
      <c r="C60" s="34"/>
      <c r="D60" s="34"/>
      <c r="E60" s="34"/>
      <c r="F60" s="34"/>
      <c r="G60" s="34"/>
      <c r="H60" s="34">
        <f t="shared" si="10"/>
        <v>0</v>
      </c>
      <c r="I60" s="8"/>
      <c r="J60" s="9"/>
      <c r="K60" s="34">
        <v>0</v>
      </c>
      <c r="L60" s="9"/>
      <c r="M60" s="34">
        <f t="shared" si="1"/>
        <v>0</v>
      </c>
      <c r="N60" s="9"/>
    </row>
    <row r="61" spans="1:14" x14ac:dyDescent="0.25">
      <c r="A61" s="32" t="s">
        <v>69</v>
      </c>
      <c r="B61" s="44">
        <f>SUM(B39:B60)</f>
        <v>5</v>
      </c>
      <c r="C61" s="44">
        <f>SUM(C39:C60)</f>
        <v>0</v>
      </c>
      <c r="D61" s="44">
        <f>SUM(D39:D60)</f>
        <v>1</v>
      </c>
      <c r="E61" s="44">
        <f>SUM(E39:E60)</f>
        <v>0</v>
      </c>
      <c r="F61" s="44">
        <f t="shared" ref="F61:G61" si="11">SUM(F39:F60)</f>
        <v>1</v>
      </c>
      <c r="G61" s="44">
        <f t="shared" si="11"/>
        <v>0</v>
      </c>
      <c r="H61" s="44">
        <f>SUM(H39:H60)</f>
        <v>7</v>
      </c>
      <c r="I61" s="10"/>
      <c r="J61" s="10"/>
      <c r="K61" s="44">
        <v>7</v>
      </c>
      <c r="L61" s="10"/>
      <c r="M61" s="44">
        <f>SUM(M39:M60)</f>
        <v>0</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70</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71</v>
      </c>
      <c r="B64" s="50">
        <f>B61</f>
        <v>5</v>
      </c>
      <c r="C64" s="50">
        <f t="shared" ref="C64:H64" si="13">C61</f>
        <v>0</v>
      </c>
      <c r="D64" s="50">
        <f t="shared" si="13"/>
        <v>1</v>
      </c>
      <c r="E64" s="50">
        <f t="shared" si="13"/>
        <v>0</v>
      </c>
      <c r="F64" s="50">
        <f t="shared" si="13"/>
        <v>1</v>
      </c>
      <c r="G64" s="50">
        <f t="shared" si="13"/>
        <v>0</v>
      </c>
      <c r="H64" s="50">
        <f t="shared" si="13"/>
        <v>7</v>
      </c>
      <c r="I64" s="10"/>
      <c r="J64" s="10"/>
      <c r="K64" s="50">
        <v>7</v>
      </c>
      <c r="L64" s="10"/>
      <c r="M64" s="50">
        <f t="shared" ref="M64" si="14">M61</f>
        <v>0</v>
      </c>
      <c r="N64" s="10"/>
    </row>
    <row r="65" spans="1:14" ht="15.75" thickBot="1" x14ac:dyDescent="0.3">
      <c r="A65" s="51" t="s">
        <v>72</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16</v>
      </c>
      <c r="L65" s="10"/>
      <c r="M65" s="52">
        <f>SUM(M63:M64)</f>
        <v>0</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73</v>
      </c>
      <c r="B67" s="55"/>
      <c r="C67" s="55"/>
      <c r="D67" s="55"/>
      <c r="E67" s="55"/>
      <c r="F67" s="55"/>
      <c r="G67" s="55"/>
      <c r="H67" s="56">
        <f>H142/(H211+H213+H214+H215+H216+H217)</f>
        <v>0.61427717272053084</v>
      </c>
      <c r="I67" s="10"/>
      <c r="J67" s="10"/>
      <c r="K67" s="56">
        <v>0.63002024318834504</v>
      </c>
      <c r="L67" s="10"/>
      <c r="M67" s="56"/>
      <c r="N67" s="10"/>
    </row>
    <row r="68" spans="1:14" x14ac:dyDescent="0.25">
      <c r="A68" s="54" t="s">
        <v>74</v>
      </c>
      <c r="B68" s="55"/>
      <c r="C68" s="55"/>
      <c r="D68" s="55"/>
      <c r="E68" s="55"/>
      <c r="F68" s="55"/>
      <c r="G68" s="55"/>
      <c r="H68" s="56">
        <f>(H114+H115+H118+H128)/H132</f>
        <v>0.51866785002631</v>
      </c>
      <c r="I68" s="10"/>
      <c r="J68" s="10"/>
      <c r="K68" s="56">
        <v>0.51799708953215673</v>
      </c>
      <c r="L68" s="10"/>
      <c r="M68" s="56"/>
      <c r="N68" s="10"/>
    </row>
    <row r="69" spans="1:14" x14ac:dyDescent="0.25">
      <c r="A69" s="54" t="s">
        <v>75</v>
      </c>
      <c r="B69" s="55"/>
      <c r="C69" s="55"/>
      <c r="D69" s="55"/>
      <c r="E69" s="55"/>
      <c r="F69" s="55"/>
      <c r="G69" s="55"/>
      <c r="H69" s="56">
        <f>(H107+H108+H109+H112+H116+H117+H119+H120++H123+H124+H125+H126+H127+H129+H130)/H132</f>
        <v>0.48133214997369</v>
      </c>
      <c r="I69" s="10"/>
      <c r="J69" s="10"/>
      <c r="K69" s="56">
        <v>0.48200291046784333</v>
      </c>
      <c r="L69" s="10"/>
      <c r="M69" s="56"/>
      <c r="N69" s="10"/>
    </row>
    <row r="70" spans="1:14" x14ac:dyDescent="0.25">
      <c r="A70" s="54" t="s">
        <v>76</v>
      </c>
      <c r="B70" s="55"/>
      <c r="C70" s="55"/>
      <c r="D70" s="55"/>
      <c r="E70" s="55"/>
      <c r="F70" s="55"/>
      <c r="G70" s="55"/>
      <c r="H70" s="56">
        <f>(H213+H214+H215+H216)/(H97)</f>
        <v>3.5821168707597544E-2</v>
      </c>
      <c r="I70" s="10"/>
      <c r="J70" s="10"/>
      <c r="K70" s="56">
        <v>3.06078844612598E-2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77</v>
      </c>
      <c r="B72" s="58" t="str">
        <f>B1</f>
        <v>Operating</v>
      </c>
      <c r="C72" s="58" t="str">
        <f>C1</f>
        <v>SPED</v>
      </c>
      <c r="D72" s="58" t="str">
        <f>D1</f>
        <v>NSLP</v>
      </c>
      <c r="E72" s="58" t="str">
        <f>E1</f>
        <v>Other</v>
      </c>
      <c r="F72" s="58" t="str">
        <f t="shared" ref="F72:G72" si="17">F1</f>
        <v>Title I</v>
      </c>
      <c r="G72" s="58" t="str">
        <f t="shared" si="17"/>
        <v>Title II/III/IV</v>
      </c>
      <c r="H72" s="58" t="str">
        <f>H1</f>
        <v>Total (26-27)</v>
      </c>
      <c r="I72" s="10"/>
      <c r="J72" s="10"/>
      <c r="K72" s="58" t="s">
        <v>236</v>
      </c>
      <c r="L72" s="10"/>
      <c r="M72" s="58" t="str">
        <f>M1</f>
        <v>Variance</v>
      </c>
      <c r="N72" s="10"/>
    </row>
    <row r="73" spans="1:14" x14ac:dyDescent="0.25">
      <c r="A73" s="59" t="s">
        <v>78</v>
      </c>
      <c r="B73" s="60"/>
      <c r="C73" s="60"/>
      <c r="D73" s="60"/>
      <c r="E73" s="60"/>
      <c r="F73" s="60"/>
      <c r="G73" s="60"/>
      <c r="H73" s="61"/>
      <c r="I73" s="10"/>
      <c r="J73" s="10"/>
      <c r="K73" s="61"/>
      <c r="L73" s="10"/>
      <c r="M73" s="61">
        <f t="shared" si="16"/>
        <v>0</v>
      </c>
      <c r="N73" s="10"/>
    </row>
    <row r="74" spans="1:14" x14ac:dyDescent="0.25">
      <c r="A74" s="39" t="s">
        <v>79</v>
      </c>
      <c r="B74" s="62">
        <f>(B2*B3)</f>
        <v>1623907.9394999999</v>
      </c>
      <c r="C74" s="62"/>
      <c r="D74" s="62"/>
      <c r="E74" s="62"/>
      <c r="F74" s="62"/>
      <c r="G74" s="62"/>
      <c r="H74" s="63">
        <f t="shared" ref="H74:H79" si="18">SUM(B74:G74)</f>
        <v>1623907.9394999999</v>
      </c>
      <c r="I74" s="19"/>
      <c r="K74" s="63">
        <v>1433281.4999999998</v>
      </c>
      <c r="M74" s="63">
        <f t="shared" si="16"/>
        <v>190626.43950000009</v>
      </c>
    </row>
    <row r="75" spans="1:14" x14ac:dyDescent="0.25">
      <c r="A75" s="39" t="s">
        <v>80</v>
      </c>
      <c r="B75" s="46">
        <f>B21*(4236*1.015*1.015)</f>
        <v>149202.75328378376</v>
      </c>
      <c r="C75" s="46"/>
      <c r="D75" s="46"/>
      <c r="E75" s="46"/>
      <c r="F75" s="46"/>
      <c r="G75" s="46"/>
      <c r="H75" s="7">
        <f t="shared" si="18"/>
        <v>149202.75328378376</v>
      </c>
      <c r="I75" s="8">
        <v>4236</v>
      </c>
      <c r="J75" s="9"/>
      <c r="K75" s="7">
        <v>98889.42</v>
      </c>
      <c r="L75" s="9"/>
      <c r="M75" s="7">
        <f t="shared" si="16"/>
        <v>50313.333283783766</v>
      </c>
      <c r="N75" s="9"/>
    </row>
    <row r="76" spans="1:14" x14ac:dyDescent="0.25">
      <c r="A76" s="39" t="s">
        <v>81</v>
      </c>
      <c r="B76" s="7">
        <f>1129*B22</f>
        <v>0</v>
      </c>
      <c r="C76" s="7"/>
      <c r="D76" s="7"/>
      <c r="E76" s="7"/>
      <c r="F76" s="7"/>
      <c r="G76" s="7"/>
      <c r="H76" s="7">
        <f t="shared" si="18"/>
        <v>0</v>
      </c>
      <c r="I76" s="8">
        <v>1129</v>
      </c>
      <c r="J76" s="9"/>
      <c r="K76" s="7">
        <v>0</v>
      </c>
      <c r="L76" s="9"/>
      <c r="M76" s="7">
        <f t="shared" si="16"/>
        <v>0</v>
      </c>
      <c r="N76" s="9"/>
    </row>
    <row r="77" spans="1:14" x14ac:dyDescent="0.25">
      <c r="A77" s="39" t="s">
        <v>82</v>
      </c>
      <c r="B77" s="14">
        <f>B24*(3295*1.015*1.015)</f>
        <v>128994.47224999998</v>
      </c>
      <c r="C77" s="7"/>
      <c r="D77" s="7"/>
      <c r="E77" s="7"/>
      <c r="F77" s="7"/>
      <c r="G77" s="7"/>
      <c r="H77" s="7">
        <f t="shared" si="18"/>
        <v>128994.47224999998</v>
      </c>
      <c r="I77" s="8">
        <v>3295</v>
      </c>
      <c r="K77" s="7">
        <v>127088.15</v>
      </c>
      <c r="M77" s="7">
        <f t="shared" si="16"/>
        <v>1906.3222499999829</v>
      </c>
    </row>
    <row r="78" spans="1:14" x14ac:dyDescent="0.25">
      <c r="A78" s="39" t="s">
        <v>83</v>
      </c>
      <c r="B78" s="46"/>
      <c r="C78" s="46">
        <v>0</v>
      </c>
      <c r="D78" s="46"/>
      <c r="E78" s="46"/>
      <c r="F78" s="46"/>
      <c r="G78" s="46"/>
      <c r="H78" s="46">
        <f t="shared" si="18"/>
        <v>0</v>
      </c>
      <c r="I78" s="8"/>
      <c r="J78" s="65"/>
      <c r="K78" s="46">
        <v>0</v>
      </c>
      <c r="L78" s="65"/>
      <c r="M78" s="46">
        <f t="shared" si="16"/>
        <v>0</v>
      </c>
      <c r="N78" s="65"/>
    </row>
    <row r="79" spans="1:14" x14ac:dyDescent="0.25">
      <c r="A79" s="39" t="s">
        <v>84</v>
      </c>
      <c r="B79" s="46">
        <v>0</v>
      </c>
      <c r="C79" s="46">
        <f>3840*C20</f>
        <v>97037.83783783784</v>
      </c>
      <c r="D79" s="46"/>
      <c r="E79" s="46"/>
      <c r="F79" s="46"/>
      <c r="G79" s="46"/>
      <c r="H79" s="46">
        <f t="shared" si="18"/>
        <v>97037.83783783784</v>
      </c>
      <c r="I79" s="8">
        <v>3840</v>
      </c>
      <c r="J79" s="65"/>
      <c r="K79" s="46">
        <v>65280</v>
      </c>
      <c r="L79" s="65"/>
      <c r="M79" s="46">
        <f t="shared" si="16"/>
        <v>31757.83783783784</v>
      </c>
      <c r="N79" s="65"/>
    </row>
    <row r="80" spans="1:14" x14ac:dyDescent="0.25">
      <c r="A80" s="66" t="s">
        <v>85</v>
      </c>
      <c r="B80" s="67">
        <f>SUM(B74:B79)</f>
        <v>1902105.1650337835</v>
      </c>
      <c r="C80" s="67">
        <f>SUM(C74:C79)</f>
        <v>97037.83783783784</v>
      </c>
      <c r="D80" s="67">
        <f>SUM(D74:D79)</f>
        <v>0</v>
      </c>
      <c r="E80" s="67">
        <f t="shared" ref="E80:G80" si="19">SUM(E74:E79)</f>
        <v>0</v>
      </c>
      <c r="F80" s="67">
        <f t="shared" si="19"/>
        <v>0</v>
      </c>
      <c r="G80" s="67">
        <f t="shared" si="19"/>
        <v>0</v>
      </c>
      <c r="H80" s="67">
        <f>SUM(H74:H79)</f>
        <v>1999143.0028716214</v>
      </c>
      <c r="I80" s="10"/>
      <c r="J80" s="10"/>
      <c r="K80" s="67">
        <v>1724539.0699999996</v>
      </c>
      <c r="L80" s="10"/>
      <c r="M80" s="67">
        <f>SUM(M74:M79)</f>
        <v>274603.93287162168</v>
      </c>
      <c r="N80" s="10"/>
    </row>
    <row r="81" spans="1:14" x14ac:dyDescent="0.25">
      <c r="A81" s="68" t="s">
        <v>86</v>
      </c>
      <c r="B81" s="60"/>
      <c r="C81" s="60"/>
      <c r="D81" s="60"/>
      <c r="E81" s="60"/>
      <c r="F81" s="60"/>
      <c r="G81" s="60"/>
      <c r="H81" s="61"/>
      <c r="I81" s="10"/>
      <c r="J81" s="10"/>
      <c r="K81" s="61"/>
      <c r="L81" s="10"/>
      <c r="M81" s="61">
        <f t="shared" si="16"/>
        <v>0</v>
      </c>
      <c r="N81" s="10"/>
    </row>
    <row r="82" spans="1:14" x14ac:dyDescent="0.25">
      <c r="A82" s="39" t="s">
        <v>87</v>
      </c>
      <c r="B82" s="7"/>
      <c r="C82" s="7">
        <f>1170*C20</f>
        <v>29566.216216216217</v>
      </c>
      <c r="D82" s="7"/>
      <c r="E82" s="7"/>
      <c r="F82" s="7"/>
      <c r="G82" s="7"/>
      <c r="H82" s="7">
        <f t="shared" ref="H82:H89" si="20">SUM(B82:G82)</f>
        <v>29566.216216216217</v>
      </c>
      <c r="I82" s="8">
        <f>H82/C20</f>
        <v>1170</v>
      </c>
      <c r="J82" s="9"/>
      <c r="K82" s="7">
        <v>19890</v>
      </c>
      <c r="L82" s="9"/>
      <c r="M82" s="7">
        <f t="shared" si="16"/>
        <v>9676.2162162162167</v>
      </c>
      <c r="N82" s="9"/>
    </row>
    <row r="83" spans="1:14" x14ac:dyDescent="0.25">
      <c r="A83" s="39" t="s">
        <v>88</v>
      </c>
      <c r="B83" s="7"/>
      <c r="C83" s="7"/>
      <c r="D83" s="14">
        <f>((B17*D23)*2.28*180)</f>
        <v>67716</v>
      </c>
      <c r="E83" s="14"/>
      <c r="F83" s="7"/>
      <c r="G83" s="7"/>
      <c r="H83" s="7">
        <f t="shared" si="20"/>
        <v>67716</v>
      </c>
      <c r="I83" s="69">
        <v>2.2799999999999998</v>
      </c>
      <c r="J83" s="70"/>
      <c r="K83" s="7">
        <v>61559.999999999993</v>
      </c>
      <c r="L83" s="70"/>
      <c r="M83" s="7">
        <f t="shared" si="16"/>
        <v>6156.0000000000073</v>
      </c>
      <c r="N83" s="70"/>
    </row>
    <row r="84" spans="1:14" x14ac:dyDescent="0.25">
      <c r="A84" s="39" t="s">
        <v>89</v>
      </c>
      <c r="B84" s="46"/>
      <c r="C84" s="46"/>
      <c r="D84" s="14">
        <f>((B17*D23)*4.33*180)</f>
        <v>128601.00000000001</v>
      </c>
      <c r="E84" s="72"/>
      <c r="F84" s="46"/>
      <c r="G84" s="46"/>
      <c r="H84" s="7">
        <f t="shared" si="20"/>
        <v>128601.00000000001</v>
      </c>
      <c r="I84" s="69">
        <v>4.33</v>
      </c>
      <c r="J84" s="70"/>
      <c r="K84" s="7">
        <v>116910</v>
      </c>
      <c r="L84" s="70"/>
      <c r="M84" s="7">
        <f t="shared" si="16"/>
        <v>11691.000000000015</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90</v>
      </c>
      <c r="B86" s="46"/>
      <c r="C86" s="46"/>
      <c r="D86" s="46"/>
      <c r="E86" s="46"/>
      <c r="F86" s="46"/>
      <c r="G86" s="46">
        <v>6554.33</v>
      </c>
      <c r="H86" s="7">
        <f t="shared" si="20"/>
        <v>6554.33</v>
      </c>
      <c r="I86" s="8"/>
      <c r="J86" s="9"/>
      <c r="K86" s="7">
        <v>6554.33</v>
      </c>
      <c r="L86" s="9"/>
      <c r="M86" s="7">
        <f t="shared" si="16"/>
        <v>0</v>
      </c>
      <c r="N86" s="9"/>
    </row>
    <row r="87" spans="1:14" x14ac:dyDescent="0.25">
      <c r="A87" s="39" t="s">
        <v>91</v>
      </c>
      <c r="B87" s="46"/>
      <c r="C87" s="46"/>
      <c r="D87" s="46"/>
      <c r="E87" s="46"/>
      <c r="F87" s="46"/>
      <c r="G87" s="46">
        <v>4566.38</v>
      </c>
      <c r="H87" s="7">
        <f t="shared" si="20"/>
        <v>4566.38</v>
      </c>
      <c r="I87" s="8"/>
      <c r="J87" s="9"/>
      <c r="K87" s="7">
        <v>4566.38</v>
      </c>
      <c r="L87" s="9"/>
      <c r="M87" s="7">
        <f t="shared" si="16"/>
        <v>0</v>
      </c>
      <c r="N87" s="9"/>
    </row>
    <row r="88" spans="1:14" x14ac:dyDescent="0.25">
      <c r="A88" s="39" t="s">
        <v>92</v>
      </c>
      <c r="B88" s="46"/>
      <c r="C88" s="46"/>
      <c r="D88" s="46"/>
      <c r="E88" s="46"/>
      <c r="F88" s="46"/>
      <c r="G88" s="46">
        <v>5400.25</v>
      </c>
      <c r="H88" s="7">
        <f t="shared" si="20"/>
        <v>5400.25</v>
      </c>
      <c r="I88" s="8"/>
      <c r="J88" s="9"/>
      <c r="K88" s="7">
        <v>5400.25</v>
      </c>
      <c r="L88" s="9"/>
      <c r="M88" s="7">
        <f t="shared" si="16"/>
        <v>0</v>
      </c>
      <c r="N88" s="9"/>
    </row>
    <row r="89" spans="1:14" x14ac:dyDescent="0.25">
      <c r="A89" s="39" t="s">
        <v>93</v>
      </c>
      <c r="B89" s="130">
        <v>60400</v>
      </c>
      <c r="C89" s="46"/>
      <c r="D89" s="46"/>
      <c r="E89" s="46">
        <v>0</v>
      </c>
      <c r="F89" s="46"/>
      <c r="G89" s="46"/>
      <c r="H89" s="7">
        <f t="shared" si="20"/>
        <v>60400</v>
      </c>
      <c r="I89" s="8"/>
      <c r="J89" s="9"/>
      <c r="K89" s="7">
        <v>60400</v>
      </c>
      <c r="L89" s="9"/>
      <c r="M89" s="7">
        <f t="shared" si="16"/>
        <v>0</v>
      </c>
      <c r="N89" s="9"/>
    </row>
    <row r="90" spans="1:14" x14ac:dyDescent="0.25">
      <c r="A90" s="66" t="s">
        <v>94</v>
      </c>
      <c r="B90" s="67">
        <f t="shared" ref="B90" si="21">SUM(B82:B89)</f>
        <v>60400</v>
      </c>
      <c r="C90" s="67">
        <f t="shared" ref="C90:G90" si="22">SUM(C82:C89)</f>
        <v>29566.216216216217</v>
      </c>
      <c r="D90" s="67">
        <f t="shared" si="22"/>
        <v>196317</v>
      </c>
      <c r="E90" s="67">
        <f t="shared" si="22"/>
        <v>0</v>
      </c>
      <c r="F90" s="67">
        <f t="shared" si="22"/>
        <v>53120</v>
      </c>
      <c r="G90" s="67">
        <f t="shared" si="22"/>
        <v>16520.96</v>
      </c>
      <c r="H90" s="67">
        <f>SUM(H82:H89)</f>
        <v>355924.17621621623</v>
      </c>
      <c r="I90" s="10"/>
      <c r="J90" s="10"/>
      <c r="K90" s="67">
        <v>328400.95999999996</v>
      </c>
      <c r="L90" s="10"/>
      <c r="M90" s="67">
        <f>SUM(M82:M89)</f>
        <v>27523.216216216239</v>
      </c>
      <c r="N90" s="10"/>
    </row>
    <row r="91" spans="1:14" x14ac:dyDescent="0.25">
      <c r="A91" s="68" t="s">
        <v>95</v>
      </c>
      <c r="B91" s="60"/>
      <c r="C91" s="60"/>
      <c r="D91" s="60"/>
      <c r="E91" s="60"/>
      <c r="F91" s="60"/>
      <c r="G91" s="60"/>
      <c r="H91" s="61"/>
      <c r="I91" s="10"/>
      <c r="J91" s="10"/>
      <c r="K91" s="61"/>
      <c r="L91" s="10"/>
      <c r="M91" s="61">
        <f t="shared" si="16"/>
        <v>0</v>
      </c>
      <c r="N91" s="10"/>
    </row>
    <row r="92" spans="1:14" x14ac:dyDescent="0.25">
      <c r="A92" s="39" t="s">
        <v>96</v>
      </c>
      <c r="B92" s="7"/>
      <c r="C92" s="7"/>
      <c r="D92" s="7"/>
      <c r="E92" s="7"/>
      <c r="F92" s="7"/>
      <c r="G92" s="7"/>
      <c r="H92" s="7">
        <f>SUM(B92:G92)</f>
        <v>0</v>
      </c>
      <c r="I92" s="19"/>
      <c r="K92" s="7">
        <v>0</v>
      </c>
      <c r="M92" s="7">
        <f t="shared" si="16"/>
        <v>0</v>
      </c>
    </row>
    <row r="93" spans="1:14" x14ac:dyDescent="0.25">
      <c r="A93" s="39" t="s">
        <v>97</v>
      </c>
      <c r="B93" s="14"/>
      <c r="C93" s="14"/>
      <c r="D93" s="14"/>
      <c r="E93" s="14"/>
      <c r="F93" s="14"/>
      <c r="G93" s="14"/>
      <c r="H93" s="7">
        <f>SUM(B93:G93)</f>
        <v>0</v>
      </c>
      <c r="I93" s="19"/>
      <c r="K93" s="7">
        <v>0</v>
      </c>
      <c r="M93" s="7">
        <f t="shared" si="16"/>
        <v>0</v>
      </c>
    </row>
    <row r="94" spans="1:14" x14ac:dyDescent="0.25">
      <c r="A94" s="39" t="s">
        <v>98</v>
      </c>
      <c r="B94" s="46">
        <v>178351</v>
      </c>
      <c r="C94" s="46"/>
      <c r="D94" s="46"/>
      <c r="E94" s="46"/>
      <c r="F94" s="46"/>
      <c r="G94" s="46"/>
      <c r="H94" s="46">
        <f>SUM(B94:G94)</f>
        <v>178351</v>
      </c>
      <c r="I94" s="19"/>
      <c r="K94" s="46">
        <v>397409</v>
      </c>
      <c r="M94" s="46">
        <f t="shared" si="16"/>
        <v>-219058</v>
      </c>
    </row>
    <row r="95" spans="1:14" x14ac:dyDescent="0.25">
      <c r="A95" s="39" t="s">
        <v>99</v>
      </c>
      <c r="B95" s="46"/>
      <c r="C95" s="46"/>
      <c r="D95" s="46"/>
      <c r="E95" s="46"/>
      <c r="F95" s="46"/>
      <c r="G95" s="46"/>
      <c r="H95" s="46">
        <f>SUM(B95:G95)</f>
        <v>0</v>
      </c>
      <c r="I95" s="19"/>
      <c r="K95" s="46">
        <v>0</v>
      </c>
      <c r="M95" s="46">
        <f t="shared" si="16"/>
        <v>0</v>
      </c>
    </row>
    <row r="96" spans="1:14" x14ac:dyDescent="0.25">
      <c r="A96" s="66" t="s">
        <v>100</v>
      </c>
      <c r="B96" s="67">
        <f>SUM(B92:B95)</f>
        <v>178351</v>
      </c>
      <c r="C96" s="67">
        <f t="shared" ref="C96:D96" si="23">SUM(C92:C95)</f>
        <v>0</v>
      </c>
      <c r="D96" s="67">
        <f t="shared" si="23"/>
        <v>0</v>
      </c>
      <c r="E96" s="67"/>
      <c r="F96" s="67"/>
      <c r="G96" s="67"/>
      <c r="H96" s="67">
        <f>SUM(H92:H95)</f>
        <v>178351</v>
      </c>
      <c r="I96" s="10"/>
      <c r="J96" s="10"/>
      <c r="K96" s="67">
        <v>397409</v>
      </c>
      <c r="L96" s="10"/>
      <c r="M96" s="67">
        <f>SUM(M92:M95)</f>
        <v>-219058</v>
      </c>
      <c r="N96" s="10"/>
    </row>
    <row r="97" spans="1:14" x14ac:dyDescent="0.25">
      <c r="A97" s="73" t="s">
        <v>101</v>
      </c>
      <c r="B97" s="74">
        <f>B80+B90+B96</f>
        <v>2140856.1650337838</v>
      </c>
      <c r="C97" s="74">
        <f t="shared" ref="C97:H97" si="24">C80+C90+C96</f>
        <v>126604.05405405405</v>
      </c>
      <c r="D97" s="74">
        <f t="shared" si="24"/>
        <v>196317</v>
      </c>
      <c r="E97" s="74">
        <f t="shared" si="24"/>
        <v>0</v>
      </c>
      <c r="F97" s="74">
        <f t="shared" si="24"/>
        <v>53120</v>
      </c>
      <c r="G97" s="74">
        <f t="shared" si="24"/>
        <v>16520.96</v>
      </c>
      <c r="H97" s="74">
        <f t="shared" si="24"/>
        <v>2533418.1790878377</v>
      </c>
      <c r="I97" s="10"/>
      <c r="J97" s="10"/>
      <c r="K97" s="74">
        <v>2450349.0299999993</v>
      </c>
      <c r="L97" s="10"/>
      <c r="M97" s="74">
        <f t="shared" ref="M97" si="25">M80+M90+M96</f>
        <v>83069.149087837897</v>
      </c>
      <c r="N97" s="10"/>
    </row>
    <row r="98" spans="1:14" x14ac:dyDescent="0.25">
      <c r="A98" s="68" t="s">
        <v>102</v>
      </c>
      <c r="B98" s="60"/>
      <c r="C98" s="60"/>
      <c r="D98" s="60"/>
      <c r="E98" s="60"/>
      <c r="F98" s="60"/>
      <c r="G98" s="60"/>
      <c r="H98" s="61"/>
      <c r="I98" s="10"/>
      <c r="J98" s="10"/>
      <c r="K98" s="61"/>
      <c r="L98" s="10"/>
      <c r="M98" s="61">
        <f t="shared" si="16"/>
        <v>0</v>
      </c>
      <c r="N98" s="10"/>
    </row>
    <row r="99" spans="1:14" x14ac:dyDescent="0.25">
      <c r="A99" s="39" t="s">
        <v>103</v>
      </c>
      <c r="B99" s="7">
        <v>0</v>
      </c>
      <c r="C99" s="7">
        <v>0</v>
      </c>
      <c r="D99" s="7">
        <v>0</v>
      </c>
      <c r="E99" s="7">
        <v>0</v>
      </c>
      <c r="F99" s="7">
        <v>0</v>
      </c>
      <c r="G99" s="7">
        <v>0</v>
      </c>
      <c r="H99" s="7">
        <f>SUM(B99:G99)</f>
        <v>0</v>
      </c>
      <c r="I99" s="19"/>
      <c r="J99" s="10"/>
      <c r="K99" s="7">
        <v>0</v>
      </c>
      <c r="L99" s="10"/>
      <c r="M99" s="7">
        <f t="shared" si="16"/>
        <v>0</v>
      </c>
      <c r="N99" s="10"/>
    </row>
    <row r="100" spans="1:14" x14ac:dyDescent="0.25">
      <c r="A100" s="39" t="s">
        <v>104</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105</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106</v>
      </c>
      <c r="B105" s="76" t="str">
        <f>B1</f>
        <v>Operating</v>
      </c>
      <c r="C105" s="76" t="str">
        <f>C1</f>
        <v>SPED</v>
      </c>
      <c r="D105" s="76" t="str">
        <f>D1</f>
        <v>NSLP</v>
      </c>
      <c r="E105" s="76" t="str">
        <f>E1</f>
        <v>Other</v>
      </c>
      <c r="F105" s="76" t="str">
        <f t="shared" ref="F105:G105" si="27">F1</f>
        <v>Title I</v>
      </c>
      <c r="G105" s="76" t="str">
        <f t="shared" si="27"/>
        <v>Title II/III/IV</v>
      </c>
      <c r="H105" s="76" t="str">
        <f>H1</f>
        <v>Total (26-27)</v>
      </c>
      <c r="I105" s="10"/>
      <c r="J105" s="10"/>
      <c r="K105" s="76" t="s">
        <v>236</v>
      </c>
      <c r="L105" s="10"/>
      <c r="M105" s="76" t="str">
        <f t="shared" ref="M105" si="28">M1</f>
        <v>Variance</v>
      </c>
      <c r="N105" s="10"/>
    </row>
    <row r="106" spans="1:14" x14ac:dyDescent="0.25">
      <c r="A106" s="59" t="s">
        <v>107</v>
      </c>
      <c r="B106" s="60"/>
      <c r="C106" s="60"/>
      <c r="D106" s="60"/>
      <c r="E106" s="60"/>
      <c r="F106" s="60"/>
      <c r="G106" s="60"/>
      <c r="H106" s="61"/>
      <c r="I106" s="10"/>
      <c r="J106" s="10"/>
      <c r="K106" s="61"/>
      <c r="L106" s="10"/>
      <c r="M106" s="61">
        <f t="shared" si="16"/>
        <v>0</v>
      </c>
      <c r="N106" s="10"/>
    </row>
    <row r="107" spans="1:14" x14ac:dyDescent="0.25">
      <c r="A107" s="39" t="s">
        <v>47</v>
      </c>
      <c r="B107" s="14">
        <f>'25-26'!B107*1.015</f>
        <v>139080.375</v>
      </c>
      <c r="C107" s="14">
        <f>'25-26'!C107*1.015</f>
        <v>0</v>
      </c>
      <c r="D107" s="14">
        <f>'25-26'!D107*1.015</f>
        <v>0</v>
      </c>
      <c r="E107" s="14">
        <f>'25-26'!E107*1.015</f>
        <v>0</v>
      </c>
      <c r="F107" s="14">
        <f>'25-26'!F107*1.015</f>
        <v>0</v>
      </c>
      <c r="G107" s="14">
        <f>'25-26'!G107*1.015</f>
        <v>0</v>
      </c>
      <c r="H107" s="7">
        <f t="shared" ref="H107:H120" si="29">SUM(B107:G107)</f>
        <v>139080.375</v>
      </c>
      <c r="I107" s="19"/>
      <c r="K107" s="7">
        <v>137025</v>
      </c>
      <c r="M107" s="7">
        <f t="shared" si="16"/>
        <v>2055.375</v>
      </c>
    </row>
    <row r="108" spans="1:14" x14ac:dyDescent="0.25">
      <c r="A108" s="39" t="s">
        <v>48</v>
      </c>
      <c r="B108" s="14">
        <f>'25-26'!B108*1.015</f>
        <v>128778.12499999997</v>
      </c>
      <c r="C108" s="14">
        <f>'25-26'!C108*1.015</f>
        <v>0</v>
      </c>
      <c r="D108" s="14">
        <f>'25-26'!D108*1.015</f>
        <v>0</v>
      </c>
      <c r="E108" s="14">
        <f>'25-26'!E108*1.015</f>
        <v>0</v>
      </c>
      <c r="F108" s="14">
        <f>'25-26'!F108*1.015</f>
        <v>0</v>
      </c>
      <c r="G108" s="14">
        <f>'25-26'!G108*1.015</f>
        <v>0</v>
      </c>
      <c r="H108" s="7">
        <f t="shared" si="29"/>
        <v>128778.12499999997</v>
      </c>
      <c r="I108" s="19"/>
      <c r="K108" s="7">
        <v>126874.99999999999</v>
      </c>
      <c r="M108" s="7">
        <f t="shared" si="16"/>
        <v>1903.1249999999854</v>
      </c>
    </row>
    <row r="109" spans="1:14" x14ac:dyDescent="0.25">
      <c r="A109" s="39" t="s">
        <v>49</v>
      </c>
      <c r="B109" s="14">
        <f>'25-26'!B109*1.015</f>
        <v>0</v>
      </c>
      <c r="C109" s="14">
        <f>'25-26'!C109*1.015</f>
        <v>0</v>
      </c>
      <c r="D109" s="14">
        <f>'25-26'!D109*1.015</f>
        <v>0</v>
      </c>
      <c r="E109" s="14">
        <f>'25-26'!E109*1.015</f>
        <v>0</v>
      </c>
      <c r="F109" s="14">
        <f>'25-26'!F109*1.015</f>
        <v>83077.343999999983</v>
      </c>
      <c r="G109" s="14">
        <f>'25-26'!G109*1.015</f>
        <v>0</v>
      </c>
      <c r="H109" s="7">
        <f t="shared" si="29"/>
        <v>83077.343999999983</v>
      </c>
      <c r="I109" s="19"/>
      <c r="K109" s="7">
        <v>81849.599999999991</v>
      </c>
      <c r="M109" s="7">
        <f t="shared" si="16"/>
        <v>1227.7439999999915</v>
      </c>
    </row>
    <row r="110" spans="1:14" x14ac:dyDescent="0.25">
      <c r="A110" s="42" t="s">
        <v>50</v>
      </c>
      <c r="B110" s="14">
        <f>'25-26'!B110*1.015</f>
        <v>0</v>
      </c>
      <c r="C110" s="14">
        <f>'25-26'!C110*1.015</f>
        <v>0</v>
      </c>
      <c r="D110" s="14">
        <f>'25-26'!D110*1.015</f>
        <v>0</v>
      </c>
      <c r="E110" s="14">
        <f>'25-26'!E110*1.015</f>
        <v>0</v>
      </c>
      <c r="F110" s="14">
        <f>'25-26'!F110*1.015</f>
        <v>0</v>
      </c>
      <c r="G110" s="14">
        <f>'25-26'!G110*1.015</f>
        <v>0</v>
      </c>
      <c r="H110" s="7">
        <f t="shared" si="29"/>
        <v>0</v>
      </c>
      <c r="I110" s="19"/>
      <c r="K110" s="7">
        <v>0</v>
      </c>
      <c r="M110" s="7">
        <f t="shared" si="16"/>
        <v>0</v>
      </c>
    </row>
    <row r="111" spans="1:14" x14ac:dyDescent="0.25">
      <c r="A111" s="42" t="s">
        <v>51</v>
      </c>
      <c r="B111" s="14">
        <f>'25-26'!B111*1.015</f>
        <v>0</v>
      </c>
      <c r="C111" s="14">
        <f>'25-26'!C111*1.015</f>
        <v>0</v>
      </c>
      <c r="D111" s="14">
        <f>'25-26'!D111*1.015</f>
        <v>0</v>
      </c>
      <c r="E111" s="14">
        <f>'25-26'!E111*1.015</f>
        <v>0</v>
      </c>
      <c r="F111" s="14">
        <f>'25-26'!F111*1.015</f>
        <v>0</v>
      </c>
      <c r="G111" s="14">
        <f>'25-26'!G111*1.015</f>
        <v>0</v>
      </c>
      <c r="H111" s="7">
        <f t="shared" si="29"/>
        <v>0</v>
      </c>
      <c r="I111" s="19"/>
      <c r="K111" s="7">
        <v>0</v>
      </c>
      <c r="M111" s="7">
        <f t="shared" si="16"/>
        <v>0</v>
      </c>
    </row>
    <row r="112" spans="1:14" x14ac:dyDescent="0.25">
      <c r="A112" s="42" t="s">
        <v>52</v>
      </c>
      <c r="B112" s="14">
        <f>'25-26'!B112*1.015</f>
        <v>53056.587499999987</v>
      </c>
      <c r="C112" s="14">
        <f>'25-26'!C112*1.015</f>
        <v>0</v>
      </c>
      <c r="D112" s="14">
        <f>'25-26'!D112*1.015</f>
        <v>0</v>
      </c>
      <c r="E112" s="14">
        <f>'25-26'!E112*1.015</f>
        <v>0</v>
      </c>
      <c r="F112" s="14">
        <f>'25-26'!F112*1.015</f>
        <v>0</v>
      </c>
      <c r="G112" s="14">
        <f>'25-26'!G112*1.015</f>
        <v>0</v>
      </c>
      <c r="H112" s="7">
        <f t="shared" si="29"/>
        <v>53056.587499999987</v>
      </c>
      <c r="I112" s="19"/>
      <c r="K112" s="7">
        <v>52272.499999999993</v>
      </c>
      <c r="M112" s="7">
        <f t="shared" si="16"/>
        <v>784.08749999999418</v>
      </c>
    </row>
    <row r="113" spans="1:14" x14ac:dyDescent="0.25">
      <c r="A113" s="39" t="s">
        <v>108</v>
      </c>
      <c r="B113" s="14">
        <f>'25-26'!B113*1.015</f>
        <v>0</v>
      </c>
      <c r="C113" s="14">
        <f>'25-26'!C113*1.015</f>
        <v>0</v>
      </c>
      <c r="D113" s="14">
        <f>'25-26'!D113*1.015</f>
        <v>0</v>
      </c>
      <c r="E113" s="14">
        <f>'25-26'!E113*1.015</f>
        <v>0</v>
      </c>
      <c r="F113" s="14">
        <f>'25-26'!F113*1.015</f>
        <v>0</v>
      </c>
      <c r="G113" s="14">
        <f>'25-26'!G113*1.015</f>
        <v>0</v>
      </c>
      <c r="H113" s="7">
        <f t="shared" si="29"/>
        <v>0</v>
      </c>
      <c r="I113" s="19"/>
      <c r="K113" s="7">
        <v>0</v>
      </c>
      <c r="M113" s="7">
        <f t="shared" si="16"/>
        <v>0</v>
      </c>
    </row>
    <row r="114" spans="1:14" x14ac:dyDescent="0.25">
      <c r="A114" s="39" t="s">
        <v>109</v>
      </c>
      <c r="B114" s="7">
        <f>B36*58000</f>
        <v>464000</v>
      </c>
      <c r="C114" s="7"/>
      <c r="D114" s="7"/>
      <c r="E114" s="7"/>
      <c r="F114" s="7"/>
      <c r="G114" s="7"/>
      <c r="H114" s="7">
        <f t="shared" si="29"/>
        <v>464000</v>
      </c>
      <c r="I114" s="26">
        <f>H114/(H36-H28)</f>
        <v>58000</v>
      </c>
      <c r="K114" s="7">
        <v>456000</v>
      </c>
      <c r="M114" s="7">
        <f t="shared" si="16"/>
        <v>8000</v>
      </c>
    </row>
    <row r="115" spans="1:14" x14ac:dyDescent="0.25">
      <c r="A115" s="39" t="s">
        <v>37</v>
      </c>
      <c r="B115" s="7"/>
      <c r="C115" s="7">
        <f>58000*C36</f>
        <v>58000</v>
      </c>
      <c r="D115" s="7"/>
      <c r="E115" s="7"/>
      <c r="F115" s="7"/>
      <c r="G115" s="7"/>
      <c r="H115" s="7">
        <f t="shared" si="29"/>
        <v>58000</v>
      </c>
      <c r="I115" s="19"/>
      <c r="K115" s="7">
        <v>57000</v>
      </c>
      <c r="M115" s="7">
        <f t="shared" si="16"/>
        <v>1000</v>
      </c>
    </row>
    <row r="116" spans="1:14" x14ac:dyDescent="0.25">
      <c r="A116" s="39" t="s">
        <v>110</v>
      </c>
      <c r="B116" s="14">
        <f>'25-26'!B116*1.015</f>
        <v>61813.499999999985</v>
      </c>
      <c r="C116" s="7"/>
      <c r="D116" s="7"/>
      <c r="E116" s="7"/>
      <c r="F116" s="7"/>
      <c r="G116" s="7"/>
      <c r="H116" s="7">
        <f t="shared" si="29"/>
        <v>61813.499999999985</v>
      </c>
      <c r="I116" s="19"/>
      <c r="K116" s="7">
        <v>60899.999999999993</v>
      </c>
      <c r="M116" s="7">
        <f t="shared" si="16"/>
        <v>913.49999999999272</v>
      </c>
    </row>
    <row r="117" spans="1:14" x14ac:dyDescent="0.25">
      <c r="A117" s="39" t="s">
        <v>111</v>
      </c>
      <c r="B117" s="14">
        <f>(14*8*190)*(B49+B48)</f>
        <v>0</v>
      </c>
      <c r="C117" s="7"/>
      <c r="D117" s="7"/>
      <c r="E117" s="7"/>
      <c r="F117" s="7"/>
      <c r="G117" s="7"/>
      <c r="H117" s="7">
        <f t="shared" si="29"/>
        <v>0</v>
      </c>
      <c r="I117" s="19"/>
      <c r="K117" s="7">
        <v>0</v>
      </c>
      <c r="M117" s="7">
        <f t="shared" si="16"/>
        <v>0</v>
      </c>
    </row>
    <row r="118" spans="1:14" x14ac:dyDescent="0.25">
      <c r="A118" s="39" t="s">
        <v>112</v>
      </c>
      <c r="B118" s="7">
        <f>(16*8*180)*B50</f>
        <v>23040</v>
      </c>
      <c r="C118" s="7">
        <f t="shared" ref="C118:D118" si="30">(14*8*180)*C50</f>
        <v>0</v>
      </c>
      <c r="D118" s="7">
        <f t="shared" si="30"/>
        <v>0</v>
      </c>
      <c r="E118" s="7"/>
      <c r="F118" s="14">
        <f>(15.25*8*180)*F50</f>
        <v>0</v>
      </c>
      <c r="G118" s="7"/>
      <c r="H118" s="7">
        <f t="shared" si="29"/>
        <v>23040</v>
      </c>
      <c r="I118" s="19"/>
      <c r="K118" s="7">
        <v>22320</v>
      </c>
      <c r="M118" s="7">
        <f t="shared" si="16"/>
        <v>720</v>
      </c>
    </row>
    <row r="119" spans="1:14" x14ac:dyDescent="0.25">
      <c r="A119" s="39" t="s">
        <v>113</v>
      </c>
      <c r="B119" s="14">
        <f>(17*8*210)*B51</f>
        <v>0</v>
      </c>
      <c r="C119" s="7"/>
      <c r="D119" s="7"/>
      <c r="E119" s="7"/>
      <c r="F119" s="7"/>
      <c r="G119" s="7"/>
      <c r="H119" s="7">
        <f t="shared" si="29"/>
        <v>0</v>
      </c>
      <c r="I119" s="19"/>
      <c r="K119" s="7">
        <v>0</v>
      </c>
      <c r="M119" s="7">
        <f t="shared" si="16"/>
        <v>0</v>
      </c>
    </row>
    <row r="120" spans="1:14" x14ac:dyDescent="0.25">
      <c r="A120" s="39" t="s">
        <v>60</v>
      </c>
      <c r="B120" s="7"/>
      <c r="C120" s="7"/>
      <c r="D120" s="7"/>
      <c r="E120" s="7"/>
      <c r="F120" s="7"/>
      <c r="G120" s="7"/>
      <c r="H120" s="7">
        <f t="shared" si="29"/>
        <v>0</v>
      </c>
      <c r="I120" s="19"/>
      <c r="K120" s="7">
        <v>0</v>
      </c>
      <c r="M120" s="7">
        <f t="shared" si="16"/>
        <v>0</v>
      </c>
    </row>
    <row r="121" spans="1:14" x14ac:dyDescent="0.25">
      <c r="A121" s="77" t="s">
        <v>114</v>
      </c>
      <c r="B121" s="78">
        <f>SUM(B107:B120)</f>
        <v>869768.58749999991</v>
      </c>
      <c r="C121" s="78">
        <f t="shared" ref="C121:G121" si="31">SUM(C107:C120)</f>
        <v>58000</v>
      </c>
      <c r="D121" s="78">
        <f t="shared" si="31"/>
        <v>0</v>
      </c>
      <c r="E121" s="78">
        <f t="shared" si="31"/>
        <v>0</v>
      </c>
      <c r="F121" s="78">
        <f t="shared" si="31"/>
        <v>83077.343999999983</v>
      </c>
      <c r="G121" s="78">
        <f t="shared" si="31"/>
        <v>0</v>
      </c>
      <c r="H121" s="78">
        <f>SUM(H107:H120)</f>
        <v>1010845.9314999999</v>
      </c>
      <c r="I121" s="10"/>
      <c r="J121" s="10"/>
      <c r="K121" s="78">
        <v>994242.1</v>
      </c>
      <c r="L121" s="10"/>
      <c r="M121" s="78">
        <f>SUM(M107:M120)</f>
        <v>16603.831499999964</v>
      </c>
      <c r="N121" s="10"/>
    </row>
    <row r="122" spans="1:14" x14ac:dyDescent="0.25">
      <c r="A122" s="79" t="s">
        <v>115</v>
      </c>
      <c r="B122" s="60"/>
      <c r="C122" s="60"/>
      <c r="D122" s="60"/>
      <c r="E122" s="60"/>
      <c r="F122" s="60"/>
      <c r="G122" s="60"/>
      <c r="H122" s="61"/>
      <c r="I122" s="10"/>
      <c r="J122" s="10"/>
      <c r="K122" s="61"/>
      <c r="L122" s="10"/>
      <c r="M122" s="61">
        <f t="shared" si="16"/>
        <v>0</v>
      </c>
      <c r="N122" s="10"/>
    </row>
    <row r="123" spans="1:14" x14ac:dyDescent="0.25">
      <c r="A123" s="39" t="s">
        <v>62</v>
      </c>
      <c r="B123" s="7">
        <v>0</v>
      </c>
      <c r="C123" s="7"/>
      <c r="D123" s="7"/>
      <c r="E123" s="7"/>
      <c r="F123" s="7"/>
      <c r="G123" s="7"/>
      <c r="H123" s="34">
        <f t="shared" ref="H123:H130" si="32">SUM(B123:G123)</f>
        <v>0</v>
      </c>
      <c r="I123" s="19"/>
      <c r="K123" s="34">
        <v>0</v>
      </c>
      <c r="M123" s="7">
        <f t="shared" si="16"/>
        <v>0</v>
      </c>
    </row>
    <row r="124" spans="1:14" x14ac:dyDescent="0.25">
      <c r="A124" s="39" t="s">
        <v>63</v>
      </c>
      <c r="B124" s="7">
        <v>0</v>
      </c>
      <c r="C124" s="7"/>
      <c r="D124" s="7"/>
      <c r="E124" s="7"/>
      <c r="F124" s="7"/>
      <c r="G124" s="7"/>
      <c r="H124" s="34">
        <f t="shared" si="32"/>
        <v>0</v>
      </c>
      <c r="I124" s="19"/>
      <c r="K124" s="34">
        <v>0</v>
      </c>
      <c r="M124" s="34">
        <f t="shared" si="16"/>
        <v>0</v>
      </c>
    </row>
    <row r="125" spans="1:14" x14ac:dyDescent="0.25">
      <c r="A125" s="39" t="s">
        <v>64</v>
      </c>
      <c r="B125" s="7">
        <v>0</v>
      </c>
      <c r="C125" s="7"/>
      <c r="D125" s="7"/>
      <c r="E125" s="7"/>
      <c r="F125" s="7"/>
      <c r="G125" s="7"/>
      <c r="H125" s="7">
        <f t="shared" si="32"/>
        <v>0</v>
      </c>
      <c r="I125" s="19"/>
      <c r="K125" s="7">
        <v>0</v>
      </c>
      <c r="M125" s="7">
        <f t="shared" si="16"/>
        <v>0</v>
      </c>
    </row>
    <row r="126" spans="1:14" x14ac:dyDescent="0.25">
      <c r="A126" s="39" t="s">
        <v>116</v>
      </c>
      <c r="B126" s="7">
        <v>0</v>
      </c>
      <c r="C126" s="7"/>
      <c r="D126" s="7"/>
      <c r="E126" s="7"/>
      <c r="F126" s="7"/>
      <c r="G126" s="7"/>
      <c r="H126" s="34">
        <f t="shared" si="32"/>
        <v>0</v>
      </c>
      <c r="I126" s="19"/>
      <c r="K126" s="34">
        <v>0</v>
      </c>
      <c r="M126" s="34">
        <f t="shared" si="16"/>
        <v>0</v>
      </c>
    </row>
    <row r="127" spans="1:14" x14ac:dyDescent="0.25">
      <c r="A127" s="39" t="s">
        <v>66</v>
      </c>
      <c r="B127" s="7">
        <v>0</v>
      </c>
      <c r="C127" s="7"/>
      <c r="D127" s="7"/>
      <c r="E127" s="7"/>
      <c r="F127" s="7"/>
      <c r="G127" s="7"/>
      <c r="H127" s="34">
        <f t="shared" si="32"/>
        <v>0</v>
      </c>
      <c r="I127" s="19"/>
      <c r="K127" s="34">
        <v>0</v>
      </c>
      <c r="M127" s="34">
        <f t="shared" si="16"/>
        <v>0</v>
      </c>
    </row>
    <row r="128" spans="1:14" x14ac:dyDescent="0.25">
      <c r="A128" s="39" t="s">
        <v>117</v>
      </c>
      <c r="B128" s="7">
        <v>0</v>
      </c>
      <c r="C128" s="7"/>
      <c r="D128" s="7"/>
      <c r="E128" s="7"/>
      <c r="F128" s="7"/>
      <c r="G128" s="7"/>
      <c r="H128" s="34">
        <f t="shared" si="32"/>
        <v>0</v>
      </c>
      <c r="I128" s="19"/>
      <c r="K128" s="34">
        <v>0</v>
      </c>
      <c r="M128" s="34">
        <f t="shared" si="16"/>
        <v>0</v>
      </c>
    </row>
    <row r="129" spans="1:14" x14ac:dyDescent="0.25">
      <c r="A129" s="39" t="s">
        <v>118</v>
      </c>
      <c r="B129" s="7">
        <f>(12.5*6*185)*B52</f>
        <v>0</v>
      </c>
      <c r="C129" s="7">
        <f>(12.5*6*185)*C52</f>
        <v>0</v>
      </c>
      <c r="D129" s="7">
        <f>(25*8*200)*D52</f>
        <v>40000</v>
      </c>
      <c r="E129" s="7"/>
      <c r="F129" s="7"/>
      <c r="G129" s="7"/>
      <c r="H129" s="7">
        <f t="shared" si="32"/>
        <v>40000</v>
      </c>
      <c r="I129" s="19"/>
      <c r="K129" s="7">
        <v>39200</v>
      </c>
      <c r="M129" s="7">
        <f t="shared" si="16"/>
        <v>800</v>
      </c>
    </row>
    <row r="130" spans="1:14" x14ac:dyDescent="0.25">
      <c r="A130" s="39" t="s">
        <v>67</v>
      </c>
      <c r="B130" s="46">
        <v>0</v>
      </c>
      <c r="C130" s="7"/>
      <c r="D130" s="7"/>
      <c r="E130" s="7"/>
      <c r="F130" s="7"/>
      <c r="G130" s="7">
        <v>0</v>
      </c>
      <c r="H130" s="34">
        <f t="shared" si="32"/>
        <v>0</v>
      </c>
      <c r="I130" s="19"/>
      <c r="K130" s="34">
        <v>0</v>
      </c>
      <c r="M130" s="7">
        <f t="shared" ref="M130:M140" si="33">H130-K130</f>
        <v>0</v>
      </c>
    </row>
    <row r="131" spans="1:14" x14ac:dyDescent="0.25">
      <c r="A131" s="80" t="s">
        <v>119</v>
      </c>
      <c r="B131" s="81">
        <f>SUM(B123:B130)</f>
        <v>0</v>
      </c>
      <c r="C131" s="81">
        <f>SUM(C123:C130)</f>
        <v>0</v>
      </c>
      <c r="D131" s="81">
        <f>SUM(D123:D130)</f>
        <v>40000</v>
      </c>
      <c r="E131" s="81">
        <f>SUM(E123:E130)</f>
        <v>0</v>
      </c>
      <c r="F131" s="81">
        <f t="shared" ref="F131" si="34">SUM(F123:F130)</f>
        <v>0</v>
      </c>
      <c r="G131" s="81"/>
      <c r="H131" s="81">
        <f>SUM(H123:H130)</f>
        <v>40000</v>
      </c>
      <c r="I131" s="25"/>
      <c r="J131" s="28"/>
      <c r="K131" s="81">
        <v>39200</v>
      </c>
      <c r="L131" s="10"/>
      <c r="M131" s="81">
        <f>SUM(M123:M130)</f>
        <v>800</v>
      </c>
      <c r="N131" s="28"/>
    </row>
    <row r="132" spans="1:14" x14ac:dyDescent="0.25">
      <c r="A132" s="82" t="s">
        <v>120</v>
      </c>
      <c r="B132" s="83">
        <f>B121+B131</f>
        <v>869768.58749999991</v>
      </c>
      <c r="C132" s="83">
        <f>C121+C131</f>
        <v>58000</v>
      </c>
      <c r="D132" s="83">
        <f>D121+D131</f>
        <v>40000</v>
      </c>
      <c r="E132" s="83">
        <f>E121+E131</f>
        <v>0</v>
      </c>
      <c r="F132" s="83">
        <f t="shared" ref="F132:G132" si="35">F121+F131</f>
        <v>83077.343999999983</v>
      </c>
      <c r="G132" s="83">
        <f t="shared" si="35"/>
        <v>0</v>
      </c>
      <c r="H132" s="83">
        <f>H121+H131</f>
        <v>1050845.9314999999</v>
      </c>
      <c r="I132" s="28"/>
      <c r="J132" s="10"/>
      <c r="K132" s="83">
        <v>1033442.1</v>
      </c>
      <c r="L132" s="10"/>
      <c r="M132" s="83">
        <f>M121+M131</f>
        <v>17403.831499999964</v>
      </c>
      <c r="N132" s="10"/>
    </row>
    <row r="133" spans="1:14" x14ac:dyDescent="0.25">
      <c r="A133" s="39" t="s">
        <v>121</v>
      </c>
      <c r="B133" s="63">
        <f>(B132-B109-58710)*0.3675</f>
        <v>298064.03090624994</v>
      </c>
      <c r="C133" s="63">
        <f>(C132-C109)*0.3675</f>
        <v>21315</v>
      </c>
      <c r="D133" s="63">
        <f>(D132-D109)*0.3675</f>
        <v>14700</v>
      </c>
      <c r="E133" s="63">
        <f>(E132-E109-E113)*0.3675</f>
        <v>0</v>
      </c>
      <c r="F133" s="63">
        <f>(F132-F109)*0.3675</f>
        <v>0</v>
      </c>
      <c r="G133" s="63">
        <f>G132*0.3675</f>
        <v>0</v>
      </c>
      <c r="H133" s="7">
        <f t="shared" ref="H133:H140" si="36">SUM(B133:G133)</f>
        <v>334079.03090624994</v>
      </c>
      <c r="I133" s="84">
        <f>H133/H132</f>
        <v>0.3179143782089715</v>
      </c>
      <c r="J133" s="85"/>
      <c r="K133" s="7">
        <v>328134.31874999998</v>
      </c>
      <c r="L133" s="85"/>
      <c r="M133" s="7">
        <f t="shared" si="33"/>
        <v>5944.7121562499669</v>
      </c>
      <c r="N133" s="85"/>
    </row>
    <row r="134" spans="1:14" x14ac:dyDescent="0.25">
      <c r="A134" s="86" t="s">
        <v>122</v>
      </c>
      <c r="B134" s="14">
        <f>B132*0.125</f>
        <v>108721.07343749999</v>
      </c>
      <c r="C134" s="14">
        <f t="shared" ref="C134:G134" si="37">C132*0.125</f>
        <v>7250</v>
      </c>
      <c r="D134" s="14">
        <f t="shared" si="37"/>
        <v>5000</v>
      </c>
      <c r="E134" s="14">
        <f t="shared" si="37"/>
        <v>0</v>
      </c>
      <c r="F134" s="14">
        <f t="shared" si="37"/>
        <v>10384.667999999998</v>
      </c>
      <c r="G134" s="14">
        <f t="shared" si="37"/>
        <v>0</v>
      </c>
      <c r="H134" s="7">
        <f t="shared" si="36"/>
        <v>131355.74143749999</v>
      </c>
      <c r="I134" s="84">
        <f>H134/H132</f>
        <v>0.125</v>
      </c>
      <c r="J134" s="85"/>
      <c r="K134" s="7">
        <v>124013.052</v>
      </c>
      <c r="L134" s="85"/>
      <c r="M134" s="7">
        <f t="shared" si="33"/>
        <v>7342.6894374999974</v>
      </c>
      <c r="N134" s="85"/>
    </row>
    <row r="135" spans="1:14" x14ac:dyDescent="0.25">
      <c r="A135" s="39" t="s">
        <v>123</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14000</v>
      </c>
      <c r="M135" s="7">
        <f t="shared" si="33"/>
        <v>0</v>
      </c>
    </row>
    <row r="136" spans="1:14" x14ac:dyDescent="0.25">
      <c r="A136" s="86" t="s">
        <v>124</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125</v>
      </c>
      <c r="B137" s="7">
        <v>0</v>
      </c>
      <c r="C137" s="14"/>
      <c r="D137" s="14"/>
      <c r="E137" s="14"/>
      <c r="F137" s="14">
        <v>0</v>
      </c>
      <c r="G137" s="14"/>
      <c r="H137" s="7">
        <f t="shared" si="36"/>
        <v>0</v>
      </c>
      <c r="I137" s="19"/>
      <c r="K137" s="7">
        <v>18240</v>
      </c>
      <c r="M137" s="7">
        <f t="shared" si="33"/>
        <v>-18240</v>
      </c>
    </row>
    <row r="138" spans="1:14" x14ac:dyDescent="0.25">
      <c r="A138" s="39" t="s">
        <v>126</v>
      </c>
      <c r="B138" s="7"/>
      <c r="C138" s="14"/>
      <c r="D138" s="14"/>
      <c r="E138" s="14"/>
      <c r="F138" s="14"/>
      <c r="G138" s="14"/>
      <c r="H138" s="7">
        <f t="shared" si="36"/>
        <v>0</v>
      </c>
      <c r="I138" s="19"/>
      <c r="K138" s="7">
        <v>0</v>
      </c>
      <c r="M138" s="7">
        <f t="shared" si="33"/>
        <v>0</v>
      </c>
    </row>
    <row r="139" spans="1:14" x14ac:dyDescent="0.25">
      <c r="A139" s="39" t="s">
        <v>127</v>
      </c>
      <c r="B139" s="14">
        <v>5000</v>
      </c>
      <c r="C139" s="14"/>
      <c r="D139" s="14"/>
      <c r="E139" s="14"/>
      <c r="F139" s="14"/>
      <c r="G139" s="14"/>
      <c r="H139" s="7">
        <f t="shared" si="36"/>
        <v>5000</v>
      </c>
      <c r="I139" s="19"/>
      <c r="K139" s="7">
        <v>5000</v>
      </c>
      <c r="M139" s="7">
        <f t="shared" si="33"/>
        <v>0</v>
      </c>
    </row>
    <row r="140" spans="1:14" x14ac:dyDescent="0.25">
      <c r="A140" s="39" t="s">
        <v>128</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129</v>
      </c>
      <c r="K140" s="7">
        <v>18315</v>
      </c>
      <c r="M140" s="7">
        <f t="shared" si="33"/>
        <v>0</v>
      </c>
    </row>
    <row r="141" spans="1:14" x14ac:dyDescent="0.25">
      <c r="A141" s="90" t="s">
        <v>130</v>
      </c>
      <c r="B141" s="91">
        <f>SUM(B133:B140)</f>
        <v>442690.10434374993</v>
      </c>
      <c r="C141" s="91">
        <f t="shared" ref="C141:G141" si="41">SUM(C133:C140)</f>
        <v>31975</v>
      </c>
      <c r="D141" s="91">
        <f t="shared" si="41"/>
        <v>20325</v>
      </c>
      <c r="E141" s="91">
        <f t="shared" si="41"/>
        <v>0</v>
      </c>
      <c r="F141" s="91">
        <f t="shared" si="41"/>
        <v>10384.667999999998</v>
      </c>
      <c r="G141" s="91">
        <f t="shared" si="41"/>
        <v>0</v>
      </c>
      <c r="H141" s="91">
        <f>SUM(H133:H140)</f>
        <v>505374.77234374994</v>
      </c>
      <c r="I141" s="10"/>
      <c r="J141" s="10"/>
      <c r="K141" s="91">
        <v>510327.37075</v>
      </c>
      <c r="L141" s="10"/>
      <c r="M141" s="91">
        <f>SUM(M133:M140)</f>
        <v>-4952.5984062500356</v>
      </c>
      <c r="N141" s="10"/>
    </row>
    <row r="142" spans="1:14" x14ac:dyDescent="0.25">
      <c r="A142" s="82" t="s">
        <v>131</v>
      </c>
      <c r="B142" s="83">
        <f>B132+B141</f>
        <v>1312458.69184375</v>
      </c>
      <c r="C142" s="83">
        <f>C132+C141</f>
        <v>89975</v>
      </c>
      <c r="D142" s="83">
        <f>D132+D141</f>
        <v>60325</v>
      </c>
      <c r="E142" s="83">
        <f>E132+E141</f>
        <v>0</v>
      </c>
      <c r="F142" s="83">
        <f t="shared" ref="F142:G142" si="42">F132+F141</f>
        <v>93462.011999999988</v>
      </c>
      <c r="G142" s="83">
        <f t="shared" si="42"/>
        <v>0</v>
      </c>
      <c r="H142" s="83">
        <f>H132+H141</f>
        <v>1556220.7038437498</v>
      </c>
      <c r="I142" s="10"/>
      <c r="J142" s="10"/>
      <c r="K142" s="83">
        <v>1543769.4707499999</v>
      </c>
      <c r="L142" s="10"/>
      <c r="M142" s="83">
        <f>M132+M141</f>
        <v>12451.233093749928</v>
      </c>
      <c r="N142" s="10"/>
    </row>
    <row r="143" spans="1:14" x14ac:dyDescent="0.25">
      <c r="A143" s="92" t="s">
        <v>132</v>
      </c>
      <c r="B143" s="24" t="str">
        <f>B1</f>
        <v>Operating</v>
      </c>
      <c r="C143" s="24" t="str">
        <f>C1</f>
        <v>SPED</v>
      </c>
      <c r="D143" s="24" t="str">
        <f>D1</f>
        <v>NSLP</v>
      </c>
      <c r="E143" s="24" t="str">
        <f>E1</f>
        <v>Other</v>
      </c>
      <c r="F143" s="24" t="str">
        <f t="shared" ref="F143:G143" si="43">F1</f>
        <v>Title I</v>
      </c>
      <c r="G143" s="24" t="str">
        <f t="shared" si="43"/>
        <v>Title II/III/IV</v>
      </c>
      <c r="H143" s="24" t="str">
        <f>H1</f>
        <v>Total (26-27)</v>
      </c>
      <c r="I143" s="10"/>
      <c r="J143" s="10"/>
      <c r="K143" s="24" t="s">
        <v>236</v>
      </c>
      <c r="L143" s="10"/>
      <c r="M143" s="24" t="str">
        <f>M1</f>
        <v>Variance</v>
      </c>
      <c r="N143" s="10"/>
    </row>
    <row r="144" spans="1:14" x14ac:dyDescent="0.25">
      <c r="A144" s="93" t="s">
        <v>133</v>
      </c>
      <c r="B144" s="14">
        <f>210*B17</f>
        <v>34650</v>
      </c>
      <c r="C144" s="14"/>
      <c r="D144" s="14"/>
      <c r="E144" s="14"/>
      <c r="F144" s="14"/>
      <c r="G144" s="14"/>
      <c r="H144" s="7">
        <f t="shared" ref="H144:H153" si="44">SUM(B144:G144)</f>
        <v>34650</v>
      </c>
      <c r="I144" s="8" t="s">
        <v>134</v>
      </c>
      <c r="K144" s="7">
        <v>31500</v>
      </c>
      <c r="M144" s="7">
        <f t="shared" ref="M144:M153" si="45">H144-K144</f>
        <v>3150</v>
      </c>
    </row>
    <row r="145" spans="1:14" x14ac:dyDescent="0.25">
      <c r="A145" s="94" t="s">
        <v>135</v>
      </c>
      <c r="B145" s="14">
        <v>0</v>
      </c>
      <c r="C145" s="14"/>
      <c r="D145" s="14"/>
      <c r="E145" s="14"/>
      <c r="F145" s="14"/>
      <c r="G145" s="14"/>
      <c r="H145" s="7">
        <f t="shared" si="44"/>
        <v>0</v>
      </c>
      <c r="I145" s="19"/>
      <c r="K145" s="7">
        <v>0</v>
      </c>
      <c r="M145" s="7">
        <f t="shared" si="45"/>
        <v>0</v>
      </c>
    </row>
    <row r="146" spans="1:14" x14ac:dyDescent="0.25">
      <c r="A146" s="39" t="s">
        <v>136</v>
      </c>
      <c r="B146" s="14">
        <v>0</v>
      </c>
      <c r="C146" s="14"/>
      <c r="D146" s="14"/>
      <c r="E146" s="14"/>
      <c r="F146" s="14"/>
      <c r="G146" s="14"/>
      <c r="H146" s="7">
        <f t="shared" si="44"/>
        <v>0</v>
      </c>
      <c r="I146" s="19"/>
      <c r="K146" s="7">
        <v>0</v>
      </c>
      <c r="M146" s="7">
        <f t="shared" si="45"/>
        <v>0</v>
      </c>
    </row>
    <row r="147" spans="1:14" x14ac:dyDescent="0.25">
      <c r="A147" s="39" t="s">
        <v>138</v>
      </c>
      <c r="B147" s="14">
        <f>30*B17</f>
        <v>4950</v>
      </c>
      <c r="C147" s="14"/>
      <c r="D147" s="14"/>
      <c r="E147" s="14"/>
      <c r="F147" s="14"/>
      <c r="G147" s="14"/>
      <c r="H147" s="7">
        <f t="shared" si="44"/>
        <v>4950</v>
      </c>
      <c r="I147" s="8" t="s">
        <v>139</v>
      </c>
      <c r="K147" s="7">
        <v>4500</v>
      </c>
      <c r="M147" s="7">
        <f t="shared" si="45"/>
        <v>450</v>
      </c>
    </row>
    <row r="148" spans="1:14" x14ac:dyDescent="0.25">
      <c r="A148" s="39" t="s">
        <v>140</v>
      </c>
      <c r="B148" s="14">
        <f>40*B17</f>
        <v>6600</v>
      </c>
      <c r="C148" s="14"/>
      <c r="D148" s="14"/>
      <c r="E148" s="14"/>
      <c r="F148" s="14"/>
      <c r="G148" s="14"/>
      <c r="H148" s="7">
        <f t="shared" si="44"/>
        <v>6600</v>
      </c>
      <c r="I148" s="8" t="s">
        <v>141</v>
      </c>
      <c r="K148" s="7">
        <v>6000</v>
      </c>
      <c r="M148" s="7">
        <f t="shared" si="45"/>
        <v>600</v>
      </c>
    </row>
    <row r="149" spans="1:14" x14ac:dyDescent="0.25">
      <c r="A149" s="39" t="s">
        <v>142</v>
      </c>
      <c r="B149" s="14">
        <f>10*B17</f>
        <v>1650</v>
      </c>
      <c r="C149" s="14"/>
      <c r="D149" s="14"/>
      <c r="E149" s="14"/>
      <c r="F149" s="14"/>
      <c r="G149" s="14"/>
      <c r="H149" s="7">
        <f t="shared" si="44"/>
        <v>1650</v>
      </c>
      <c r="I149" s="8" t="s">
        <v>143</v>
      </c>
      <c r="K149" s="7">
        <v>1500</v>
      </c>
      <c r="M149" s="7">
        <f t="shared" si="45"/>
        <v>150</v>
      </c>
    </row>
    <row r="150" spans="1:14" x14ac:dyDescent="0.25">
      <c r="A150" s="39" t="s">
        <v>144</v>
      </c>
      <c r="B150" s="7">
        <f>8*B17</f>
        <v>1320</v>
      </c>
      <c r="C150" s="14"/>
      <c r="D150" s="14"/>
      <c r="E150" s="14"/>
      <c r="F150" s="14"/>
      <c r="G150" s="14"/>
      <c r="H150" s="7">
        <f t="shared" si="44"/>
        <v>1320</v>
      </c>
      <c r="I150" s="8" t="s">
        <v>145</v>
      </c>
      <c r="K150" s="7">
        <v>1200</v>
      </c>
      <c r="M150" s="7">
        <f t="shared" si="45"/>
        <v>120</v>
      </c>
    </row>
    <row r="151" spans="1:14" x14ac:dyDescent="0.25">
      <c r="A151" s="39" t="s">
        <v>146</v>
      </c>
      <c r="B151" s="7">
        <f>129*B20</f>
        <v>0</v>
      </c>
      <c r="C151" s="14">
        <f>150*(C20)</f>
        <v>3790.5405405405404</v>
      </c>
      <c r="D151" s="14"/>
      <c r="E151" s="14"/>
      <c r="F151" s="14"/>
      <c r="G151" s="14"/>
      <c r="H151" s="7">
        <f t="shared" si="44"/>
        <v>3790.5405405405404</v>
      </c>
      <c r="I151" s="8" t="s">
        <v>147</v>
      </c>
      <c r="K151" s="7">
        <v>2550</v>
      </c>
      <c r="M151" s="7">
        <f t="shared" si="45"/>
        <v>1240.5405405405404</v>
      </c>
    </row>
    <row r="152" spans="1:14" x14ac:dyDescent="0.25">
      <c r="A152" s="39" t="s">
        <v>148</v>
      </c>
      <c r="B152" s="7">
        <v>7500</v>
      </c>
      <c r="C152" s="7"/>
      <c r="D152" s="7"/>
      <c r="E152" s="7"/>
      <c r="F152" s="7"/>
      <c r="G152" s="7"/>
      <c r="H152" s="7">
        <f t="shared" si="44"/>
        <v>7500</v>
      </c>
      <c r="I152" s="19"/>
      <c r="K152" s="7">
        <v>7500</v>
      </c>
      <c r="M152" s="7">
        <f t="shared" si="45"/>
        <v>0</v>
      </c>
    </row>
    <row r="153" spans="1:14" x14ac:dyDescent="0.25">
      <c r="A153" s="95" t="s">
        <v>149</v>
      </c>
      <c r="B153" s="96">
        <f>45*B17</f>
        <v>7425</v>
      </c>
      <c r="C153" s="7"/>
      <c r="D153" s="7"/>
      <c r="E153" s="7"/>
      <c r="F153" s="7"/>
      <c r="G153" s="7"/>
      <c r="H153" s="7">
        <f t="shared" si="44"/>
        <v>7425</v>
      </c>
      <c r="I153" s="19" t="s">
        <v>150</v>
      </c>
      <c r="K153" s="7">
        <v>6750</v>
      </c>
      <c r="M153" s="7">
        <f t="shared" si="45"/>
        <v>675</v>
      </c>
    </row>
    <row r="154" spans="1:14" x14ac:dyDescent="0.25">
      <c r="A154" s="82" t="s">
        <v>151</v>
      </c>
      <c r="B154" s="83">
        <f>SUM(B144:B153)</f>
        <v>64095</v>
      </c>
      <c r="C154" s="83">
        <f t="shared" ref="C154:G154" si="46">SUM(C144:C153)</f>
        <v>3790.5405405405404</v>
      </c>
      <c r="D154" s="83">
        <f t="shared" si="46"/>
        <v>0</v>
      </c>
      <c r="E154" s="83">
        <f t="shared" si="46"/>
        <v>0</v>
      </c>
      <c r="F154" s="83">
        <f t="shared" si="46"/>
        <v>0</v>
      </c>
      <c r="G154" s="83">
        <f t="shared" si="46"/>
        <v>0</v>
      </c>
      <c r="H154" s="83">
        <f>SUM(H144:H153)</f>
        <v>67885.540540540533</v>
      </c>
      <c r="I154" s="10"/>
      <c r="J154" s="10"/>
      <c r="K154" s="83">
        <v>61500</v>
      </c>
      <c r="L154" s="10"/>
      <c r="M154" s="83">
        <f>SUM(M144:M153)</f>
        <v>6385.54054054054</v>
      </c>
      <c r="N154" s="10"/>
    </row>
    <row r="155" spans="1:14" x14ac:dyDescent="0.25">
      <c r="A155" s="92" t="s">
        <v>152</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(26-27)</v>
      </c>
      <c r="I155" s="10"/>
      <c r="J155" s="10"/>
      <c r="K155" s="24" t="s">
        <v>236</v>
      </c>
      <c r="L155" s="10"/>
      <c r="M155" s="24" t="str">
        <f>M1</f>
        <v>Variance</v>
      </c>
      <c r="N155" s="10"/>
    </row>
    <row r="156" spans="1:14" x14ac:dyDescent="0.25">
      <c r="A156" s="39" t="s">
        <v>153</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154</v>
      </c>
      <c r="B157" s="14">
        <v>0</v>
      </c>
      <c r="C157" s="14">
        <f>425*B17</f>
        <v>70125</v>
      </c>
      <c r="D157" s="7"/>
      <c r="E157" s="7"/>
      <c r="F157" s="7"/>
      <c r="G157" s="7"/>
      <c r="H157" s="7">
        <f t="shared" si="48"/>
        <v>70125</v>
      </c>
      <c r="I157" s="19" t="s">
        <v>155</v>
      </c>
      <c r="K157" s="7">
        <v>63750</v>
      </c>
      <c r="M157" s="7">
        <f t="shared" si="49"/>
        <v>6375</v>
      </c>
    </row>
    <row r="158" spans="1:14" x14ac:dyDescent="0.25">
      <c r="A158" s="39" t="s">
        <v>156</v>
      </c>
      <c r="B158" s="14">
        <f>7500*10</f>
        <v>75000</v>
      </c>
      <c r="C158" s="7"/>
      <c r="D158" s="7"/>
      <c r="E158" s="7"/>
      <c r="F158" s="7"/>
      <c r="G158" s="7"/>
      <c r="H158" s="7">
        <f t="shared" si="48"/>
        <v>75000</v>
      </c>
      <c r="I158" s="19" t="s">
        <v>157</v>
      </c>
      <c r="K158" s="7">
        <v>75000</v>
      </c>
      <c r="M158" s="7">
        <f t="shared" si="49"/>
        <v>0</v>
      </c>
    </row>
    <row r="159" spans="1:14" x14ac:dyDescent="0.25">
      <c r="A159" s="39" t="s">
        <v>158</v>
      </c>
      <c r="B159" s="14">
        <v>50000</v>
      </c>
      <c r="C159" s="7"/>
      <c r="D159" s="7"/>
      <c r="E159" s="7"/>
      <c r="F159" s="7"/>
      <c r="G159" s="7"/>
      <c r="H159" s="7">
        <f t="shared" si="48"/>
        <v>50000</v>
      </c>
      <c r="I159" s="19"/>
      <c r="K159" s="7">
        <v>50000</v>
      </c>
      <c r="M159" s="7">
        <f t="shared" si="49"/>
        <v>0</v>
      </c>
    </row>
    <row r="160" spans="1:14" x14ac:dyDescent="0.25">
      <c r="A160" s="39" t="s">
        <v>159</v>
      </c>
      <c r="B160" s="14">
        <f>(495*1.03*1.015)*B17</f>
        <v>85387.128750000003</v>
      </c>
      <c r="C160" s="7"/>
      <c r="D160" s="7"/>
      <c r="E160" s="7"/>
      <c r="F160" s="7"/>
      <c r="G160" s="7"/>
      <c r="H160" s="7">
        <f t="shared" si="48"/>
        <v>85387.128750000003</v>
      </c>
      <c r="I160" s="19" t="s">
        <v>160</v>
      </c>
      <c r="K160" s="7">
        <v>74250</v>
      </c>
      <c r="M160" s="7">
        <f t="shared" si="49"/>
        <v>11137.128750000003</v>
      </c>
    </row>
    <row r="161" spans="1:14" x14ac:dyDescent="0.25">
      <c r="A161" s="39" t="s">
        <v>161</v>
      </c>
      <c r="B161" s="14">
        <f>'25-26'!B161*1.05</f>
        <v>7511.3325000000004</v>
      </c>
      <c r="C161" s="14"/>
      <c r="D161" s="14"/>
      <c r="E161" s="14"/>
      <c r="F161" s="14"/>
      <c r="G161" s="14">
        <f>(240*G65)</f>
        <v>0</v>
      </c>
      <c r="H161" s="7">
        <f t="shared" si="48"/>
        <v>7511.3325000000004</v>
      </c>
      <c r="I161" s="19" t="s">
        <v>162</v>
      </c>
      <c r="K161" s="7">
        <v>7153.6500000000005</v>
      </c>
      <c r="M161" s="7">
        <f t="shared" si="49"/>
        <v>357.68249999999989</v>
      </c>
    </row>
    <row r="162" spans="1:14" x14ac:dyDescent="0.25">
      <c r="A162" s="39" t="s">
        <v>163</v>
      </c>
      <c r="B162" s="14">
        <f>'25-26'!B162*1.05</f>
        <v>33075</v>
      </c>
      <c r="C162" s="7"/>
      <c r="D162" s="7"/>
      <c r="E162" s="7"/>
      <c r="F162" s="7"/>
      <c r="G162" s="7"/>
      <c r="H162" s="7">
        <f t="shared" si="48"/>
        <v>33075</v>
      </c>
      <c r="I162" s="19" t="s">
        <v>164</v>
      </c>
      <c r="K162" s="7">
        <v>31500</v>
      </c>
      <c r="M162" s="7">
        <f t="shared" si="49"/>
        <v>1575</v>
      </c>
    </row>
    <row r="163" spans="1:14" x14ac:dyDescent="0.25">
      <c r="A163" s="39" t="s">
        <v>165</v>
      </c>
      <c r="B163" s="7">
        <f>20000</f>
        <v>20000</v>
      </c>
      <c r="C163" s="7"/>
      <c r="D163" s="7"/>
      <c r="E163" s="7"/>
      <c r="F163" s="7"/>
      <c r="G163" s="7"/>
      <c r="H163" s="7">
        <f t="shared" si="48"/>
        <v>20000</v>
      </c>
      <c r="I163" s="19"/>
      <c r="K163" s="7">
        <v>20000</v>
      </c>
      <c r="M163" s="7">
        <f t="shared" si="49"/>
        <v>0</v>
      </c>
    </row>
    <row r="164" spans="1:14" x14ac:dyDescent="0.25">
      <c r="A164" s="39" t="s">
        <v>166</v>
      </c>
      <c r="B164" s="14">
        <f>48*B17+(60*12)</f>
        <v>8640</v>
      </c>
      <c r="C164" s="7"/>
      <c r="D164" s="7"/>
      <c r="E164" s="7"/>
      <c r="F164" s="7"/>
      <c r="G164" s="7"/>
      <c r="H164" s="7">
        <f t="shared" si="48"/>
        <v>8640</v>
      </c>
      <c r="I164" s="19" t="s">
        <v>167</v>
      </c>
      <c r="K164" s="7">
        <v>7920</v>
      </c>
      <c r="M164" s="7">
        <f t="shared" si="49"/>
        <v>720</v>
      </c>
    </row>
    <row r="165" spans="1:14" x14ac:dyDescent="0.25">
      <c r="A165" s="39" t="s">
        <v>168</v>
      </c>
      <c r="B165" s="14">
        <v>15000</v>
      </c>
      <c r="C165" s="7"/>
      <c r="D165" s="7"/>
      <c r="E165" s="7"/>
      <c r="F165" s="7"/>
      <c r="G165" s="7"/>
      <c r="H165" s="7">
        <f t="shared" si="48"/>
        <v>15000</v>
      </c>
      <c r="I165" s="19"/>
      <c r="K165" s="7">
        <v>15000</v>
      </c>
      <c r="M165" s="7">
        <f t="shared" si="49"/>
        <v>0</v>
      </c>
    </row>
    <row r="166" spans="1:14" x14ac:dyDescent="0.25">
      <c r="A166" s="39" t="s">
        <v>169</v>
      </c>
      <c r="B166" s="14">
        <f>(B74+B75+B76+B77)*0.0125</f>
        <v>23776.314562922296</v>
      </c>
      <c r="C166" s="7"/>
      <c r="D166" s="7"/>
      <c r="E166" s="7"/>
      <c r="F166" s="7"/>
      <c r="G166" s="7"/>
      <c r="H166" s="7">
        <f t="shared" si="48"/>
        <v>23776.314562922296</v>
      </c>
      <c r="I166" s="97">
        <v>1.2500000000000001E-2</v>
      </c>
      <c r="J166" s="98"/>
      <c r="K166" s="7">
        <v>20740.738374999997</v>
      </c>
      <c r="L166" s="98"/>
      <c r="M166" s="7">
        <f t="shared" si="49"/>
        <v>3035.5761879222991</v>
      </c>
      <c r="N166" s="98"/>
    </row>
    <row r="167" spans="1:14" x14ac:dyDescent="0.25">
      <c r="A167" s="39" t="s">
        <v>170</v>
      </c>
      <c r="B167" s="14">
        <v>0</v>
      </c>
      <c r="C167" s="7"/>
      <c r="D167" s="7"/>
      <c r="E167" s="7"/>
      <c r="F167" s="7"/>
      <c r="G167" s="7"/>
      <c r="H167" s="7">
        <f t="shared" si="48"/>
        <v>0</v>
      </c>
      <c r="I167" s="97" t="s">
        <v>171</v>
      </c>
      <c r="J167" s="98"/>
      <c r="K167" s="7">
        <v>0</v>
      </c>
      <c r="L167" s="98"/>
      <c r="M167" s="7">
        <f t="shared" si="49"/>
        <v>0</v>
      </c>
      <c r="N167" s="98"/>
    </row>
    <row r="168" spans="1:14" x14ac:dyDescent="0.25">
      <c r="A168" s="39" t="s">
        <v>172</v>
      </c>
      <c r="B168" s="14">
        <v>0</v>
      </c>
      <c r="C168" s="7"/>
      <c r="D168" s="7"/>
      <c r="E168" s="7"/>
      <c r="F168" s="7"/>
      <c r="G168" s="7"/>
      <c r="H168" s="7">
        <f t="shared" si="48"/>
        <v>0</v>
      </c>
      <c r="I168" s="97" t="s">
        <v>173</v>
      </c>
      <c r="J168" s="98"/>
      <c r="K168" s="7">
        <v>0</v>
      </c>
      <c r="L168" s="98"/>
      <c r="M168" s="7">
        <f t="shared" si="49"/>
        <v>0</v>
      </c>
      <c r="N168" s="98"/>
    </row>
    <row r="169" spans="1:14" x14ac:dyDescent="0.25">
      <c r="A169" s="95" t="s">
        <v>174</v>
      </c>
      <c r="B169" s="14">
        <f>B74*0.005</f>
        <v>8119.5396974999994</v>
      </c>
      <c r="C169" s="7"/>
      <c r="D169" s="7"/>
      <c r="E169" s="7"/>
      <c r="F169" s="7"/>
      <c r="G169" s="7">
        <f>G86+G87</f>
        <v>11120.71</v>
      </c>
      <c r="H169" s="7">
        <f t="shared" si="48"/>
        <v>19240.249697499999</v>
      </c>
      <c r="I169" s="97"/>
      <c r="J169" s="98"/>
      <c r="K169" s="7">
        <v>18287.1175</v>
      </c>
      <c r="L169" s="98"/>
      <c r="M169" s="7">
        <f t="shared" si="49"/>
        <v>953.13219749999917</v>
      </c>
      <c r="N169" s="98"/>
    </row>
    <row r="170" spans="1:14" x14ac:dyDescent="0.25">
      <c r="A170" s="82" t="s">
        <v>175</v>
      </c>
      <c r="B170" s="83">
        <f>SUM(B156:B169)</f>
        <v>336509.31551042228</v>
      </c>
      <c r="C170" s="83">
        <f t="shared" ref="C170:G170" si="50">SUM(C156:C169)</f>
        <v>70125</v>
      </c>
      <c r="D170" s="83">
        <f t="shared" si="50"/>
        <v>0</v>
      </c>
      <c r="E170" s="83">
        <f t="shared" si="50"/>
        <v>0</v>
      </c>
      <c r="F170" s="83">
        <f t="shared" si="50"/>
        <v>0</v>
      </c>
      <c r="G170" s="83">
        <f t="shared" si="50"/>
        <v>11120.71</v>
      </c>
      <c r="H170" s="83">
        <f>SUM(H156:H169)</f>
        <v>417755.02551042236</v>
      </c>
      <c r="I170" s="10"/>
      <c r="J170" s="10"/>
      <c r="K170" s="83">
        <v>393601.50587500003</v>
      </c>
      <c r="L170" s="10"/>
      <c r="M170" s="83">
        <f>SUM(M156:M169)</f>
        <v>24153.519635422301</v>
      </c>
      <c r="N170" s="10"/>
    </row>
    <row r="171" spans="1:14" x14ac:dyDescent="0.25">
      <c r="A171" s="92" t="s">
        <v>176</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(26-27)</v>
      </c>
      <c r="I171" s="10"/>
      <c r="J171" s="10"/>
      <c r="K171" s="24" t="s">
        <v>236</v>
      </c>
      <c r="L171" s="10"/>
      <c r="M171" s="24" t="str">
        <f t="shared" ref="M171" si="52">M1</f>
        <v>Variance</v>
      </c>
      <c r="N171" s="10"/>
    </row>
    <row r="172" spans="1:14" x14ac:dyDescent="0.25">
      <c r="A172" s="99" t="s">
        <v>177</v>
      </c>
      <c r="B172" s="14">
        <f>'25-26'!B172*1.05</f>
        <v>3153.15</v>
      </c>
      <c r="C172" s="7"/>
      <c r="D172" s="7"/>
      <c r="E172" s="7"/>
      <c r="F172" s="7"/>
      <c r="G172" s="7"/>
      <c r="H172" s="7">
        <f t="shared" ref="H172:H196" si="53">SUM(B172:G172)</f>
        <v>3153.15</v>
      </c>
      <c r="I172" s="19" t="s">
        <v>178</v>
      </c>
      <c r="K172" s="7">
        <v>3003</v>
      </c>
      <c r="M172" s="7">
        <f t="shared" si="49"/>
        <v>150.15000000000009</v>
      </c>
    </row>
    <row r="173" spans="1:14" x14ac:dyDescent="0.25">
      <c r="A173" s="39" t="s">
        <v>179</v>
      </c>
      <c r="B173" s="14">
        <f>'25-26'!B173*1.05</f>
        <v>4299.75</v>
      </c>
      <c r="C173" s="7"/>
      <c r="D173" s="7"/>
      <c r="E173" s="7"/>
      <c r="F173" s="7"/>
      <c r="G173" s="7"/>
      <c r="H173" s="7">
        <f t="shared" si="53"/>
        <v>4299.75</v>
      </c>
      <c r="I173" s="19" t="s">
        <v>178</v>
      </c>
      <c r="K173" s="7">
        <v>4095</v>
      </c>
      <c r="M173" s="7">
        <f t="shared" si="49"/>
        <v>204.75</v>
      </c>
    </row>
    <row r="174" spans="1:14" x14ac:dyDescent="0.25">
      <c r="A174" s="39" t="s">
        <v>180</v>
      </c>
      <c r="B174" s="96"/>
      <c r="C174" s="7"/>
      <c r="D174" s="7"/>
      <c r="E174" s="7"/>
      <c r="F174" s="7"/>
      <c r="G174" s="7"/>
      <c r="H174" s="7">
        <f t="shared" si="53"/>
        <v>0</v>
      </c>
      <c r="I174" s="19"/>
      <c r="K174" s="7">
        <v>0</v>
      </c>
      <c r="M174" s="7">
        <f t="shared" si="49"/>
        <v>0</v>
      </c>
    </row>
    <row r="175" spans="1:14" x14ac:dyDescent="0.25">
      <c r="A175" s="39" t="s">
        <v>181</v>
      </c>
      <c r="B175" s="96">
        <v>2000</v>
      </c>
      <c r="C175" s="7"/>
      <c r="D175" s="7"/>
      <c r="E175" s="7"/>
      <c r="F175" s="7"/>
      <c r="G175" s="7"/>
      <c r="H175" s="7">
        <f t="shared" si="53"/>
        <v>2000</v>
      </c>
      <c r="I175" s="19"/>
      <c r="K175" s="7">
        <v>2000</v>
      </c>
      <c r="M175" s="7">
        <f t="shared" si="49"/>
        <v>0</v>
      </c>
    </row>
    <row r="176" spans="1:14" x14ac:dyDescent="0.25">
      <c r="A176" s="39" t="s">
        <v>182</v>
      </c>
      <c r="B176" s="14">
        <f>'25-26'!B176*1.05</f>
        <v>6063.75</v>
      </c>
      <c r="C176" s="7"/>
      <c r="D176" s="7"/>
      <c r="E176" s="7"/>
      <c r="F176" s="7"/>
      <c r="G176" s="7"/>
      <c r="H176" s="7">
        <f t="shared" si="53"/>
        <v>6063.75</v>
      </c>
      <c r="I176" s="19"/>
      <c r="K176" s="7">
        <v>5775</v>
      </c>
      <c r="M176" s="7">
        <f t="shared" si="49"/>
        <v>288.75</v>
      </c>
    </row>
    <row r="177" spans="1:14" x14ac:dyDescent="0.25">
      <c r="A177" s="39" t="s">
        <v>183</v>
      </c>
      <c r="B177" s="14">
        <f>'25-26'!B177*1.05</f>
        <v>16537.5</v>
      </c>
      <c r="C177" s="7"/>
      <c r="D177" s="7"/>
      <c r="E177" s="7"/>
      <c r="F177" s="7"/>
      <c r="G177" s="7"/>
      <c r="H177" s="7">
        <f t="shared" si="53"/>
        <v>16537.5</v>
      </c>
      <c r="I177" s="19"/>
      <c r="K177" s="7">
        <v>15750</v>
      </c>
      <c r="M177" s="7">
        <f t="shared" si="49"/>
        <v>787.5</v>
      </c>
    </row>
    <row r="178" spans="1:14" x14ac:dyDescent="0.25">
      <c r="A178" s="39" t="s">
        <v>184</v>
      </c>
      <c r="B178" s="87">
        <f>8500+(B17*2.4)</f>
        <v>8896</v>
      </c>
      <c r="C178" s="7"/>
      <c r="D178" s="7"/>
      <c r="E178" s="7"/>
      <c r="F178" s="7"/>
      <c r="G178" s="7"/>
      <c r="H178" s="7">
        <f t="shared" si="53"/>
        <v>8896</v>
      </c>
      <c r="I178" s="19"/>
      <c r="K178" s="7">
        <v>8860</v>
      </c>
      <c r="M178" s="7">
        <f t="shared" si="49"/>
        <v>36</v>
      </c>
    </row>
    <row r="179" spans="1:14" x14ac:dyDescent="0.25">
      <c r="A179" s="39" t="s">
        <v>185</v>
      </c>
      <c r="B179" s="14">
        <f>'25-26'!B179*1.1</f>
        <v>13863.696000000002</v>
      </c>
      <c r="C179" s="7"/>
      <c r="D179" s="7"/>
      <c r="E179" s="7"/>
      <c r="F179" s="7"/>
      <c r="G179" s="7"/>
      <c r="H179" s="7">
        <f t="shared" si="53"/>
        <v>13863.696000000002</v>
      </c>
      <c r="I179" s="19"/>
      <c r="K179" s="7">
        <v>12603.36</v>
      </c>
      <c r="M179" s="7">
        <f t="shared" si="49"/>
        <v>1260.3360000000011</v>
      </c>
    </row>
    <row r="180" spans="1:14" x14ac:dyDescent="0.25">
      <c r="A180" s="39" t="s">
        <v>186</v>
      </c>
      <c r="B180" s="14">
        <f>'25-26'!B180*1.1</f>
        <v>12130.734000000004</v>
      </c>
      <c r="C180" s="7"/>
      <c r="D180" s="7"/>
      <c r="E180" s="7"/>
      <c r="F180" s="7"/>
      <c r="G180" s="7"/>
      <c r="H180" s="7">
        <f t="shared" si="53"/>
        <v>12130.734000000004</v>
      </c>
      <c r="I180" s="19"/>
      <c r="K180" s="7">
        <v>11027.940000000002</v>
      </c>
      <c r="M180" s="7">
        <f t="shared" si="49"/>
        <v>1102.7940000000017</v>
      </c>
    </row>
    <row r="181" spans="1:14" x14ac:dyDescent="0.25">
      <c r="A181" s="39" t="s">
        <v>187</v>
      </c>
      <c r="B181" s="14">
        <f>'25-26'!B181*1.1</f>
        <v>17329.620000000003</v>
      </c>
      <c r="C181" s="7"/>
      <c r="D181" s="7"/>
      <c r="E181" s="7"/>
      <c r="F181" s="7"/>
      <c r="G181" s="7"/>
      <c r="H181" s="7">
        <f t="shared" si="53"/>
        <v>17329.620000000003</v>
      </c>
      <c r="I181" s="19"/>
      <c r="K181" s="7">
        <v>15754.200000000003</v>
      </c>
      <c r="M181" s="7">
        <f t="shared" si="49"/>
        <v>1575.42</v>
      </c>
    </row>
    <row r="182" spans="1:14" x14ac:dyDescent="0.25">
      <c r="A182" s="39" t="s">
        <v>188</v>
      </c>
      <c r="B182" s="14"/>
      <c r="C182" s="14"/>
      <c r="D182" s="14">
        <f>((B17*D23)*2.4*180)</f>
        <v>71280</v>
      </c>
      <c r="E182" s="7"/>
      <c r="F182" s="7"/>
      <c r="G182" s="7"/>
      <c r="H182" s="7">
        <f t="shared" si="53"/>
        <v>71280</v>
      </c>
      <c r="I182" s="69">
        <v>2.4</v>
      </c>
      <c r="J182" s="100"/>
      <c r="K182" s="7">
        <v>64800</v>
      </c>
      <c r="L182" s="100"/>
      <c r="M182" s="7">
        <f t="shared" si="49"/>
        <v>6480</v>
      </c>
      <c r="N182" s="100"/>
    </row>
    <row r="183" spans="1:14" x14ac:dyDescent="0.25">
      <c r="A183" s="39" t="s">
        <v>189</v>
      </c>
      <c r="B183" s="14"/>
      <c r="C183" s="14"/>
      <c r="D183" s="14">
        <f>((B17*D23)*3.75*180)</f>
        <v>111375</v>
      </c>
      <c r="E183" s="7"/>
      <c r="F183" s="7"/>
      <c r="G183" s="7"/>
      <c r="H183" s="7">
        <f t="shared" si="53"/>
        <v>111375</v>
      </c>
      <c r="I183" s="69">
        <v>3.75</v>
      </c>
      <c r="J183" s="100"/>
      <c r="K183" s="7">
        <v>101250</v>
      </c>
      <c r="L183" s="100"/>
      <c r="M183" s="7">
        <f t="shared" si="49"/>
        <v>10125</v>
      </c>
      <c r="N183" s="100"/>
    </row>
    <row r="184" spans="1:14" x14ac:dyDescent="0.25">
      <c r="A184" s="39" t="s">
        <v>190</v>
      </c>
      <c r="B184" s="14">
        <v>5000</v>
      </c>
      <c r="C184" s="14"/>
      <c r="D184" s="14"/>
      <c r="E184" s="7"/>
      <c r="F184" s="7"/>
      <c r="G184" s="7"/>
      <c r="H184" s="7">
        <f t="shared" si="53"/>
        <v>5000</v>
      </c>
      <c r="I184" s="19"/>
      <c r="K184" s="7">
        <v>5000</v>
      </c>
      <c r="M184" s="7">
        <f t="shared" si="49"/>
        <v>0</v>
      </c>
    </row>
    <row r="185" spans="1:14" x14ac:dyDescent="0.25">
      <c r="A185" s="39" t="s">
        <v>191</v>
      </c>
      <c r="B185" s="7">
        <v>5500</v>
      </c>
      <c r="C185" s="7"/>
      <c r="D185" s="7"/>
      <c r="E185" s="7"/>
      <c r="F185" s="7"/>
      <c r="G185" s="7">
        <f>G88</f>
        <v>5400.25</v>
      </c>
      <c r="H185" s="7">
        <f t="shared" si="53"/>
        <v>10900.25</v>
      </c>
      <c r="I185" s="19"/>
      <c r="K185" s="7">
        <v>10900.25</v>
      </c>
      <c r="M185" s="7">
        <f t="shared" si="49"/>
        <v>0</v>
      </c>
    </row>
    <row r="186" spans="1:14" x14ac:dyDescent="0.25">
      <c r="A186" s="39" t="s">
        <v>192</v>
      </c>
      <c r="B186" s="7">
        <f>60*15</f>
        <v>900</v>
      </c>
      <c r="C186" s="7">
        <v>0</v>
      </c>
      <c r="D186" s="7">
        <v>0</v>
      </c>
      <c r="E186" s="7"/>
      <c r="F186" s="7"/>
      <c r="G186" s="7"/>
      <c r="H186" s="7">
        <f t="shared" si="53"/>
        <v>900</v>
      </c>
      <c r="I186" s="19"/>
      <c r="K186" s="7">
        <v>900</v>
      </c>
      <c r="M186" s="7">
        <f t="shared" si="49"/>
        <v>0</v>
      </c>
    </row>
    <row r="187" spans="1:14" x14ac:dyDescent="0.25">
      <c r="A187" s="39" t="s">
        <v>193</v>
      </c>
      <c r="B187" s="14">
        <v>6500</v>
      </c>
      <c r="C187" s="7"/>
      <c r="D187" s="7"/>
      <c r="E187" s="7"/>
      <c r="F187" s="7"/>
      <c r="G187" s="7"/>
      <c r="H187" s="7">
        <f t="shared" si="53"/>
        <v>6500</v>
      </c>
      <c r="I187" s="19"/>
      <c r="K187" s="7">
        <v>6500</v>
      </c>
      <c r="M187" s="7">
        <f t="shared" si="49"/>
        <v>0</v>
      </c>
    </row>
    <row r="188" spans="1:14" x14ac:dyDescent="0.25">
      <c r="A188" s="39" t="s">
        <v>194</v>
      </c>
      <c r="B188" s="14">
        <v>0</v>
      </c>
      <c r="C188" s="7"/>
      <c r="D188" s="7"/>
      <c r="E188" s="7"/>
      <c r="F188" s="7"/>
      <c r="G188" s="7"/>
      <c r="H188" s="7">
        <f t="shared" si="53"/>
        <v>0</v>
      </c>
      <c r="I188" s="19"/>
      <c r="K188" s="7">
        <v>0</v>
      </c>
      <c r="M188" s="7">
        <f t="shared" si="49"/>
        <v>0</v>
      </c>
    </row>
    <row r="189" spans="1:14" x14ac:dyDescent="0.25">
      <c r="A189" s="39" t="s">
        <v>195</v>
      </c>
      <c r="B189" s="14">
        <v>0</v>
      </c>
      <c r="C189" s="7"/>
      <c r="D189" s="7"/>
      <c r="E189" s="7"/>
      <c r="F189" s="7"/>
      <c r="G189" s="7"/>
      <c r="H189" s="7">
        <f t="shared" si="53"/>
        <v>0</v>
      </c>
      <c r="I189" s="19"/>
      <c r="K189" s="7">
        <v>0</v>
      </c>
      <c r="M189" s="7">
        <f t="shared" si="49"/>
        <v>0</v>
      </c>
    </row>
    <row r="190" spans="1:14" x14ac:dyDescent="0.25">
      <c r="A190" s="39" t="s">
        <v>196</v>
      </c>
      <c r="B190" s="14">
        <v>0</v>
      </c>
      <c r="C190" s="7"/>
      <c r="D190" s="7"/>
      <c r="E190" s="7"/>
      <c r="F190" s="7"/>
      <c r="G190" s="7"/>
      <c r="H190" s="7">
        <f t="shared" si="53"/>
        <v>0</v>
      </c>
      <c r="I190" s="19"/>
      <c r="K190" s="7">
        <v>0</v>
      </c>
      <c r="M190" s="7">
        <f t="shared" si="49"/>
        <v>0</v>
      </c>
    </row>
    <row r="191" spans="1:14" x14ac:dyDescent="0.25">
      <c r="A191" s="39" t="s">
        <v>197</v>
      </c>
      <c r="B191" s="14">
        <v>0</v>
      </c>
      <c r="C191" s="14"/>
      <c r="D191" s="14"/>
      <c r="E191" s="14"/>
      <c r="F191" s="14"/>
      <c r="G191" s="14"/>
      <c r="H191" s="7">
        <f t="shared" si="53"/>
        <v>0</v>
      </c>
      <c r="I191" s="19"/>
      <c r="K191" s="7">
        <v>0</v>
      </c>
      <c r="M191" s="7">
        <f t="shared" si="49"/>
        <v>0</v>
      </c>
    </row>
    <row r="192" spans="1:14" x14ac:dyDescent="0.25">
      <c r="A192" s="39" t="s">
        <v>198</v>
      </c>
      <c r="B192" s="14"/>
      <c r="C192" s="14"/>
      <c r="D192" s="14"/>
      <c r="E192" s="14"/>
      <c r="F192" s="14"/>
      <c r="G192" s="14"/>
      <c r="H192" s="7">
        <f t="shared" si="53"/>
        <v>0</v>
      </c>
      <c r="I192" s="19"/>
      <c r="K192" s="7">
        <v>0</v>
      </c>
      <c r="M192" s="7">
        <f t="shared" si="49"/>
        <v>0</v>
      </c>
    </row>
    <row r="193" spans="1:14" x14ac:dyDescent="0.25">
      <c r="A193" s="39" t="s">
        <v>199</v>
      </c>
      <c r="B193" s="14"/>
      <c r="C193" s="14"/>
      <c r="D193" s="14"/>
      <c r="E193" s="14"/>
      <c r="F193" s="14"/>
      <c r="G193" s="14"/>
      <c r="H193" s="7">
        <f t="shared" si="53"/>
        <v>0</v>
      </c>
      <c r="I193" s="19"/>
      <c r="K193" s="7">
        <v>0</v>
      </c>
      <c r="M193" s="7">
        <f t="shared" si="49"/>
        <v>0</v>
      </c>
    </row>
    <row r="194" spans="1:14" x14ac:dyDescent="0.25">
      <c r="A194" s="39" t="s">
        <v>200</v>
      </c>
      <c r="B194" s="14"/>
      <c r="C194" s="14"/>
      <c r="D194" s="14"/>
      <c r="E194" s="14"/>
      <c r="F194" s="14"/>
      <c r="G194" s="14"/>
      <c r="H194" s="7">
        <f t="shared" si="53"/>
        <v>0</v>
      </c>
      <c r="I194" s="19"/>
      <c r="K194" s="7">
        <v>0</v>
      </c>
      <c r="M194" s="7"/>
    </row>
    <row r="195" spans="1:14" x14ac:dyDescent="0.25">
      <c r="A195" s="39" t="s">
        <v>201</v>
      </c>
      <c r="B195" s="14">
        <v>5000</v>
      </c>
      <c r="C195" s="14"/>
      <c r="D195" s="14"/>
      <c r="E195" s="14"/>
      <c r="F195" s="14"/>
      <c r="G195" s="14"/>
      <c r="H195" s="7">
        <f t="shared" si="53"/>
        <v>5000</v>
      </c>
      <c r="I195" s="19"/>
      <c r="K195" s="7">
        <v>5000</v>
      </c>
      <c r="M195" s="7">
        <f t="shared" si="49"/>
        <v>0</v>
      </c>
    </row>
    <row r="196" spans="1:14" x14ac:dyDescent="0.25">
      <c r="A196" s="95" t="s">
        <v>202</v>
      </c>
      <c r="B196" s="7">
        <f>((B2*B3)*0)+0</f>
        <v>0</v>
      </c>
      <c r="C196" s="7"/>
      <c r="D196" s="7"/>
      <c r="E196" s="7"/>
      <c r="F196" s="7"/>
      <c r="G196" s="7"/>
      <c r="H196" s="7">
        <f t="shared" si="53"/>
        <v>0</v>
      </c>
      <c r="I196" s="102" t="s">
        <v>203</v>
      </c>
      <c r="J196" s="65"/>
      <c r="K196" s="7">
        <v>0</v>
      </c>
      <c r="L196" s="65"/>
      <c r="M196" s="7">
        <f t="shared" si="49"/>
        <v>0</v>
      </c>
      <c r="N196" s="65"/>
    </row>
    <row r="197" spans="1:14" x14ac:dyDescent="0.25">
      <c r="A197" s="82" t="s">
        <v>204</v>
      </c>
      <c r="B197" s="83">
        <f>SUM(B172:B196)</f>
        <v>107174.20000000001</v>
      </c>
      <c r="C197" s="83">
        <f t="shared" ref="C197:H197" si="54">SUM(C172:C196)</f>
        <v>0</v>
      </c>
      <c r="D197" s="83">
        <f t="shared" si="54"/>
        <v>182655</v>
      </c>
      <c r="E197" s="83">
        <f t="shared" si="54"/>
        <v>0</v>
      </c>
      <c r="F197" s="83">
        <f t="shared" si="54"/>
        <v>0</v>
      </c>
      <c r="G197" s="83">
        <f t="shared" si="54"/>
        <v>5400.25</v>
      </c>
      <c r="H197" s="83">
        <f t="shared" si="54"/>
        <v>295229.45</v>
      </c>
      <c r="I197" s="10"/>
      <c r="J197" s="10"/>
      <c r="K197" s="83">
        <v>273218.75</v>
      </c>
      <c r="L197" s="10"/>
      <c r="M197" s="83">
        <f t="shared" ref="M197" si="55">SUM(M172:M196)</f>
        <v>22010.700000000004</v>
      </c>
      <c r="N197" s="10"/>
    </row>
    <row r="198" spans="1:14" x14ac:dyDescent="0.25">
      <c r="A198" s="92" t="s">
        <v>205</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(26-27)</v>
      </c>
      <c r="I198" s="10"/>
      <c r="J198" s="10"/>
      <c r="K198" s="24" t="s">
        <v>236</v>
      </c>
      <c r="L198" s="10"/>
      <c r="M198" s="24" t="str">
        <f t="shared" ref="M198" si="57">M1</f>
        <v>Variance</v>
      </c>
      <c r="N198" s="10"/>
    </row>
    <row r="199" spans="1:14" x14ac:dyDescent="0.25">
      <c r="A199" s="99" t="s">
        <v>206</v>
      </c>
      <c r="B199" s="14">
        <f>'25-26'!B199*1.03</f>
        <v>47316.14</v>
      </c>
      <c r="C199" s="7"/>
      <c r="D199" s="7"/>
      <c r="E199" s="7"/>
      <c r="F199" s="7"/>
      <c r="G199" s="7"/>
      <c r="H199" s="7">
        <f t="shared" ref="H199:H208" si="58">SUM(B199:G199)</f>
        <v>47316.14</v>
      </c>
      <c r="I199" s="8"/>
      <c r="J199" s="9"/>
      <c r="K199" s="7">
        <v>45938</v>
      </c>
      <c r="L199" s="9"/>
      <c r="M199" s="7">
        <f t="shared" ref="M199:M220" si="59">H199-K199</f>
        <v>1378.1399999999994</v>
      </c>
      <c r="N199" s="9"/>
    </row>
    <row r="200" spans="1:14" x14ac:dyDescent="0.25">
      <c r="A200" s="39" t="s">
        <v>207</v>
      </c>
      <c r="B200" s="14">
        <f>'25-26'!B200*1.03</f>
        <v>1909.6200000000001</v>
      </c>
      <c r="C200" s="7"/>
      <c r="D200" s="7"/>
      <c r="E200" s="7"/>
      <c r="F200" s="7"/>
      <c r="G200" s="7"/>
      <c r="H200" s="7">
        <f t="shared" si="58"/>
        <v>1909.6200000000001</v>
      </c>
      <c r="I200" s="8" t="s">
        <v>208</v>
      </c>
      <c r="K200" s="7">
        <v>1854</v>
      </c>
      <c r="M200" s="7">
        <f t="shared" si="59"/>
        <v>55.620000000000118</v>
      </c>
    </row>
    <row r="201" spans="1:14" x14ac:dyDescent="0.25">
      <c r="A201" s="39" t="s">
        <v>209</v>
      </c>
      <c r="B201" s="14">
        <f>'25-26'!B201*1.03</f>
        <v>11245.54</v>
      </c>
      <c r="C201" s="7"/>
      <c r="D201" s="7"/>
      <c r="E201" s="7"/>
      <c r="F201" s="7"/>
      <c r="G201" s="7"/>
      <c r="H201" s="7">
        <f t="shared" si="58"/>
        <v>11245.54</v>
      </c>
      <c r="I201" s="19"/>
      <c r="K201" s="7">
        <v>10918</v>
      </c>
      <c r="M201" s="7">
        <f t="shared" si="59"/>
        <v>327.54000000000087</v>
      </c>
    </row>
    <row r="202" spans="1:14" x14ac:dyDescent="0.25">
      <c r="A202" s="39" t="s">
        <v>210</v>
      </c>
      <c r="B202" s="14">
        <f>'25-26'!B202*1.03</f>
        <v>4243.6000000000004</v>
      </c>
      <c r="C202" s="7"/>
      <c r="D202" s="7"/>
      <c r="E202" s="7"/>
      <c r="F202" s="7"/>
      <c r="G202" s="7"/>
      <c r="H202" s="7">
        <f t="shared" si="58"/>
        <v>4243.6000000000004</v>
      </c>
      <c r="I202" s="19"/>
      <c r="K202" s="7">
        <v>4120</v>
      </c>
      <c r="M202" s="7">
        <f t="shared" si="59"/>
        <v>123.60000000000036</v>
      </c>
    </row>
    <row r="203" spans="1:14" x14ac:dyDescent="0.25">
      <c r="A203" s="39" t="s">
        <v>211</v>
      </c>
      <c r="B203" s="14">
        <f>'25-26'!B203*1.03</f>
        <v>1060.9000000000001</v>
      </c>
      <c r="C203" s="7"/>
      <c r="D203" s="7"/>
      <c r="E203" s="7"/>
      <c r="F203" s="7"/>
      <c r="G203" s="7"/>
      <c r="H203" s="7">
        <f t="shared" si="58"/>
        <v>1060.9000000000001</v>
      </c>
      <c r="I203" s="19"/>
      <c r="K203" s="7">
        <v>1030</v>
      </c>
      <c r="M203" s="7">
        <f t="shared" si="59"/>
        <v>30.900000000000091</v>
      </c>
    </row>
    <row r="204" spans="1:14" x14ac:dyDescent="0.25">
      <c r="A204" s="39" t="s">
        <v>212</v>
      </c>
      <c r="B204" s="14">
        <f>'25-26'!B204*1.03</f>
        <v>13801.248100000001</v>
      </c>
      <c r="C204" s="7"/>
      <c r="D204" s="7"/>
      <c r="E204" s="7"/>
      <c r="F204" s="7"/>
      <c r="G204" s="7"/>
      <c r="H204" s="7">
        <f t="shared" si="58"/>
        <v>13801.248100000001</v>
      </c>
      <c r="I204" s="19" t="s">
        <v>213</v>
      </c>
      <c r="K204" s="7">
        <v>13399.27</v>
      </c>
      <c r="M204" s="7">
        <f t="shared" si="59"/>
        <v>401.97810000000027</v>
      </c>
    </row>
    <row r="205" spans="1:14" x14ac:dyDescent="0.25">
      <c r="A205" s="39" t="s">
        <v>214</v>
      </c>
      <c r="B205" s="14">
        <f>17000+3000</f>
        <v>20000</v>
      </c>
      <c r="C205" s="7"/>
      <c r="D205" s="7"/>
      <c r="E205" s="7"/>
      <c r="F205" s="7"/>
      <c r="G205" s="7"/>
      <c r="H205" s="7">
        <f t="shared" si="58"/>
        <v>20000</v>
      </c>
      <c r="I205" s="19"/>
      <c r="K205" s="7">
        <v>20000</v>
      </c>
      <c r="M205" s="7">
        <f t="shared" si="59"/>
        <v>0</v>
      </c>
    </row>
    <row r="206" spans="1:14" x14ac:dyDescent="0.25">
      <c r="A206" s="39" t="s">
        <v>215</v>
      </c>
      <c r="B206" s="7">
        <v>0</v>
      </c>
      <c r="C206" s="7"/>
      <c r="D206" s="7"/>
      <c r="E206" s="7"/>
      <c r="F206" s="7"/>
      <c r="G206" s="7"/>
      <c r="H206" s="7">
        <f t="shared" si="58"/>
        <v>0</v>
      </c>
      <c r="I206" s="19"/>
      <c r="K206" s="7">
        <v>0</v>
      </c>
      <c r="M206" s="7">
        <f t="shared" si="59"/>
        <v>0</v>
      </c>
    </row>
    <row r="207" spans="1:14" x14ac:dyDescent="0.25">
      <c r="A207" s="39" t="s">
        <v>216</v>
      </c>
      <c r="B207" s="7">
        <v>0</v>
      </c>
      <c r="C207" s="7"/>
      <c r="D207" s="7"/>
      <c r="E207" s="7"/>
      <c r="F207" s="7"/>
      <c r="G207" s="7"/>
      <c r="H207" s="7">
        <f t="shared" si="58"/>
        <v>0</v>
      </c>
      <c r="I207" s="19"/>
      <c r="K207" s="7">
        <v>0</v>
      </c>
      <c r="M207" s="7">
        <f t="shared" si="59"/>
        <v>0</v>
      </c>
    </row>
    <row r="208" spans="1:14" x14ac:dyDescent="0.25">
      <c r="A208" s="95" t="s">
        <v>217</v>
      </c>
      <c r="B208" s="7">
        <f>4696+590+714</f>
        <v>6000</v>
      </c>
      <c r="C208" s="7"/>
      <c r="D208" s="7"/>
      <c r="E208" s="7"/>
      <c r="F208" s="7"/>
      <c r="G208" s="7"/>
      <c r="H208" s="7">
        <f t="shared" si="58"/>
        <v>6000</v>
      </c>
      <c r="I208" s="19"/>
      <c r="K208" s="7">
        <v>6000</v>
      </c>
      <c r="M208" s="7">
        <f t="shared" si="59"/>
        <v>0</v>
      </c>
    </row>
    <row r="209" spans="1:14" x14ac:dyDescent="0.25">
      <c r="A209" s="82" t="s">
        <v>218</v>
      </c>
      <c r="B209" s="83">
        <f t="shared" ref="B209:H209" si="60">SUM(B199:B208)</f>
        <v>105577.0481</v>
      </c>
      <c r="C209" s="83">
        <f t="shared" si="60"/>
        <v>0</v>
      </c>
      <c r="D209" s="83">
        <f t="shared" si="60"/>
        <v>0</v>
      </c>
      <c r="E209" s="83">
        <f t="shared" si="60"/>
        <v>0</v>
      </c>
      <c r="F209" s="83">
        <f t="shared" si="60"/>
        <v>0</v>
      </c>
      <c r="G209" s="83">
        <f t="shared" si="60"/>
        <v>0</v>
      </c>
      <c r="H209" s="83">
        <f t="shared" si="60"/>
        <v>105577.0481</v>
      </c>
      <c r="I209" s="10"/>
      <c r="J209" s="10"/>
      <c r="K209" s="83">
        <v>103259.27</v>
      </c>
      <c r="L209" s="10"/>
      <c r="M209" s="83">
        <f t="shared" ref="M209" si="61">SUM(M199:M208)</f>
        <v>2317.7781000000014</v>
      </c>
      <c r="N209" s="10"/>
    </row>
    <row r="210" spans="1:14" x14ac:dyDescent="0.25">
      <c r="A210" s="104"/>
      <c r="B210" s="7"/>
      <c r="C210" s="7"/>
      <c r="D210" s="7"/>
      <c r="E210" s="7"/>
      <c r="F210" s="7"/>
      <c r="G210" s="7"/>
      <c r="H210" s="7"/>
      <c r="I210" s="10"/>
      <c r="J210" s="10"/>
      <c r="K210" s="7"/>
      <c r="L210" s="10"/>
      <c r="M210" s="7"/>
      <c r="N210" s="10"/>
    </row>
    <row r="211" spans="1:14" x14ac:dyDescent="0.25">
      <c r="A211" s="82" t="s">
        <v>219</v>
      </c>
      <c r="B211" s="83">
        <f>B142+B154+B170+B197+B209</f>
        <v>1925814.2554541721</v>
      </c>
      <c r="C211" s="83">
        <f t="shared" ref="C211:H211" si="62">C142+C154+C170+C197+C209</f>
        <v>163890.54054054053</v>
      </c>
      <c r="D211" s="83">
        <f t="shared" si="62"/>
        <v>242980</v>
      </c>
      <c r="E211" s="83">
        <f t="shared" si="62"/>
        <v>0</v>
      </c>
      <c r="F211" s="83">
        <f t="shared" si="62"/>
        <v>93462.011999999988</v>
      </c>
      <c r="G211" s="83">
        <f t="shared" si="62"/>
        <v>16520.96</v>
      </c>
      <c r="H211" s="83">
        <f t="shared" si="62"/>
        <v>2442667.7679947126</v>
      </c>
      <c r="I211" s="10"/>
      <c r="J211" s="10"/>
      <c r="K211" s="83">
        <v>2375348.9966250001</v>
      </c>
      <c r="L211" s="10"/>
      <c r="M211" s="83">
        <f t="shared" ref="M211" si="63">M142+M154+M170+M197+M209</f>
        <v>67318.771369712777</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220</v>
      </c>
      <c r="B213" s="12">
        <f>550*B17</f>
        <v>90750</v>
      </c>
      <c r="C213" s="12"/>
      <c r="D213" s="12"/>
      <c r="E213" s="12"/>
      <c r="F213" s="12"/>
      <c r="G213" s="12"/>
      <c r="H213" s="12">
        <f t="shared" ref="H213:H218" si="64">SUM(B213:G213)</f>
        <v>90750</v>
      </c>
      <c r="I213" s="19"/>
      <c r="K213" s="12">
        <v>75000</v>
      </c>
      <c r="M213" s="12">
        <f t="shared" si="59"/>
        <v>15750</v>
      </c>
    </row>
    <row r="214" spans="1:14" x14ac:dyDescent="0.25">
      <c r="A214" s="54" t="s">
        <v>221</v>
      </c>
      <c r="B214" s="12">
        <v>0</v>
      </c>
      <c r="C214" s="12"/>
      <c r="D214" s="12"/>
      <c r="E214" s="12"/>
      <c r="F214" s="12"/>
      <c r="G214" s="12"/>
      <c r="H214" s="12">
        <f t="shared" si="64"/>
        <v>0</v>
      </c>
      <c r="I214" s="19"/>
      <c r="K214" s="12">
        <v>0</v>
      </c>
      <c r="M214" s="12">
        <f t="shared" si="59"/>
        <v>0</v>
      </c>
    </row>
    <row r="215" spans="1:14" x14ac:dyDescent="0.25">
      <c r="A215" s="54" t="s">
        <v>222</v>
      </c>
      <c r="B215" s="12">
        <v>0</v>
      </c>
      <c r="C215" s="12"/>
      <c r="D215" s="12"/>
      <c r="E215" s="12"/>
      <c r="F215" s="12"/>
      <c r="G215" s="12"/>
      <c r="H215" s="12">
        <f t="shared" si="64"/>
        <v>0</v>
      </c>
      <c r="I215" s="19"/>
      <c r="K215" s="12">
        <v>0</v>
      </c>
      <c r="M215" s="12">
        <f t="shared" si="59"/>
        <v>0</v>
      </c>
    </row>
    <row r="216" spans="1:14" x14ac:dyDescent="0.25">
      <c r="A216" s="54" t="s">
        <v>223</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224</v>
      </c>
      <c r="B219" s="107">
        <f t="shared" ref="B219:G219" si="65">B97-B211-B213-B214-B216-B215</f>
        <v>124291.90957961162</v>
      </c>
      <c r="C219" s="107">
        <f t="shared" si="65"/>
        <v>-37286.486486486479</v>
      </c>
      <c r="D219" s="107">
        <f t="shared" si="65"/>
        <v>-46663</v>
      </c>
      <c r="E219" s="107">
        <f t="shared" si="65"/>
        <v>0</v>
      </c>
      <c r="F219" s="107">
        <f t="shared" si="65"/>
        <v>-40342.011999999988</v>
      </c>
      <c r="G219" s="107">
        <f t="shared" si="65"/>
        <v>0</v>
      </c>
      <c r="H219" s="107">
        <f>H97-H211-H213-H214-H216-H215</f>
        <v>0.41109312511980534</v>
      </c>
      <c r="I219" s="10"/>
      <c r="J219" s="10"/>
      <c r="K219" s="107">
        <v>3.3374999184161425E-2</v>
      </c>
      <c r="L219" s="10"/>
      <c r="M219" s="107">
        <f>M97-M211-M213-M214-M216-M215</f>
        <v>0.37771812512073666</v>
      </c>
      <c r="N219" s="10"/>
    </row>
    <row r="220" spans="1:14" x14ac:dyDescent="0.25">
      <c r="A220" s="108"/>
      <c r="B220" s="109">
        <f t="shared" ref="B220:H220" si="66">B219/(B97)</f>
        <v>5.8057104260271601E-2</v>
      </c>
      <c r="C220" s="109">
        <f t="shared" si="66"/>
        <v>-0.29451257911983514</v>
      </c>
      <c r="D220" s="109">
        <f t="shared" si="66"/>
        <v>-0.23769210002190336</v>
      </c>
      <c r="E220" s="109" t="e">
        <f t="shared" si="66"/>
        <v>#DIV/0!</v>
      </c>
      <c r="F220" s="109">
        <f t="shared" si="66"/>
        <v>-0.75945052710843353</v>
      </c>
      <c r="G220" s="109">
        <f t="shared" si="66"/>
        <v>0</v>
      </c>
      <c r="H220" s="109">
        <f t="shared" si="66"/>
        <v>1.6226816737686008E-7</v>
      </c>
      <c r="I220" s="28"/>
      <c r="J220" s="10"/>
      <c r="K220" s="109">
        <v>1.3620508252312706E-8</v>
      </c>
      <c r="L220" s="10"/>
      <c r="M220" s="109">
        <f t="shared" si="59"/>
        <v>1.4864765912454738E-7</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FY27</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(26-27)</v>
      </c>
      <c r="I222" s="2"/>
      <c r="J222" s="2"/>
      <c r="K222" s="1" t="s">
        <v>236</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225</v>
      </c>
      <c r="B225" s="113"/>
      <c r="C225" s="113"/>
      <c r="D225" s="113"/>
      <c r="E225" s="113"/>
      <c r="F225" s="113"/>
      <c r="G225" s="113"/>
      <c r="H225" s="113">
        <f>H97-H211</f>
        <v>90750.41109312512</v>
      </c>
      <c r="K225" s="113">
        <v>75000.033374999184</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90750</v>
      </c>
      <c r="I227" s="10"/>
      <c r="J227" s="10"/>
      <c r="K227" s="115">
        <v>75000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226</v>
      </c>
      <c r="B231" s="116"/>
      <c r="C231" s="116"/>
      <c r="D231" s="116"/>
      <c r="E231" s="116"/>
      <c r="F231" s="116"/>
      <c r="G231" s="116"/>
      <c r="H231" s="116">
        <f>SUM(H227:H229)</f>
        <v>90750</v>
      </c>
      <c r="I231" s="10"/>
      <c r="J231" s="10"/>
      <c r="K231" s="116">
        <v>75000</v>
      </c>
      <c r="L231" s="10"/>
      <c r="N231" s="10"/>
    </row>
    <row r="232" spans="1:14" x14ac:dyDescent="0.25">
      <c r="A232" s="117" t="s">
        <v>227</v>
      </c>
      <c r="B232" s="118"/>
      <c r="C232" s="118"/>
      <c r="D232" s="118"/>
      <c r="E232" s="118"/>
      <c r="F232" s="118"/>
      <c r="G232" s="118"/>
      <c r="H232" s="118">
        <f>H225/H231</f>
        <v>1.0000045299517919</v>
      </c>
      <c r="I232" s="119"/>
      <c r="J232" s="119"/>
      <c r="K232" s="118">
        <v>1.0000004449999891</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228</v>
      </c>
      <c r="B234" s="121"/>
      <c r="C234" s="121"/>
      <c r="D234" s="121"/>
      <c r="E234" s="121"/>
      <c r="F234" s="121"/>
      <c r="G234" s="121"/>
      <c r="H234" s="121"/>
      <c r="I234" s="10"/>
      <c r="J234" s="10"/>
      <c r="K234" s="121"/>
      <c r="L234" s="10"/>
      <c r="N234" s="10"/>
    </row>
    <row r="235" spans="1:14" x14ac:dyDescent="0.25">
      <c r="A235" t="s">
        <v>229</v>
      </c>
      <c r="B235" s="122"/>
      <c r="C235" s="122"/>
      <c r="D235" s="122"/>
      <c r="E235" s="122"/>
      <c r="F235" s="122"/>
      <c r="G235" s="122"/>
      <c r="H235" s="123"/>
      <c r="I235" s="10"/>
      <c r="J235" s="10"/>
      <c r="K235" s="123"/>
      <c r="L235" s="10"/>
      <c r="N235" s="10"/>
    </row>
    <row r="236" spans="1:14" x14ac:dyDescent="0.25">
      <c r="A236" s="10" t="s">
        <v>230</v>
      </c>
      <c r="B236" s="122"/>
      <c r="C236" s="122"/>
      <c r="D236" s="122"/>
      <c r="E236" s="122"/>
      <c r="F236" s="122"/>
      <c r="G236" s="122"/>
      <c r="H236" s="122"/>
      <c r="I236" s="10"/>
      <c r="J236" s="10"/>
      <c r="K236" s="122"/>
      <c r="L236" s="10"/>
      <c r="N236" s="10"/>
    </row>
    <row r="237" spans="1:14" x14ac:dyDescent="0.25">
      <c r="A237" s="10" t="s">
        <v>231</v>
      </c>
      <c r="B237" s="122"/>
      <c r="C237" s="122"/>
      <c r="D237" s="122"/>
      <c r="E237" s="122"/>
      <c r="F237" s="122"/>
      <c r="G237" s="122"/>
      <c r="H237" s="122"/>
      <c r="I237" s="119"/>
      <c r="J237" s="119"/>
      <c r="K237" s="122"/>
      <c r="L237" s="119"/>
      <c r="N237" s="119"/>
    </row>
    <row r="238" spans="1:14" x14ac:dyDescent="0.25">
      <c r="A238" s="124" t="s">
        <v>232</v>
      </c>
      <c r="B238" s="125"/>
      <c r="C238" s="125"/>
      <c r="D238" s="125"/>
      <c r="E238" s="125"/>
      <c r="F238" s="125"/>
      <c r="G238" s="125"/>
      <c r="H238" s="125">
        <f>SUM(H235:H237)</f>
        <v>0</v>
      </c>
      <c r="I238" s="10"/>
      <c r="J238" s="10"/>
      <c r="K238" s="125">
        <v>0</v>
      </c>
      <c r="L238" s="10"/>
      <c r="N238" s="10"/>
    </row>
    <row r="239" spans="1:14" x14ac:dyDescent="0.25">
      <c r="A239" s="126" t="s">
        <v>233</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6D5D-9087-4F5D-B251-6E2132FE4BB1}">
  <dimension ref="A1:N241"/>
  <sheetViews>
    <sheetView topLeftCell="A94" zoomScale="85" zoomScaleNormal="85" workbookViewId="0">
      <selection activeCell="D129" sqref="D129"/>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239</v>
      </c>
      <c r="B1" s="1" t="s">
        <v>1</v>
      </c>
      <c r="C1" s="1" t="s">
        <v>2</v>
      </c>
      <c r="D1" s="1" t="s">
        <v>3</v>
      </c>
      <c r="E1" s="1" t="s">
        <v>4</v>
      </c>
      <c r="F1" s="1" t="s">
        <v>5</v>
      </c>
      <c r="G1" s="1" t="s">
        <v>6</v>
      </c>
      <c r="H1" s="1" t="s">
        <v>240</v>
      </c>
      <c r="I1" s="2"/>
      <c r="J1" s="2"/>
      <c r="K1" s="1" t="s">
        <v>238</v>
      </c>
      <c r="L1" s="2"/>
      <c r="M1" s="1" t="s">
        <v>9</v>
      </c>
      <c r="N1" s="2"/>
    </row>
    <row r="2" spans="1:14" x14ac:dyDescent="0.25">
      <c r="A2" s="6" t="s">
        <v>13</v>
      </c>
      <c r="B2" s="7">
        <f>9414*1.03*1.015*1.015</f>
        <v>9989.4942944999984</v>
      </c>
      <c r="C2" s="7"/>
      <c r="D2" s="7"/>
      <c r="E2" s="7"/>
      <c r="F2" s="7"/>
      <c r="G2" s="7"/>
      <c r="H2" s="7">
        <f t="shared" ref="H2:H16" si="0">SUM(B2:G2)</f>
        <v>9989.4942944999984</v>
      </c>
      <c r="I2" s="8"/>
      <c r="J2" s="9"/>
      <c r="K2" s="7">
        <v>9698.5381499999985</v>
      </c>
      <c r="L2" s="9"/>
      <c r="M2" s="7">
        <f t="shared" ref="M2:M62" si="1">H2-K2</f>
        <v>290.95614449999994</v>
      </c>
      <c r="N2" s="9"/>
    </row>
    <row r="3" spans="1:14" x14ac:dyDescent="0.25">
      <c r="A3" s="11" t="s">
        <v>14</v>
      </c>
      <c r="B3" s="12">
        <f t="shared" ref="B3" si="2">B4+B5+B6+B7+B8+B9+B10+B11+B12+B13+B14+B15+B16</f>
        <v>180</v>
      </c>
      <c r="C3" s="12"/>
      <c r="D3" s="12"/>
      <c r="E3" s="12"/>
      <c r="F3" s="12"/>
      <c r="G3" s="12"/>
      <c r="H3" s="12">
        <f t="shared" si="0"/>
        <v>180</v>
      </c>
      <c r="I3" s="8"/>
      <c r="J3" s="9"/>
      <c r="K3" s="12">
        <v>165</v>
      </c>
      <c r="L3" s="9"/>
      <c r="M3" s="12">
        <f t="shared" si="1"/>
        <v>15</v>
      </c>
      <c r="N3" s="9"/>
    </row>
    <row r="4" spans="1:14" x14ac:dyDescent="0.25">
      <c r="A4" s="13" t="s">
        <v>15</v>
      </c>
      <c r="B4" s="7">
        <v>0</v>
      </c>
      <c r="C4" s="14"/>
      <c r="D4" s="14"/>
      <c r="E4" s="14"/>
      <c r="F4" s="14"/>
      <c r="G4" s="14"/>
      <c r="H4" s="14">
        <f t="shared" si="0"/>
        <v>0</v>
      </c>
      <c r="I4" s="15">
        <f>B4/25</f>
        <v>0</v>
      </c>
      <c r="J4" s="16"/>
      <c r="K4" s="14">
        <v>0</v>
      </c>
      <c r="L4" s="16">
        <f>K4/25</f>
        <v>0</v>
      </c>
      <c r="M4" s="14">
        <f t="shared" si="1"/>
        <v>0</v>
      </c>
      <c r="N4" s="16"/>
    </row>
    <row r="5" spans="1:14" x14ac:dyDescent="0.25">
      <c r="A5" s="11" t="s">
        <v>16</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17</v>
      </c>
      <c r="B6" s="7">
        <v>0</v>
      </c>
      <c r="C6" s="14"/>
      <c r="D6" s="14"/>
      <c r="E6" s="14"/>
      <c r="F6" s="14"/>
      <c r="G6" s="14"/>
      <c r="H6" s="14">
        <f t="shared" si="0"/>
        <v>0</v>
      </c>
      <c r="I6" s="15">
        <f>B6/26</f>
        <v>0</v>
      </c>
      <c r="J6" s="16"/>
      <c r="K6" s="14">
        <v>0</v>
      </c>
      <c r="L6" s="16">
        <f>K6/26</f>
        <v>0</v>
      </c>
      <c r="M6" s="14">
        <f t="shared" si="1"/>
        <v>0</v>
      </c>
      <c r="N6" s="16"/>
    </row>
    <row r="7" spans="1:14" x14ac:dyDescent="0.25">
      <c r="A7" s="17" t="s">
        <v>18</v>
      </c>
      <c r="B7" s="7">
        <v>0</v>
      </c>
      <c r="C7" s="14"/>
      <c r="D7" s="14"/>
      <c r="E7" s="14"/>
      <c r="F7" s="14"/>
      <c r="G7" s="14"/>
      <c r="H7" s="14">
        <f t="shared" si="0"/>
        <v>0</v>
      </c>
      <c r="I7" s="15">
        <f>B7/26</f>
        <v>0</v>
      </c>
      <c r="J7" s="16"/>
      <c r="K7" s="14">
        <v>0</v>
      </c>
      <c r="L7" s="16">
        <f>K7/27</f>
        <v>0</v>
      </c>
      <c r="M7" s="14">
        <f t="shared" si="1"/>
        <v>0</v>
      </c>
      <c r="N7" s="16"/>
    </row>
    <row r="8" spans="1:14" x14ac:dyDescent="0.25">
      <c r="A8" s="17" t="s">
        <v>19</v>
      </c>
      <c r="B8" s="7">
        <v>0</v>
      </c>
      <c r="C8" s="14"/>
      <c r="D8" s="14"/>
      <c r="E8" s="14"/>
      <c r="F8" s="14"/>
      <c r="G8" s="14"/>
      <c r="H8" s="14">
        <f t="shared" si="0"/>
        <v>0</v>
      </c>
      <c r="I8" s="15">
        <f>B8/27</f>
        <v>0</v>
      </c>
      <c r="J8" s="16"/>
      <c r="K8" s="14">
        <v>0</v>
      </c>
      <c r="L8" s="16">
        <f>K8/27</f>
        <v>0</v>
      </c>
      <c r="M8" s="14">
        <f t="shared" si="1"/>
        <v>0</v>
      </c>
      <c r="N8" s="16"/>
    </row>
    <row r="9" spans="1:14" x14ac:dyDescent="0.25">
      <c r="A9" s="17" t="s">
        <v>20</v>
      </c>
      <c r="B9" s="7">
        <v>0</v>
      </c>
      <c r="C9" s="14"/>
      <c r="D9" s="14"/>
      <c r="E9" s="14"/>
      <c r="F9" s="14"/>
      <c r="G9" s="14"/>
      <c r="H9" s="14">
        <f t="shared" si="0"/>
        <v>0</v>
      </c>
      <c r="I9" s="15">
        <f>B9/27</f>
        <v>0</v>
      </c>
      <c r="J9" s="16"/>
      <c r="K9" s="14">
        <v>0</v>
      </c>
      <c r="L9" s="16">
        <f>K9/31</f>
        <v>0</v>
      </c>
      <c r="M9" s="14">
        <f t="shared" si="1"/>
        <v>0</v>
      </c>
      <c r="N9" s="16"/>
    </row>
    <row r="10" spans="1:14" x14ac:dyDescent="0.25">
      <c r="A10" s="17" t="s">
        <v>21</v>
      </c>
      <c r="B10" s="7">
        <v>35</v>
      </c>
      <c r="C10" s="7"/>
      <c r="D10" s="7"/>
      <c r="E10" s="7"/>
      <c r="F10" s="7"/>
      <c r="G10" s="7"/>
      <c r="H10" s="14">
        <f t="shared" si="0"/>
        <v>35</v>
      </c>
      <c r="I10" s="15">
        <v>1</v>
      </c>
      <c r="J10" s="16"/>
      <c r="K10" s="14">
        <v>35</v>
      </c>
      <c r="L10" s="16">
        <v>1</v>
      </c>
      <c r="M10" s="14">
        <f t="shared" si="1"/>
        <v>0</v>
      </c>
      <c r="N10" s="16"/>
    </row>
    <row r="11" spans="1:14" x14ac:dyDescent="0.25">
      <c r="A11" s="17" t="s">
        <v>22</v>
      </c>
      <c r="B11" s="7">
        <v>35</v>
      </c>
      <c r="C11" s="7"/>
      <c r="D11" s="7"/>
      <c r="E11" s="7"/>
      <c r="F11" s="7"/>
      <c r="G11" s="7"/>
      <c r="H11" s="14">
        <f t="shared" si="0"/>
        <v>35</v>
      </c>
      <c r="I11" s="15">
        <v>1</v>
      </c>
      <c r="J11" s="16"/>
      <c r="K11" s="14">
        <v>35</v>
      </c>
      <c r="L11" s="16">
        <v>1</v>
      </c>
      <c r="M11" s="14">
        <f t="shared" si="1"/>
        <v>0</v>
      </c>
      <c r="N11" s="16"/>
    </row>
    <row r="12" spans="1:14" x14ac:dyDescent="0.25">
      <c r="A12" s="17" t="s">
        <v>23</v>
      </c>
      <c r="B12" s="7">
        <v>35</v>
      </c>
      <c r="C12" s="7"/>
      <c r="D12" s="7"/>
      <c r="E12" s="7"/>
      <c r="F12" s="7"/>
      <c r="G12" s="7"/>
      <c r="H12" s="14">
        <f t="shared" si="0"/>
        <v>35</v>
      </c>
      <c r="I12" s="15">
        <v>1</v>
      </c>
      <c r="J12" s="16"/>
      <c r="K12" s="14">
        <v>30</v>
      </c>
      <c r="L12" s="16">
        <v>1</v>
      </c>
      <c r="M12" s="14">
        <f t="shared" si="1"/>
        <v>5</v>
      </c>
      <c r="N12" s="16"/>
    </row>
    <row r="13" spans="1:14" x14ac:dyDescent="0.25">
      <c r="A13" s="17" t="s">
        <v>24</v>
      </c>
      <c r="B13" s="7">
        <v>30</v>
      </c>
      <c r="C13" s="7"/>
      <c r="D13" s="7"/>
      <c r="E13" s="7"/>
      <c r="F13" s="7"/>
      <c r="G13" s="7"/>
      <c r="H13" s="14">
        <f t="shared" si="0"/>
        <v>30</v>
      </c>
      <c r="I13" s="15">
        <v>1</v>
      </c>
      <c r="K13" s="14">
        <v>29</v>
      </c>
      <c r="L13" s="16">
        <v>1</v>
      </c>
      <c r="M13" s="14">
        <f t="shared" si="1"/>
        <v>1</v>
      </c>
    </row>
    <row r="14" spans="1:14" x14ac:dyDescent="0.25">
      <c r="A14" s="17" t="s">
        <v>25</v>
      </c>
      <c r="B14" s="7">
        <v>15</v>
      </c>
      <c r="C14" s="7"/>
      <c r="D14" s="7"/>
      <c r="E14" s="7"/>
      <c r="F14" s="7"/>
      <c r="G14" s="7"/>
      <c r="H14" s="14">
        <f t="shared" si="0"/>
        <v>15</v>
      </c>
      <c r="I14" s="15">
        <v>1</v>
      </c>
      <c r="K14" s="14">
        <v>18</v>
      </c>
      <c r="L14" s="16">
        <v>1</v>
      </c>
      <c r="M14" s="14">
        <f t="shared" si="1"/>
        <v>-3</v>
      </c>
    </row>
    <row r="15" spans="1:14" x14ac:dyDescent="0.25">
      <c r="A15" s="17" t="s">
        <v>26</v>
      </c>
      <c r="B15" s="7">
        <v>15</v>
      </c>
      <c r="C15" s="7"/>
      <c r="D15" s="7"/>
      <c r="E15" s="7"/>
      <c r="F15" s="7"/>
      <c r="G15" s="7"/>
      <c r="H15" s="14">
        <f t="shared" si="0"/>
        <v>15</v>
      </c>
      <c r="I15" s="15">
        <v>1</v>
      </c>
      <c r="K15" s="14">
        <v>18</v>
      </c>
      <c r="L15" s="16">
        <v>1</v>
      </c>
      <c r="M15" s="14">
        <f t="shared" si="1"/>
        <v>-3</v>
      </c>
    </row>
    <row r="16" spans="1:14" x14ac:dyDescent="0.25">
      <c r="A16" s="17" t="s">
        <v>27</v>
      </c>
      <c r="B16" s="7">
        <v>15</v>
      </c>
      <c r="C16" s="7"/>
      <c r="D16" s="7"/>
      <c r="E16" s="7"/>
      <c r="F16" s="7"/>
      <c r="G16" s="7"/>
      <c r="H16" s="14">
        <f t="shared" si="0"/>
        <v>15</v>
      </c>
      <c r="I16" s="15">
        <v>1</v>
      </c>
      <c r="K16" s="14">
        <v>0</v>
      </c>
      <c r="M16" s="14">
        <f t="shared" si="1"/>
        <v>15</v>
      </c>
    </row>
    <row r="17" spans="1:14" x14ac:dyDescent="0.25">
      <c r="A17" s="20" t="s">
        <v>14</v>
      </c>
      <c r="B17" s="12">
        <f t="shared" ref="B17:G17" si="4">SUM(B4:B16)</f>
        <v>180</v>
      </c>
      <c r="C17" s="12">
        <f t="shared" si="4"/>
        <v>0</v>
      </c>
      <c r="D17" s="12">
        <f t="shared" si="4"/>
        <v>0</v>
      </c>
      <c r="E17" s="12"/>
      <c r="F17" s="12">
        <f t="shared" si="4"/>
        <v>0</v>
      </c>
      <c r="G17" s="12">
        <f t="shared" si="4"/>
        <v>0</v>
      </c>
      <c r="H17" s="12">
        <f>SUM(H4:H16)</f>
        <v>180</v>
      </c>
      <c r="I17" s="15">
        <f>SUM(I4:I16)</f>
        <v>7</v>
      </c>
      <c r="J17" s="21"/>
      <c r="K17" s="12">
        <v>165</v>
      </c>
      <c r="L17" s="21"/>
      <c r="M17" s="12">
        <f>H17-K17</f>
        <v>15</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28</v>
      </c>
      <c r="B19" s="24" t="str">
        <f>B1</f>
        <v>Operating</v>
      </c>
      <c r="C19" s="24" t="str">
        <f>C1</f>
        <v>SPED</v>
      </c>
      <c r="D19" s="24" t="str">
        <f>D1</f>
        <v>NSLP</v>
      </c>
      <c r="E19" s="24" t="str">
        <f>E1</f>
        <v>Other</v>
      </c>
      <c r="F19" s="24" t="str">
        <f t="shared" ref="F19:G19" si="5">F1</f>
        <v>Title I</v>
      </c>
      <c r="G19" s="24" t="str">
        <f t="shared" si="5"/>
        <v>Title II/III/IV</v>
      </c>
      <c r="H19" s="24" t="str">
        <f>H1</f>
        <v>Total (27-28)</v>
      </c>
      <c r="I19" s="25"/>
      <c r="J19" s="25"/>
      <c r="K19" s="24" t="s">
        <v>238</v>
      </c>
      <c r="L19" s="25"/>
      <c r="M19" s="24" t="str">
        <f>M1</f>
        <v>Variance</v>
      </c>
      <c r="N19" s="25"/>
    </row>
    <row r="20" spans="1:14" x14ac:dyDescent="0.25">
      <c r="A20" s="17" t="s">
        <v>29</v>
      </c>
      <c r="B20" s="7"/>
      <c r="C20" s="7">
        <f>('26-27'!C20/'26-27'!B17)*'27-28'!B17</f>
        <v>27.567567567567565</v>
      </c>
      <c r="D20" s="7"/>
      <c r="E20" s="7"/>
      <c r="F20" s="7"/>
      <c r="G20" s="7"/>
      <c r="H20" s="7">
        <f>SUM(B20:G20)</f>
        <v>27.567567567567565</v>
      </c>
      <c r="I20" s="26" t="s">
        <v>30</v>
      </c>
      <c r="J20" s="27"/>
      <c r="K20" s="7">
        <v>17</v>
      </c>
      <c r="L20" s="27"/>
      <c r="M20" s="7">
        <f t="shared" si="1"/>
        <v>10.567567567567565</v>
      </c>
      <c r="N20" s="27"/>
    </row>
    <row r="21" spans="1:14" x14ac:dyDescent="0.25">
      <c r="A21" s="17" t="s">
        <v>31</v>
      </c>
      <c r="B21" s="7">
        <f>('26-27'!B21/'26-27'!B17)*'27-28'!B17</f>
        <v>37.297297297297298</v>
      </c>
      <c r="C21" s="7"/>
      <c r="D21" s="7"/>
      <c r="E21" s="7"/>
      <c r="F21" s="7"/>
      <c r="G21" s="7"/>
      <c r="H21" s="7">
        <f>SUM(B21:G21)</f>
        <v>37.297297297297298</v>
      </c>
      <c r="I21" s="26"/>
      <c r="J21" s="27"/>
      <c r="K21" s="7">
        <v>23</v>
      </c>
      <c r="L21" s="27"/>
      <c r="M21" s="7">
        <f t="shared" si="1"/>
        <v>14.297297297297298</v>
      </c>
      <c r="N21" s="27"/>
    </row>
    <row r="22" spans="1:14" x14ac:dyDescent="0.25">
      <c r="A22" s="17" t="s">
        <v>32</v>
      </c>
      <c r="B22" s="14">
        <v>0</v>
      </c>
      <c r="C22" s="14"/>
      <c r="D22" s="14"/>
      <c r="E22" s="14"/>
      <c r="F22" s="14"/>
      <c r="G22" s="14"/>
      <c r="H22" s="7">
        <f>SUM(B22:G22)</f>
        <v>0</v>
      </c>
      <c r="I22" s="19"/>
      <c r="K22" s="7">
        <v>0</v>
      </c>
      <c r="M22" s="7">
        <f t="shared" si="1"/>
        <v>0</v>
      </c>
    </row>
    <row r="23" spans="1:14" x14ac:dyDescent="0.25">
      <c r="A23" s="17" t="s">
        <v>33</v>
      </c>
      <c r="B23" s="7">
        <v>101</v>
      </c>
      <c r="C23" s="29"/>
      <c r="D23" s="29">
        <v>1</v>
      </c>
      <c r="E23" s="29"/>
      <c r="F23" s="29"/>
      <c r="G23" s="29"/>
      <c r="H23" s="29">
        <f>D23</f>
        <v>1</v>
      </c>
      <c r="I23" s="30"/>
      <c r="J23" s="31"/>
      <c r="K23" s="29">
        <v>1</v>
      </c>
      <c r="L23" s="31"/>
      <c r="M23" s="29">
        <f t="shared" si="1"/>
        <v>0</v>
      </c>
      <c r="N23" s="31"/>
    </row>
    <row r="24" spans="1:14" x14ac:dyDescent="0.25">
      <c r="A24" s="17" t="s">
        <v>34</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35</v>
      </c>
      <c r="B26" s="24" t="str">
        <f>B1</f>
        <v>Operating</v>
      </c>
      <c r="C26" s="24" t="str">
        <f>C1</f>
        <v>SPED</v>
      </c>
      <c r="D26" s="24" t="str">
        <f>D1</f>
        <v>NSLP</v>
      </c>
      <c r="E26" s="24" t="str">
        <f>E1</f>
        <v>Other</v>
      </c>
      <c r="F26" s="24" t="str">
        <f t="shared" ref="F26:G26" si="6">F1</f>
        <v>Title I</v>
      </c>
      <c r="G26" s="24" t="str">
        <f t="shared" si="6"/>
        <v>Title II/III/IV</v>
      </c>
      <c r="H26" s="24" t="str">
        <f>H1</f>
        <v>Total (27-28)</v>
      </c>
      <c r="I26" s="25"/>
      <c r="J26" s="25"/>
      <c r="K26" s="24" t="s">
        <v>238</v>
      </c>
      <c r="L26" s="25"/>
      <c r="M26" s="24" t="str">
        <f>M1</f>
        <v>Variance</v>
      </c>
      <c r="N26" s="25"/>
    </row>
    <row r="27" spans="1:14" x14ac:dyDescent="0.25">
      <c r="A27" s="33" t="s">
        <v>36</v>
      </c>
      <c r="B27" s="34">
        <v>7</v>
      </c>
      <c r="C27" s="34"/>
      <c r="D27" s="34"/>
      <c r="E27" s="34"/>
      <c r="F27" s="34"/>
      <c r="G27" s="34"/>
      <c r="H27" s="34">
        <f t="shared" ref="H27:H35" si="7">SUM(B27:G27)</f>
        <v>7</v>
      </c>
      <c r="I27" s="15">
        <f>H27/6</f>
        <v>1.1666666666666667</v>
      </c>
      <c r="J27" s="16"/>
      <c r="K27" s="34">
        <v>6</v>
      </c>
      <c r="L27" s="16"/>
      <c r="M27" s="34">
        <f t="shared" si="1"/>
        <v>1</v>
      </c>
      <c r="N27" s="16"/>
    </row>
    <row r="28" spans="1:14" x14ac:dyDescent="0.25">
      <c r="A28" s="33" t="s">
        <v>37</v>
      </c>
      <c r="B28" s="36">
        <v>0</v>
      </c>
      <c r="C28" s="36">
        <v>1</v>
      </c>
      <c r="D28" s="36"/>
      <c r="E28" s="36"/>
      <c r="F28" s="36"/>
      <c r="G28" s="36"/>
      <c r="H28" s="34">
        <f t="shared" si="7"/>
        <v>1</v>
      </c>
      <c r="I28" s="15">
        <f>H20/21</f>
        <v>1.3127413127413126</v>
      </c>
      <c r="J28" s="16"/>
      <c r="K28" s="34">
        <v>1</v>
      </c>
      <c r="L28" s="16"/>
      <c r="M28" s="34">
        <f t="shared" si="1"/>
        <v>0</v>
      </c>
      <c r="N28" s="16"/>
    </row>
    <row r="29" spans="1:14" x14ac:dyDescent="0.25">
      <c r="A29" s="33" t="s">
        <v>38</v>
      </c>
      <c r="B29" s="34">
        <v>0</v>
      </c>
      <c r="C29" s="34"/>
      <c r="D29" s="34"/>
      <c r="E29" s="34"/>
      <c r="F29" s="34"/>
      <c r="G29" s="34"/>
      <c r="H29" s="34">
        <f t="shared" si="7"/>
        <v>0</v>
      </c>
      <c r="I29" s="19"/>
      <c r="K29" s="34">
        <v>0</v>
      </c>
      <c r="M29" s="34">
        <f t="shared" si="1"/>
        <v>0</v>
      </c>
    </row>
    <row r="30" spans="1:14" x14ac:dyDescent="0.25">
      <c r="A30" s="33" t="s">
        <v>39</v>
      </c>
      <c r="B30" s="34">
        <v>0</v>
      </c>
      <c r="C30" s="34"/>
      <c r="D30" s="34"/>
      <c r="E30" s="34"/>
      <c r="F30" s="34"/>
      <c r="G30" s="34"/>
      <c r="H30" s="34">
        <f t="shared" si="7"/>
        <v>0</v>
      </c>
      <c r="I30" s="19"/>
      <c r="K30" s="34">
        <v>0</v>
      </c>
      <c r="M30" s="34">
        <f t="shared" si="1"/>
        <v>0</v>
      </c>
    </row>
    <row r="31" spans="1:14" x14ac:dyDescent="0.25">
      <c r="A31" s="33" t="s">
        <v>40</v>
      </c>
      <c r="B31" s="34">
        <v>0</v>
      </c>
      <c r="C31" s="34"/>
      <c r="D31" s="34"/>
      <c r="E31" s="34"/>
      <c r="F31" s="34"/>
      <c r="G31" s="34"/>
      <c r="H31" s="34">
        <f t="shared" si="7"/>
        <v>0</v>
      </c>
      <c r="I31" s="19"/>
      <c r="K31" s="34">
        <v>0</v>
      </c>
      <c r="M31" s="34">
        <f t="shared" si="1"/>
        <v>0</v>
      </c>
    </row>
    <row r="32" spans="1:14" x14ac:dyDescent="0.25">
      <c r="A32" s="38" t="s">
        <v>41</v>
      </c>
      <c r="B32" s="34">
        <v>0</v>
      </c>
      <c r="C32" s="34"/>
      <c r="D32" s="34"/>
      <c r="E32" s="34"/>
      <c r="F32" s="34"/>
      <c r="G32" s="34"/>
      <c r="H32" s="34">
        <f t="shared" si="7"/>
        <v>0</v>
      </c>
      <c r="I32" s="19"/>
      <c r="K32" s="34">
        <v>0</v>
      </c>
      <c r="M32" s="34">
        <f t="shared" si="1"/>
        <v>0</v>
      </c>
    </row>
    <row r="33" spans="1:14" x14ac:dyDescent="0.25">
      <c r="A33" s="38" t="s">
        <v>42</v>
      </c>
      <c r="B33" s="34">
        <v>0</v>
      </c>
      <c r="C33" s="34"/>
      <c r="D33" s="34"/>
      <c r="E33" s="34"/>
      <c r="F33" s="34"/>
      <c r="G33" s="34"/>
      <c r="H33" s="34">
        <f t="shared" si="7"/>
        <v>0</v>
      </c>
      <c r="I33" s="19"/>
      <c r="K33" s="34">
        <v>0</v>
      </c>
      <c r="M33" s="34">
        <f t="shared" si="1"/>
        <v>0</v>
      </c>
    </row>
    <row r="34" spans="1:14" x14ac:dyDescent="0.25">
      <c r="A34" s="38" t="s">
        <v>43</v>
      </c>
      <c r="B34" s="34">
        <v>1</v>
      </c>
      <c r="C34" s="34"/>
      <c r="D34" s="34"/>
      <c r="E34" s="34"/>
      <c r="F34" s="34"/>
      <c r="G34" s="34"/>
      <c r="H34" s="34">
        <f t="shared" si="7"/>
        <v>1</v>
      </c>
      <c r="I34" s="19"/>
      <c r="K34" s="34">
        <v>2</v>
      </c>
      <c r="M34" s="34">
        <f t="shared" si="1"/>
        <v>-1</v>
      </c>
    </row>
    <row r="35" spans="1:14" x14ac:dyDescent="0.25">
      <c r="A35" s="39" t="s">
        <v>44</v>
      </c>
      <c r="B35" s="34">
        <v>0</v>
      </c>
      <c r="C35" s="34"/>
      <c r="D35" s="34"/>
      <c r="E35" s="34"/>
      <c r="F35" s="34"/>
      <c r="G35" s="34"/>
      <c r="H35" s="34">
        <f t="shared" si="7"/>
        <v>0</v>
      </c>
      <c r="I35" s="19"/>
      <c r="K35" s="34">
        <v>0</v>
      </c>
      <c r="M35" s="34">
        <f t="shared" si="1"/>
        <v>0</v>
      </c>
    </row>
    <row r="36" spans="1:14" x14ac:dyDescent="0.25">
      <c r="A36" s="32" t="s">
        <v>45</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46</v>
      </c>
      <c r="B38" s="24" t="str">
        <f>B1</f>
        <v>Operating</v>
      </c>
      <c r="C38" s="24" t="str">
        <f>C1</f>
        <v>SPED</v>
      </c>
      <c r="D38" s="24" t="str">
        <f>D1</f>
        <v>NSLP</v>
      </c>
      <c r="E38" s="24" t="str">
        <f>E1</f>
        <v>Other</v>
      </c>
      <c r="F38" s="24" t="str">
        <f t="shared" ref="F38:G38" si="9">F1</f>
        <v>Title I</v>
      </c>
      <c r="G38" s="24" t="str">
        <f t="shared" si="9"/>
        <v>Title II/III/IV</v>
      </c>
      <c r="H38" s="24" t="str">
        <f>H1</f>
        <v>Total (27-28)</v>
      </c>
      <c r="I38" s="25"/>
      <c r="J38" s="25"/>
      <c r="K38" s="24" t="s">
        <v>238</v>
      </c>
      <c r="L38" s="25"/>
      <c r="M38" s="24" t="str">
        <f>M1</f>
        <v>Variance</v>
      </c>
      <c r="N38" s="25"/>
    </row>
    <row r="39" spans="1:14" x14ac:dyDescent="0.25">
      <c r="A39" s="33" t="s">
        <v>47</v>
      </c>
      <c r="B39" s="36">
        <v>1</v>
      </c>
      <c r="C39" s="36"/>
      <c r="D39" s="36"/>
      <c r="E39" s="36"/>
      <c r="F39" s="36"/>
      <c r="G39" s="36"/>
      <c r="H39" s="34">
        <f t="shared" ref="H39:H60" si="10">SUM(B39:G39)</f>
        <v>1</v>
      </c>
      <c r="I39" s="19"/>
      <c r="K39" s="34">
        <v>1</v>
      </c>
      <c r="M39" s="34">
        <f t="shared" si="1"/>
        <v>0</v>
      </c>
    </row>
    <row r="40" spans="1:14" x14ac:dyDescent="0.25">
      <c r="A40" s="33" t="s">
        <v>48</v>
      </c>
      <c r="B40" s="36">
        <v>1</v>
      </c>
      <c r="C40" s="36"/>
      <c r="D40" s="36"/>
      <c r="E40" s="36"/>
      <c r="F40" s="36"/>
      <c r="G40" s="36"/>
      <c r="H40" s="34">
        <f t="shared" si="10"/>
        <v>1</v>
      </c>
      <c r="I40" s="19"/>
      <c r="K40" s="34">
        <v>1</v>
      </c>
      <c r="M40" s="34">
        <f t="shared" si="1"/>
        <v>0</v>
      </c>
    </row>
    <row r="41" spans="1:14" x14ac:dyDescent="0.25">
      <c r="A41" s="39" t="s">
        <v>49</v>
      </c>
      <c r="B41" s="36">
        <v>0</v>
      </c>
      <c r="C41" s="36"/>
      <c r="D41" s="36"/>
      <c r="E41" s="36">
        <v>0</v>
      </c>
      <c r="F41" s="36">
        <v>1</v>
      </c>
      <c r="G41" s="36"/>
      <c r="H41" s="34">
        <f t="shared" si="10"/>
        <v>1</v>
      </c>
      <c r="I41" s="19"/>
      <c r="K41" s="34">
        <v>1</v>
      </c>
      <c r="M41" s="34">
        <f t="shared" si="1"/>
        <v>0</v>
      </c>
    </row>
    <row r="42" spans="1:14" x14ac:dyDescent="0.25">
      <c r="A42" s="42" t="s">
        <v>50</v>
      </c>
      <c r="B42" s="36">
        <v>0</v>
      </c>
      <c r="C42" s="36"/>
      <c r="D42" s="36"/>
      <c r="E42" s="36"/>
      <c r="F42" s="36"/>
      <c r="G42" s="36"/>
      <c r="H42" s="34">
        <f t="shared" si="10"/>
        <v>0</v>
      </c>
      <c r="I42" s="19"/>
      <c r="K42" s="34">
        <v>0</v>
      </c>
      <c r="M42" s="34">
        <f t="shared" si="1"/>
        <v>0</v>
      </c>
    </row>
    <row r="43" spans="1:14" x14ac:dyDescent="0.25">
      <c r="A43" s="42" t="s">
        <v>51</v>
      </c>
      <c r="B43" s="36">
        <v>0</v>
      </c>
      <c r="C43" s="36"/>
      <c r="D43" s="36"/>
      <c r="E43" s="36"/>
      <c r="F43" s="36"/>
      <c r="G43" s="36"/>
      <c r="H43" s="34">
        <f t="shared" si="10"/>
        <v>0</v>
      </c>
      <c r="I43" s="19"/>
      <c r="K43" s="34">
        <v>0</v>
      </c>
      <c r="M43" s="34">
        <f t="shared" si="1"/>
        <v>0</v>
      </c>
    </row>
    <row r="44" spans="1:14" x14ac:dyDescent="0.25">
      <c r="A44" s="42" t="s">
        <v>52</v>
      </c>
      <c r="B44" s="36">
        <v>1</v>
      </c>
      <c r="C44" s="36"/>
      <c r="D44" s="36"/>
      <c r="E44" s="36">
        <v>0</v>
      </c>
      <c r="F44" s="36"/>
      <c r="G44" s="36"/>
      <c r="H44" s="34">
        <f t="shared" si="10"/>
        <v>1</v>
      </c>
      <c r="I44" s="19"/>
      <c r="K44" s="34">
        <v>1</v>
      </c>
      <c r="M44" s="34">
        <f t="shared" si="1"/>
        <v>0</v>
      </c>
    </row>
    <row r="45" spans="1:14" x14ac:dyDescent="0.25">
      <c r="A45" s="42" t="s">
        <v>53</v>
      </c>
      <c r="B45" s="36">
        <v>0</v>
      </c>
      <c r="C45" s="36"/>
      <c r="D45" s="36"/>
      <c r="E45" s="36">
        <v>0</v>
      </c>
      <c r="F45" s="36"/>
      <c r="G45" s="36"/>
      <c r="H45" s="34">
        <f t="shared" si="10"/>
        <v>0</v>
      </c>
      <c r="I45" s="19"/>
      <c r="K45" s="34">
        <v>0</v>
      </c>
      <c r="M45" s="34">
        <f t="shared" si="1"/>
        <v>0</v>
      </c>
    </row>
    <row r="46" spans="1:14" x14ac:dyDescent="0.25">
      <c r="A46" s="33" t="s">
        <v>54</v>
      </c>
      <c r="B46" s="36">
        <v>1</v>
      </c>
      <c r="C46" s="36"/>
      <c r="D46" s="36"/>
      <c r="E46" s="36"/>
      <c r="F46" s="36"/>
      <c r="G46" s="36"/>
      <c r="H46" s="34">
        <f t="shared" si="10"/>
        <v>1</v>
      </c>
      <c r="I46" s="19"/>
      <c r="K46" s="34">
        <v>1</v>
      </c>
      <c r="M46" s="34">
        <f t="shared" si="1"/>
        <v>0</v>
      </c>
    </row>
    <row r="47" spans="1:14" x14ac:dyDescent="0.25">
      <c r="A47" s="33" t="s">
        <v>55</v>
      </c>
      <c r="B47" s="36">
        <v>0</v>
      </c>
      <c r="C47" s="36"/>
      <c r="D47" s="36"/>
      <c r="E47" s="36"/>
      <c r="F47" s="36"/>
      <c r="G47" s="36"/>
      <c r="H47" s="34">
        <f t="shared" si="10"/>
        <v>0</v>
      </c>
      <c r="I47" s="19"/>
      <c r="K47" s="34">
        <v>0</v>
      </c>
      <c r="M47" s="34">
        <f t="shared" si="1"/>
        <v>0</v>
      </c>
    </row>
    <row r="48" spans="1:14" x14ac:dyDescent="0.25">
      <c r="A48" s="33" t="s">
        <v>56</v>
      </c>
      <c r="B48" s="36">
        <v>0</v>
      </c>
      <c r="C48" s="36"/>
      <c r="D48" s="36"/>
      <c r="E48" s="36"/>
      <c r="F48" s="36"/>
      <c r="G48" s="36"/>
      <c r="H48" s="34">
        <f t="shared" si="10"/>
        <v>0</v>
      </c>
      <c r="I48" s="19"/>
      <c r="K48" s="34">
        <v>0</v>
      </c>
      <c r="M48" s="34">
        <f t="shared" si="1"/>
        <v>0</v>
      </c>
    </row>
    <row r="49" spans="1:14" x14ac:dyDescent="0.25">
      <c r="A49" s="33" t="s">
        <v>57</v>
      </c>
      <c r="B49" s="36">
        <v>0</v>
      </c>
      <c r="C49" s="36"/>
      <c r="D49" s="36"/>
      <c r="E49" s="36"/>
      <c r="F49" s="36"/>
      <c r="G49" s="36"/>
      <c r="H49" s="34">
        <f t="shared" si="10"/>
        <v>0</v>
      </c>
      <c r="I49" s="19"/>
      <c r="K49" s="34">
        <v>0</v>
      </c>
      <c r="M49" s="34">
        <f t="shared" si="1"/>
        <v>0</v>
      </c>
    </row>
    <row r="50" spans="1:14" x14ac:dyDescent="0.25">
      <c r="A50" s="33" t="s">
        <v>58</v>
      </c>
      <c r="B50" s="36">
        <v>1</v>
      </c>
      <c r="C50" s="36"/>
      <c r="D50" s="36"/>
      <c r="E50" s="36"/>
      <c r="F50" s="36">
        <v>0</v>
      </c>
      <c r="G50" s="36"/>
      <c r="H50" s="34">
        <f t="shared" si="10"/>
        <v>1</v>
      </c>
      <c r="I50" s="19"/>
      <c r="K50" s="34">
        <v>1</v>
      </c>
      <c r="M50" s="34">
        <f t="shared" si="1"/>
        <v>0</v>
      </c>
    </row>
    <row r="51" spans="1:14" x14ac:dyDescent="0.25">
      <c r="A51" s="33" t="s">
        <v>59</v>
      </c>
      <c r="B51" s="36">
        <v>0</v>
      </c>
      <c r="C51" s="36"/>
      <c r="D51" s="36"/>
      <c r="E51" s="36"/>
      <c r="F51" s="36"/>
      <c r="G51" s="36"/>
      <c r="H51" s="34">
        <f t="shared" si="10"/>
        <v>0</v>
      </c>
      <c r="I51" s="19"/>
      <c r="K51" s="34">
        <v>0</v>
      </c>
      <c r="M51" s="34">
        <f t="shared" si="1"/>
        <v>0</v>
      </c>
    </row>
    <row r="52" spans="1:14" x14ac:dyDescent="0.25">
      <c r="A52" s="33" t="s">
        <v>60</v>
      </c>
      <c r="B52" s="36"/>
      <c r="C52" s="36"/>
      <c r="D52" s="36">
        <v>1</v>
      </c>
      <c r="E52" s="36"/>
      <c r="F52" s="36"/>
      <c r="G52" s="36"/>
      <c r="H52" s="34">
        <f t="shared" si="10"/>
        <v>1</v>
      </c>
      <c r="I52" s="19"/>
      <c r="K52" s="34">
        <v>1</v>
      </c>
      <c r="M52" s="34">
        <f t="shared" si="1"/>
        <v>0</v>
      </c>
    </row>
    <row r="53" spans="1:14" x14ac:dyDescent="0.25">
      <c r="A53" s="33" t="s">
        <v>61</v>
      </c>
      <c r="B53" s="36"/>
      <c r="C53" s="36"/>
      <c r="D53" s="36"/>
      <c r="E53" s="36"/>
      <c r="F53" s="36"/>
      <c r="G53" s="36"/>
      <c r="H53" s="34">
        <f t="shared" si="10"/>
        <v>0</v>
      </c>
      <c r="I53" s="8"/>
      <c r="J53" s="9"/>
      <c r="K53" s="34">
        <v>0</v>
      </c>
      <c r="L53" s="9"/>
      <c r="M53" s="34">
        <f t="shared" si="1"/>
        <v>0</v>
      </c>
      <c r="N53" s="9"/>
    </row>
    <row r="54" spans="1:14" x14ac:dyDescent="0.25">
      <c r="A54" s="39" t="s">
        <v>62</v>
      </c>
      <c r="B54" s="36"/>
      <c r="C54" s="36"/>
      <c r="D54" s="36"/>
      <c r="E54" s="36"/>
      <c r="F54" s="36"/>
      <c r="G54" s="36"/>
      <c r="H54" s="34">
        <f t="shared" si="10"/>
        <v>0</v>
      </c>
      <c r="I54" s="8"/>
      <c r="J54" s="9"/>
      <c r="K54" s="34">
        <v>0</v>
      </c>
      <c r="L54" s="9"/>
      <c r="M54" s="34">
        <f t="shared" si="1"/>
        <v>0</v>
      </c>
      <c r="N54" s="9"/>
    </row>
    <row r="55" spans="1:14" x14ac:dyDescent="0.25">
      <c r="A55" s="39" t="s">
        <v>63</v>
      </c>
      <c r="B55" s="36"/>
      <c r="C55" s="36"/>
      <c r="D55" s="36"/>
      <c r="E55" s="36"/>
      <c r="F55" s="36"/>
      <c r="G55" s="36"/>
      <c r="H55" s="34">
        <f t="shared" si="10"/>
        <v>0</v>
      </c>
      <c r="I55" s="8"/>
      <c r="J55" s="9"/>
      <c r="K55" s="34">
        <v>0</v>
      </c>
      <c r="L55" s="9"/>
      <c r="M55" s="34">
        <f t="shared" si="1"/>
        <v>0</v>
      </c>
      <c r="N55" s="9"/>
    </row>
    <row r="56" spans="1:14" x14ac:dyDescent="0.25">
      <c r="A56" s="39" t="s">
        <v>64</v>
      </c>
      <c r="B56" s="36"/>
      <c r="C56" s="36"/>
      <c r="D56" s="36"/>
      <c r="E56" s="36"/>
      <c r="F56" s="36"/>
      <c r="G56" s="36"/>
      <c r="H56" s="34">
        <f t="shared" si="10"/>
        <v>0</v>
      </c>
      <c r="I56" s="8"/>
      <c r="J56" s="9"/>
      <c r="K56" s="34">
        <v>0</v>
      </c>
      <c r="L56" s="9"/>
      <c r="M56" s="34">
        <f t="shared" si="1"/>
        <v>0</v>
      </c>
      <c r="N56" s="9"/>
    </row>
    <row r="57" spans="1:14" x14ac:dyDescent="0.25">
      <c r="A57" s="39" t="s">
        <v>65</v>
      </c>
      <c r="B57" s="36"/>
      <c r="C57" s="36"/>
      <c r="D57" s="36"/>
      <c r="E57" s="36"/>
      <c r="F57" s="36"/>
      <c r="G57" s="36"/>
      <c r="H57" s="34">
        <f t="shared" si="10"/>
        <v>0</v>
      </c>
      <c r="I57" s="8"/>
      <c r="J57" s="9"/>
      <c r="K57" s="34">
        <v>0</v>
      </c>
      <c r="L57" s="9"/>
      <c r="M57" s="34">
        <f t="shared" si="1"/>
        <v>0</v>
      </c>
      <c r="N57" s="9"/>
    </row>
    <row r="58" spans="1:14" x14ac:dyDescent="0.25">
      <c r="A58" s="39" t="s">
        <v>66</v>
      </c>
      <c r="B58" s="36"/>
      <c r="C58" s="36"/>
      <c r="D58" s="36"/>
      <c r="E58" s="36"/>
      <c r="F58" s="36"/>
      <c r="G58" s="36"/>
      <c r="H58" s="34">
        <f t="shared" si="10"/>
        <v>0</v>
      </c>
      <c r="I58" s="8"/>
      <c r="J58" s="9"/>
      <c r="K58" s="34">
        <v>0</v>
      </c>
      <c r="L58" s="9"/>
      <c r="M58" s="34">
        <f t="shared" si="1"/>
        <v>0</v>
      </c>
      <c r="N58" s="9"/>
    </row>
    <row r="59" spans="1:14" x14ac:dyDescent="0.25">
      <c r="A59" s="39" t="s">
        <v>67</v>
      </c>
      <c r="B59" s="36"/>
      <c r="C59" s="36"/>
      <c r="D59" s="36"/>
      <c r="E59" s="36"/>
      <c r="F59" s="36"/>
      <c r="G59" s="36"/>
      <c r="H59" s="34">
        <f t="shared" si="10"/>
        <v>0</v>
      </c>
      <c r="I59" s="8"/>
      <c r="J59" s="9"/>
      <c r="K59" s="34">
        <v>0</v>
      </c>
      <c r="L59" s="9"/>
      <c r="M59" s="34">
        <f t="shared" si="1"/>
        <v>0</v>
      </c>
      <c r="N59" s="9"/>
    </row>
    <row r="60" spans="1:14" x14ac:dyDescent="0.25">
      <c r="A60" s="33" t="s">
        <v>68</v>
      </c>
      <c r="B60" s="34"/>
      <c r="C60" s="34"/>
      <c r="D60" s="34"/>
      <c r="E60" s="34"/>
      <c r="F60" s="34"/>
      <c r="G60" s="34"/>
      <c r="H60" s="34">
        <f t="shared" si="10"/>
        <v>0</v>
      </c>
      <c r="I60" s="8"/>
      <c r="J60" s="9"/>
      <c r="K60" s="34">
        <v>0</v>
      </c>
      <c r="L60" s="9"/>
      <c r="M60" s="34">
        <f t="shared" si="1"/>
        <v>0</v>
      </c>
      <c r="N60" s="9"/>
    </row>
    <row r="61" spans="1:14" x14ac:dyDescent="0.25">
      <c r="A61" s="32" t="s">
        <v>69</v>
      </c>
      <c r="B61" s="44">
        <f>SUM(B39:B60)</f>
        <v>5</v>
      </c>
      <c r="C61" s="44">
        <f>SUM(C39:C60)</f>
        <v>0</v>
      </c>
      <c r="D61" s="44">
        <f>SUM(D39:D60)</f>
        <v>1</v>
      </c>
      <c r="E61" s="44">
        <f>SUM(E39:E60)</f>
        <v>0</v>
      </c>
      <c r="F61" s="44">
        <f t="shared" ref="F61:G61" si="11">SUM(F39:F60)</f>
        <v>1</v>
      </c>
      <c r="G61" s="44">
        <f t="shared" si="11"/>
        <v>0</v>
      </c>
      <c r="H61" s="44">
        <f>SUM(H39:H60)</f>
        <v>7</v>
      </c>
      <c r="I61" s="10"/>
      <c r="J61" s="10"/>
      <c r="K61" s="44">
        <v>7</v>
      </c>
      <c r="L61" s="10"/>
      <c r="M61" s="44">
        <f>SUM(M39:M60)</f>
        <v>0</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70</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71</v>
      </c>
      <c r="B64" s="50">
        <f>B61</f>
        <v>5</v>
      </c>
      <c r="C64" s="50">
        <f t="shared" ref="C64:H64" si="13">C61</f>
        <v>0</v>
      </c>
      <c r="D64" s="50">
        <f t="shared" si="13"/>
        <v>1</v>
      </c>
      <c r="E64" s="50">
        <f t="shared" si="13"/>
        <v>0</v>
      </c>
      <c r="F64" s="50">
        <f t="shared" si="13"/>
        <v>1</v>
      </c>
      <c r="G64" s="50">
        <f t="shared" si="13"/>
        <v>0</v>
      </c>
      <c r="H64" s="50">
        <f t="shared" si="13"/>
        <v>7</v>
      </c>
      <c r="I64" s="10"/>
      <c r="J64" s="10"/>
      <c r="K64" s="50">
        <v>7</v>
      </c>
      <c r="L64" s="10"/>
      <c r="M64" s="50">
        <f t="shared" ref="M64" si="14">M61</f>
        <v>0</v>
      </c>
      <c r="N64" s="10"/>
    </row>
    <row r="65" spans="1:14" ht="15.75" thickBot="1" x14ac:dyDescent="0.3">
      <c r="A65" s="51" t="s">
        <v>72</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16</v>
      </c>
      <c r="L65" s="10"/>
      <c r="M65" s="52">
        <f>SUM(M63:M64)</f>
        <v>0</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73</v>
      </c>
      <c r="B67" s="55"/>
      <c r="C67" s="55"/>
      <c r="D67" s="55"/>
      <c r="E67" s="55"/>
      <c r="F67" s="55"/>
      <c r="G67" s="55"/>
      <c r="H67" s="56">
        <f>H142/(H211+H213+H214+H215+H216+H217)</f>
        <v>0.60475480053015807</v>
      </c>
      <c r="I67" s="10"/>
      <c r="J67" s="10"/>
      <c r="K67" s="56">
        <v>0.62049403052649565</v>
      </c>
      <c r="L67" s="10"/>
      <c r="M67" s="56"/>
      <c r="N67" s="10"/>
    </row>
    <row r="68" spans="1:14" x14ac:dyDescent="0.25">
      <c r="A68" s="54" t="s">
        <v>74</v>
      </c>
      <c r="B68" s="55"/>
      <c r="C68" s="55"/>
      <c r="D68" s="55"/>
      <c r="E68" s="55"/>
      <c r="F68" s="55"/>
      <c r="G68" s="55"/>
      <c r="H68" s="56">
        <f>(H114+H115+H118+H128)/H132</f>
        <v>0.51926656205328703</v>
      </c>
      <c r="I68" s="10"/>
      <c r="J68" s="10"/>
      <c r="K68" s="56">
        <v>0.51866785002631</v>
      </c>
      <c r="L68" s="10"/>
      <c r="M68" s="56"/>
      <c r="N68" s="10"/>
    </row>
    <row r="69" spans="1:14" x14ac:dyDescent="0.25">
      <c r="A69" s="54" t="s">
        <v>75</v>
      </c>
      <c r="B69" s="55"/>
      <c r="C69" s="55"/>
      <c r="D69" s="55"/>
      <c r="E69" s="55"/>
      <c r="F69" s="55"/>
      <c r="G69" s="55"/>
      <c r="H69" s="56">
        <f>(H107+H108+H109+H112+H116+H117+H119+H120++H123+H124+H125+H126+H127+H129+H130)/H132</f>
        <v>0.48073343794671286</v>
      </c>
      <c r="I69" s="10"/>
      <c r="J69" s="10"/>
      <c r="K69" s="56">
        <v>0.48133214997369</v>
      </c>
      <c r="L69" s="10"/>
      <c r="M69" s="56"/>
      <c r="N69" s="10"/>
    </row>
    <row r="70" spans="1:14" x14ac:dyDescent="0.25">
      <c r="A70" s="54" t="s">
        <v>76</v>
      </c>
      <c r="B70" s="55"/>
      <c r="C70" s="55"/>
      <c r="D70" s="55"/>
      <c r="E70" s="55"/>
      <c r="F70" s="55"/>
      <c r="G70" s="55"/>
      <c r="H70" s="56">
        <f>(H213+H214+H215+H216)/(H97)</f>
        <v>3.7720163228413706E-2</v>
      </c>
      <c r="I70" s="10"/>
      <c r="J70" s="10"/>
      <c r="K70" s="56">
        <v>3.2513199523614415E-2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77</v>
      </c>
      <c r="B72" s="58" t="str">
        <f>B1</f>
        <v>Operating</v>
      </c>
      <c r="C72" s="58" t="str">
        <f>C1</f>
        <v>SPED</v>
      </c>
      <c r="D72" s="58" t="str">
        <f>D1</f>
        <v>NSLP</v>
      </c>
      <c r="E72" s="58" t="str">
        <f>E1</f>
        <v>Other</v>
      </c>
      <c r="F72" s="58" t="str">
        <f t="shared" ref="F72:G72" si="17">F1</f>
        <v>Title I</v>
      </c>
      <c r="G72" s="58" t="str">
        <f t="shared" si="17"/>
        <v>Title II/III/IV</v>
      </c>
      <c r="H72" s="58" t="str">
        <f>H1</f>
        <v>Total (27-28)</v>
      </c>
      <c r="I72" s="10"/>
      <c r="J72" s="10"/>
      <c r="K72" s="58" t="s">
        <v>238</v>
      </c>
      <c r="L72" s="10"/>
      <c r="M72" s="58" t="str">
        <f>M1</f>
        <v>Variance</v>
      </c>
      <c r="N72" s="10"/>
    </row>
    <row r="73" spans="1:14" x14ac:dyDescent="0.25">
      <c r="A73" s="59" t="s">
        <v>78</v>
      </c>
      <c r="B73" s="60"/>
      <c r="C73" s="60"/>
      <c r="D73" s="60"/>
      <c r="E73" s="60"/>
      <c r="F73" s="60"/>
      <c r="G73" s="60"/>
      <c r="H73" s="61"/>
      <c r="I73" s="10"/>
      <c r="J73" s="10"/>
      <c r="K73" s="61"/>
      <c r="L73" s="10"/>
      <c r="M73" s="61">
        <f t="shared" si="16"/>
        <v>0</v>
      </c>
      <c r="N73" s="10"/>
    </row>
    <row r="74" spans="1:14" x14ac:dyDescent="0.25">
      <c r="A74" s="39" t="s">
        <v>79</v>
      </c>
      <c r="B74" s="62">
        <f>(B2*B3)</f>
        <v>1798108.9730099996</v>
      </c>
      <c r="C74" s="62"/>
      <c r="D74" s="62"/>
      <c r="E74" s="62"/>
      <c r="F74" s="62"/>
      <c r="G74" s="62"/>
      <c r="H74" s="63">
        <f t="shared" ref="H74:H79" si="18">SUM(B74:G74)</f>
        <v>1798108.9730099996</v>
      </c>
      <c r="I74" s="19"/>
      <c r="K74" s="63">
        <v>1600258.7947499997</v>
      </c>
      <c r="M74" s="63">
        <f t="shared" si="16"/>
        <v>197850.17825999996</v>
      </c>
    </row>
    <row r="75" spans="1:14" x14ac:dyDescent="0.25">
      <c r="A75" s="39" t="s">
        <v>80</v>
      </c>
      <c r="B75" s="46">
        <f>B21*(4236*1.015*1.015*1.015)</f>
        <v>165208.13954513511</v>
      </c>
      <c r="C75" s="46"/>
      <c r="D75" s="46"/>
      <c r="E75" s="46"/>
      <c r="F75" s="46"/>
      <c r="G75" s="46"/>
      <c r="H75" s="7">
        <f t="shared" si="18"/>
        <v>165208.13954513511</v>
      </c>
      <c r="I75" s="8">
        <v>4236</v>
      </c>
      <c r="J75" s="9"/>
      <c r="K75" s="7">
        <v>100372.7613</v>
      </c>
      <c r="L75" s="9"/>
      <c r="M75" s="7">
        <f t="shared" si="16"/>
        <v>64835.378245135114</v>
      </c>
      <c r="N75" s="9"/>
    </row>
    <row r="76" spans="1:14" x14ac:dyDescent="0.25">
      <c r="A76" s="39" t="s">
        <v>81</v>
      </c>
      <c r="B76" s="7">
        <f>1129*B22</f>
        <v>0</v>
      </c>
      <c r="C76" s="7"/>
      <c r="D76" s="7"/>
      <c r="E76" s="7"/>
      <c r="F76" s="7"/>
      <c r="G76" s="7"/>
      <c r="H76" s="7">
        <f t="shared" si="18"/>
        <v>0</v>
      </c>
      <c r="I76" s="8">
        <v>1129</v>
      </c>
      <c r="J76" s="9"/>
      <c r="K76" s="7">
        <v>0</v>
      </c>
      <c r="L76" s="9"/>
      <c r="M76" s="7">
        <f t="shared" si="16"/>
        <v>0</v>
      </c>
      <c r="N76" s="9"/>
    </row>
    <row r="77" spans="1:14" x14ac:dyDescent="0.25">
      <c r="A77" s="39" t="s">
        <v>82</v>
      </c>
      <c r="B77" s="14">
        <f>B24*(3295*1.015*1.015*1.015)</f>
        <v>130929.38933374998</v>
      </c>
      <c r="C77" s="7"/>
      <c r="D77" s="7"/>
      <c r="E77" s="7"/>
      <c r="F77" s="7"/>
      <c r="G77" s="7"/>
      <c r="H77" s="7">
        <f t="shared" si="18"/>
        <v>130929.38933374998</v>
      </c>
      <c r="I77" s="8">
        <v>3295</v>
      </c>
      <c r="K77" s="7">
        <v>128994.47224999998</v>
      </c>
      <c r="M77" s="7">
        <f t="shared" si="16"/>
        <v>1934.9170837499987</v>
      </c>
    </row>
    <row r="78" spans="1:14" x14ac:dyDescent="0.25">
      <c r="A78" s="39" t="s">
        <v>83</v>
      </c>
      <c r="B78" s="46"/>
      <c r="C78" s="46">
        <v>0</v>
      </c>
      <c r="D78" s="46"/>
      <c r="E78" s="46"/>
      <c r="F78" s="46"/>
      <c r="G78" s="46"/>
      <c r="H78" s="46">
        <f t="shared" si="18"/>
        <v>0</v>
      </c>
      <c r="I78" s="8"/>
      <c r="J78" s="65"/>
      <c r="K78" s="46">
        <v>0</v>
      </c>
      <c r="L78" s="65"/>
      <c r="M78" s="46">
        <f t="shared" si="16"/>
        <v>0</v>
      </c>
      <c r="N78" s="65"/>
    </row>
    <row r="79" spans="1:14" x14ac:dyDescent="0.25">
      <c r="A79" s="39" t="s">
        <v>84</v>
      </c>
      <c r="B79" s="46">
        <v>0</v>
      </c>
      <c r="C79" s="46">
        <f>3840*C20</f>
        <v>105859.45945945945</v>
      </c>
      <c r="D79" s="46"/>
      <c r="E79" s="46"/>
      <c r="F79" s="46"/>
      <c r="G79" s="46"/>
      <c r="H79" s="46">
        <f t="shared" si="18"/>
        <v>105859.45945945945</v>
      </c>
      <c r="I79" s="8">
        <v>3840</v>
      </c>
      <c r="J79" s="65"/>
      <c r="K79" s="46">
        <v>65280</v>
      </c>
      <c r="L79" s="65"/>
      <c r="M79" s="46">
        <f t="shared" si="16"/>
        <v>40579.459459459453</v>
      </c>
      <c r="N79" s="65"/>
    </row>
    <row r="80" spans="1:14" x14ac:dyDescent="0.25">
      <c r="A80" s="66" t="s">
        <v>85</v>
      </c>
      <c r="B80" s="67">
        <f>SUM(B74:B79)</f>
        <v>2094246.5018888847</v>
      </c>
      <c r="C80" s="67">
        <f>SUM(C74:C79)</f>
        <v>105859.45945945945</v>
      </c>
      <c r="D80" s="67">
        <f>SUM(D74:D79)</f>
        <v>0</v>
      </c>
      <c r="E80" s="67">
        <f t="shared" ref="E80:G80" si="19">SUM(E74:E79)</f>
        <v>0</v>
      </c>
      <c r="F80" s="67">
        <f t="shared" si="19"/>
        <v>0</v>
      </c>
      <c r="G80" s="67">
        <f t="shared" si="19"/>
        <v>0</v>
      </c>
      <c r="H80" s="67">
        <f>SUM(H74:H79)</f>
        <v>2200105.9613483441</v>
      </c>
      <c r="I80" s="10"/>
      <c r="J80" s="10"/>
      <c r="K80" s="67">
        <v>1894906.0282999994</v>
      </c>
      <c r="L80" s="10"/>
      <c r="M80" s="67">
        <f>SUM(M74:M79)</f>
        <v>305199.93304834457</v>
      </c>
      <c r="N80" s="10"/>
    </row>
    <row r="81" spans="1:14" x14ac:dyDescent="0.25">
      <c r="A81" s="68" t="s">
        <v>86</v>
      </c>
      <c r="B81" s="60"/>
      <c r="C81" s="60"/>
      <c r="D81" s="60"/>
      <c r="E81" s="60"/>
      <c r="F81" s="60"/>
      <c r="G81" s="60"/>
      <c r="H81" s="61"/>
      <c r="I81" s="10"/>
      <c r="J81" s="10"/>
      <c r="K81" s="61"/>
      <c r="L81" s="10"/>
      <c r="M81" s="61">
        <f t="shared" si="16"/>
        <v>0</v>
      </c>
      <c r="N81" s="10"/>
    </row>
    <row r="82" spans="1:14" x14ac:dyDescent="0.25">
      <c r="A82" s="39" t="s">
        <v>87</v>
      </c>
      <c r="B82" s="7"/>
      <c r="C82" s="7">
        <f>1170*C20</f>
        <v>32254.05405405405</v>
      </c>
      <c r="D82" s="7"/>
      <c r="E82" s="7"/>
      <c r="F82" s="7"/>
      <c r="G82" s="7"/>
      <c r="H82" s="7">
        <f t="shared" ref="H82:H89" si="20">SUM(B82:G82)</f>
        <v>32254.05405405405</v>
      </c>
      <c r="I82" s="8">
        <f>H82/C20</f>
        <v>1170</v>
      </c>
      <c r="J82" s="9"/>
      <c r="K82" s="7">
        <v>19890</v>
      </c>
      <c r="L82" s="9"/>
      <c r="M82" s="7">
        <f t="shared" si="16"/>
        <v>12364.05405405405</v>
      </c>
      <c r="N82" s="9"/>
    </row>
    <row r="83" spans="1:14" x14ac:dyDescent="0.25">
      <c r="A83" s="39" t="s">
        <v>88</v>
      </c>
      <c r="B83" s="7"/>
      <c r="C83" s="7"/>
      <c r="D83" s="14">
        <f>((B17*D23)*2.28*180)</f>
        <v>73872</v>
      </c>
      <c r="E83" s="14"/>
      <c r="F83" s="7"/>
      <c r="G83" s="7"/>
      <c r="H83" s="7">
        <f t="shared" si="20"/>
        <v>73872</v>
      </c>
      <c r="I83" s="69">
        <v>2.2799999999999998</v>
      </c>
      <c r="J83" s="70"/>
      <c r="K83" s="7">
        <v>67716</v>
      </c>
      <c r="L83" s="70"/>
      <c r="M83" s="7">
        <f t="shared" si="16"/>
        <v>6156</v>
      </c>
      <c r="N83" s="70"/>
    </row>
    <row r="84" spans="1:14" x14ac:dyDescent="0.25">
      <c r="A84" s="39" t="s">
        <v>89</v>
      </c>
      <c r="B84" s="46"/>
      <c r="C84" s="46"/>
      <c r="D84" s="14">
        <f>((B17*D23)*4.33*180)</f>
        <v>140292</v>
      </c>
      <c r="E84" s="72"/>
      <c r="F84" s="46"/>
      <c r="G84" s="46"/>
      <c r="H84" s="7">
        <f t="shared" si="20"/>
        <v>140292</v>
      </c>
      <c r="I84" s="69">
        <v>4.33</v>
      </c>
      <c r="J84" s="70"/>
      <c r="K84" s="7">
        <v>128601.00000000001</v>
      </c>
      <c r="L84" s="70"/>
      <c r="M84" s="7">
        <f t="shared" si="16"/>
        <v>11690.999999999985</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90</v>
      </c>
      <c r="B86" s="46"/>
      <c r="C86" s="46"/>
      <c r="D86" s="46"/>
      <c r="E86" s="46"/>
      <c r="F86" s="46"/>
      <c r="G86" s="46">
        <v>6554.33</v>
      </c>
      <c r="H86" s="7">
        <f t="shared" si="20"/>
        <v>6554.33</v>
      </c>
      <c r="I86" s="8"/>
      <c r="J86" s="9"/>
      <c r="K86" s="7">
        <v>6554.33</v>
      </c>
      <c r="L86" s="9"/>
      <c r="M86" s="7">
        <f t="shared" si="16"/>
        <v>0</v>
      </c>
      <c r="N86" s="9"/>
    </row>
    <row r="87" spans="1:14" x14ac:dyDescent="0.25">
      <c r="A87" s="39" t="s">
        <v>91</v>
      </c>
      <c r="B87" s="46"/>
      <c r="C87" s="46"/>
      <c r="D87" s="46"/>
      <c r="E87" s="46"/>
      <c r="F87" s="46"/>
      <c r="G87" s="46">
        <v>4566.38</v>
      </c>
      <c r="H87" s="7">
        <f t="shared" si="20"/>
        <v>4566.38</v>
      </c>
      <c r="I87" s="8"/>
      <c r="J87" s="9"/>
      <c r="K87" s="7">
        <v>4566.38</v>
      </c>
      <c r="L87" s="9"/>
      <c r="M87" s="7">
        <f t="shared" si="16"/>
        <v>0</v>
      </c>
      <c r="N87" s="9"/>
    </row>
    <row r="88" spans="1:14" x14ac:dyDescent="0.25">
      <c r="A88" s="39" t="s">
        <v>92</v>
      </c>
      <c r="B88" s="46"/>
      <c r="C88" s="46"/>
      <c r="D88" s="46"/>
      <c r="E88" s="46"/>
      <c r="F88" s="46"/>
      <c r="G88" s="46">
        <v>5400.25</v>
      </c>
      <c r="H88" s="7">
        <f t="shared" si="20"/>
        <v>5400.25</v>
      </c>
      <c r="I88" s="8"/>
      <c r="J88" s="9"/>
      <c r="K88" s="7">
        <v>5400.25</v>
      </c>
      <c r="L88" s="9"/>
      <c r="M88" s="7">
        <f t="shared" si="16"/>
        <v>0</v>
      </c>
      <c r="N88" s="9"/>
    </row>
    <row r="89" spans="1:14" x14ac:dyDescent="0.25">
      <c r="A89" s="39" t="s">
        <v>93</v>
      </c>
      <c r="B89" s="130">
        <v>60400</v>
      </c>
      <c r="C89" s="46"/>
      <c r="D89" s="46"/>
      <c r="E89" s="46">
        <v>0</v>
      </c>
      <c r="F89" s="46"/>
      <c r="G89" s="46"/>
      <c r="H89" s="7">
        <f t="shared" si="20"/>
        <v>60400</v>
      </c>
      <c r="I89" s="8"/>
      <c r="J89" s="9"/>
      <c r="K89" s="7">
        <v>60400</v>
      </c>
      <c r="L89" s="9"/>
      <c r="M89" s="7">
        <f t="shared" si="16"/>
        <v>0</v>
      </c>
      <c r="N89" s="9"/>
    </row>
    <row r="90" spans="1:14" x14ac:dyDescent="0.25">
      <c r="A90" s="66" t="s">
        <v>94</v>
      </c>
      <c r="B90" s="67">
        <f t="shared" ref="B90" si="21">SUM(B82:B89)</f>
        <v>60400</v>
      </c>
      <c r="C90" s="67">
        <f t="shared" ref="C90:G90" si="22">SUM(C82:C89)</f>
        <v>32254.05405405405</v>
      </c>
      <c r="D90" s="67">
        <f t="shared" si="22"/>
        <v>214164</v>
      </c>
      <c r="E90" s="67">
        <f t="shared" si="22"/>
        <v>0</v>
      </c>
      <c r="F90" s="67">
        <f t="shared" si="22"/>
        <v>53120</v>
      </c>
      <c r="G90" s="67">
        <f t="shared" si="22"/>
        <v>16520.96</v>
      </c>
      <c r="H90" s="67">
        <f>SUM(H82:H89)</f>
        <v>376459.0140540541</v>
      </c>
      <c r="I90" s="10"/>
      <c r="J90" s="10"/>
      <c r="K90" s="67">
        <v>346247.96</v>
      </c>
      <c r="L90" s="10"/>
      <c r="M90" s="67">
        <f>SUM(M82:M89)</f>
        <v>30211.054054054035</v>
      </c>
      <c r="N90" s="10"/>
    </row>
    <row r="91" spans="1:14" x14ac:dyDescent="0.25">
      <c r="A91" s="68" t="s">
        <v>95</v>
      </c>
      <c r="B91" s="60"/>
      <c r="C91" s="60"/>
      <c r="D91" s="60"/>
      <c r="E91" s="60"/>
      <c r="F91" s="60"/>
      <c r="G91" s="60"/>
      <c r="H91" s="61"/>
      <c r="I91" s="10"/>
      <c r="J91" s="10"/>
      <c r="K91" s="61"/>
      <c r="L91" s="10"/>
      <c r="M91" s="61">
        <f t="shared" si="16"/>
        <v>0</v>
      </c>
      <c r="N91" s="10"/>
    </row>
    <row r="92" spans="1:14" x14ac:dyDescent="0.25">
      <c r="A92" s="39" t="s">
        <v>96</v>
      </c>
      <c r="B92" s="7"/>
      <c r="C92" s="7"/>
      <c r="D92" s="7"/>
      <c r="E92" s="7"/>
      <c r="F92" s="7"/>
      <c r="G92" s="7"/>
      <c r="H92" s="7">
        <f>SUM(B92:G92)</f>
        <v>0</v>
      </c>
      <c r="I92" s="19"/>
      <c r="K92" s="7">
        <v>0</v>
      </c>
      <c r="M92" s="7">
        <f t="shared" si="16"/>
        <v>0</v>
      </c>
    </row>
    <row r="93" spans="1:14" x14ac:dyDescent="0.25">
      <c r="A93" s="39" t="s">
        <v>97</v>
      </c>
      <c r="B93" s="14"/>
      <c r="C93" s="14"/>
      <c r="D93" s="14"/>
      <c r="E93" s="14"/>
      <c r="F93" s="14"/>
      <c r="G93" s="14"/>
      <c r="H93" s="7">
        <f>SUM(B93:G93)</f>
        <v>0</v>
      </c>
      <c r="I93" s="19"/>
      <c r="K93" s="7">
        <v>0</v>
      </c>
      <c r="M93" s="7">
        <f t="shared" si="16"/>
        <v>0</v>
      </c>
    </row>
    <row r="94" spans="1:14" x14ac:dyDescent="0.25">
      <c r="A94" s="39" t="s">
        <v>98</v>
      </c>
      <c r="B94" s="46">
        <v>48026</v>
      </c>
      <c r="C94" s="46"/>
      <c r="D94" s="46"/>
      <c r="E94" s="46"/>
      <c r="F94" s="46"/>
      <c r="G94" s="46"/>
      <c r="H94" s="46">
        <f>SUM(B94:G94)</f>
        <v>48026</v>
      </c>
      <c r="I94" s="19"/>
      <c r="K94" s="46">
        <v>296277</v>
      </c>
      <c r="M94" s="46">
        <f t="shared" si="16"/>
        <v>-248251</v>
      </c>
    </row>
    <row r="95" spans="1:14" x14ac:dyDescent="0.25">
      <c r="A95" s="39" t="s">
        <v>99</v>
      </c>
      <c r="B95" s="46"/>
      <c r="C95" s="46"/>
      <c r="D95" s="46"/>
      <c r="E95" s="46"/>
      <c r="F95" s="46"/>
      <c r="G95" s="46"/>
      <c r="H95" s="46">
        <f>SUM(B95:G95)</f>
        <v>0</v>
      </c>
      <c r="I95" s="19"/>
      <c r="K95" s="46">
        <v>0</v>
      </c>
      <c r="M95" s="46">
        <f t="shared" si="16"/>
        <v>0</v>
      </c>
    </row>
    <row r="96" spans="1:14" x14ac:dyDescent="0.25">
      <c r="A96" s="66" t="s">
        <v>100</v>
      </c>
      <c r="B96" s="67">
        <f>SUM(B92:B95)</f>
        <v>48026</v>
      </c>
      <c r="C96" s="67">
        <f t="shared" ref="C96:D96" si="23">SUM(C92:C95)</f>
        <v>0</v>
      </c>
      <c r="D96" s="67">
        <f t="shared" si="23"/>
        <v>0</v>
      </c>
      <c r="E96" s="67"/>
      <c r="F96" s="67"/>
      <c r="G96" s="67"/>
      <c r="H96" s="67">
        <f>SUM(H92:H95)</f>
        <v>48026</v>
      </c>
      <c r="I96" s="10"/>
      <c r="J96" s="10"/>
      <c r="K96" s="67">
        <v>296277</v>
      </c>
      <c r="L96" s="10"/>
      <c r="M96" s="67">
        <f>SUM(M92:M95)</f>
        <v>-248251</v>
      </c>
      <c r="N96" s="10"/>
    </row>
    <row r="97" spans="1:14" x14ac:dyDescent="0.25">
      <c r="A97" s="73" t="s">
        <v>101</v>
      </c>
      <c r="B97" s="74">
        <f>B80+B90+B96</f>
        <v>2202672.5018888847</v>
      </c>
      <c r="C97" s="74">
        <f t="shared" ref="C97:H97" si="24">C80+C90+C96</f>
        <v>138113.51351351349</v>
      </c>
      <c r="D97" s="74">
        <f t="shared" si="24"/>
        <v>214164</v>
      </c>
      <c r="E97" s="74">
        <f t="shared" si="24"/>
        <v>0</v>
      </c>
      <c r="F97" s="74">
        <f t="shared" si="24"/>
        <v>53120</v>
      </c>
      <c r="G97" s="74">
        <f t="shared" si="24"/>
        <v>16520.96</v>
      </c>
      <c r="H97" s="74">
        <f t="shared" si="24"/>
        <v>2624590.975402398</v>
      </c>
      <c r="I97" s="10"/>
      <c r="J97" s="10"/>
      <c r="K97" s="74">
        <v>2537430.9882999994</v>
      </c>
      <c r="L97" s="10"/>
      <c r="M97" s="74">
        <f t="shared" ref="M97" si="25">M80+M90+M96</f>
        <v>87159.987102398591</v>
      </c>
      <c r="N97" s="10"/>
    </row>
    <row r="98" spans="1:14" x14ac:dyDescent="0.25">
      <c r="A98" s="68" t="s">
        <v>102</v>
      </c>
      <c r="B98" s="60"/>
      <c r="C98" s="60"/>
      <c r="D98" s="60"/>
      <c r="E98" s="60"/>
      <c r="F98" s="60"/>
      <c r="G98" s="60"/>
      <c r="H98" s="61"/>
      <c r="I98" s="10"/>
      <c r="J98" s="10"/>
      <c r="K98" s="61"/>
      <c r="L98" s="10"/>
      <c r="M98" s="61">
        <f t="shared" si="16"/>
        <v>0</v>
      </c>
      <c r="N98" s="10"/>
    </row>
    <row r="99" spans="1:14" x14ac:dyDescent="0.25">
      <c r="A99" s="39" t="s">
        <v>103</v>
      </c>
      <c r="B99" s="7">
        <v>0</v>
      </c>
      <c r="C99" s="7">
        <v>0</v>
      </c>
      <c r="D99" s="7">
        <v>0</v>
      </c>
      <c r="E99" s="7">
        <v>0</v>
      </c>
      <c r="F99" s="7">
        <v>0</v>
      </c>
      <c r="G99" s="7">
        <v>0</v>
      </c>
      <c r="H99" s="7">
        <f>SUM(B99:G99)</f>
        <v>0</v>
      </c>
      <c r="I99" s="19"/>
      <c r="J99" s="10"/>
      <c r="K99" s="7">
        <v>0</v>
      </c>
      <c r="L99" s="10"/>
      <c r="M99" s="7">
        <f t="shared" si="16"/>
        <v>0</v>
      </c>
      <c r="N99" s="10"/>
    </row>
    <row r="100" spans="1:14" x14ac:dyDescent="0.25">
      <c r="A100" s="39" t="s">
        <v>104</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105</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106</v>
      </c>
      <c r="B105" s="76" t="str">
        <f>B1</f>
        <v>Operating</v>
      </c>
      <c r="C105" s="76" t="str">
        <f>C1</f>
        <v>SPED</v>
      </c>
      <c r="D105" s="76" t="str">
        <f>D1</f>
        <v>NSLP</v>
      </c>
      <c r="E105" s="76" t="str">
        <f>E1</f>
        <v>Other</v>
      </c>
      <c r="F105" s="76" t="str">
        <f t="shared" ref="F105:G105" si="27">F1</f>
        <v>Title I</v>
      </c>
      <c r="G105" s="76" t="str">
        <f t="shared" si="27"/>
        <v>Title II/III/IV</v>
      </c>
      <c r="H105" s="76" t="str">
        <f>H1</f>
        <v>Total (27-28)</v>
      </c>
      <c r="I105" s="10"/>
      <c r="J105" s="10"/>
      <c r="K105" s="76" t="s">
        <v>238</v>
      </c>
      <c r="L105" s="10"/>
      <c r="M105" s="76" t="str">
        <f t="shared" ref="M105" si="28">M1</f>
        <v>Variance</v>
      </c>
      <c r="N105" s="10"/>
    </row>
    <row r="106" spans="1:14" x14ac:dyDescent="0.25">
      <c r="A106" s="59" t="s">
        <v>107</v>
      </c>
      <c r="B106" s="60"/>
      <c r="C106" s="60"/>
      <c r="D106" s="60"/>
      <c r="E106" s="60"/>
      <c r="F106" s="60"/>
      <c r="G106" s="60"/>
      <c r="H106" s="61"/>
      <c r="I106" s="10"/>
      <c r="J106" s="10"/>
      <c r="K106" s="61"/>
      <c r="L106" s="10"/>
      <c r="M106" s="61">
        <f t="shared" si="16"/>
        <v>0</v>
      </c>
      <c r="N106" s="10"/>
    </row>
    <row r="107" spans="1:14" x14ac:dyDescent="0.25">
      <c r="A107" s="39" t="s">
        <v>47</v>
      </c>
      <c r="B107" s="14">
        <f>'26-27'!B107*1.015</f>
        <v>141166.58062499997</v>
      </c>
      <c r="C107" s="14">
        <f>'26-27'!C107*1.015</f>
        <v>0</v>
      </c>
      <c r="D107" s="14">
        <f>'26-27'!D107*1.015</f>
        <v>0</v>
      </c>
      <c r="E107" s="14">
        <f>'26-27'!E107*1.015</f>
        <v>0</v>
      </c>
      <c r="F107" s="14">
        <f>'26-27'!F107*1.015</f>
        <v>0</v>
      </c>
      <c r="G107" s="14">
        <f>'26-27'!G107*1.015</f>
        <v>0</v>
      </c>
      <c r="H107" s="7">
        <f t="shared" ref="H107:H120" si="29">SUM(B107:G107)</f>
        <v>141166.58062499997</v>
      </c>
      <c r="I107" s="19"/>
      <c r="K107" s="7">
        <v>139080.375</v>
      </c>
      <c r="M107" s="7">
        <f t="shared" si="16"/>
        <v>2086.2056249999732</v>
      </c>
    </row>
    <row r="108" spans="1:14" x14ac:dyDescent="0.25">
      <c r="A108" s="39" t="s">
        <v>48</v>
      </c>
      <c r="B108" s="14">
        <f>'26-27'!B108*1.015</f>
        <v>130709.79687499996</v>
      </c>
      <c r="C108" s="14">
        <f>'26-27'!C108*1.015</f>
        <v>0</v>
      </c>
      <c r="D108" s="14">
        <f>'26-27'!D108*1.015</f>
        <v>0</v>
      </c>
      <c r="E108" s="14">
        <f>'26-27'!E108*1.015</f>
        <v>0</v>
      </c>
      <c r="F108" s="14">
        <f>'26-27'!F108*1.015</f>
        <v>0</v>
      </c>
      <c r="G108" s="14">
        <f>'26-27'!G108*1.015</f>
        <v>0</v>
      </c>
      <c r="H108" s="7">
        <f t="shared" si="29"/>
        <v>130709.79687499996</v>
      </c>
      <c r="I108" s="19"/>
      <c r="K108" s="7">
        <v>128778.12499999997</v>
      </c>
      <c r="M108" s="7">
        <f t="shared" si="16"/>
        <v>1931.6718749999854</v>
      </c>
    </row>
    <row r="109" spans="1:14" x14ac:dyDescent="0.25">
      <c r="A109" s="39" t="s">
        <v>49</v>
      </c>
      <c r="B109" s="14">
        <f>'26-27'!B109*1.015</f>
        <v>0</v>
      </c>
      <c r="C109" s="14">
        <f>'26-27'!C109*1.015</f>
        <v>0</v>
      </c>
      <c r="D109" s="14">
        <f>'26-27'!D109*1.015</f>
        <v>0</v>
      </c>
      <c r="E109" s="14">
        <f>'26-27'!E109*1.015</f>
        <v>0</v>
      </c>
      <c r="F109" s="14">
        <f>'26-27'!F109*1.015</f>
        <v>84323.504159999968</v>
      </c>
      <c r="G109" s="14">
        <f>'26-27'!G109*1.015</f>
        <v>0</v>
      </c>
      <c r="H109" s="7">
        <f t="shared" si="29"/>
        <v>84323.504159999968</v>
      </c>
      <c r="I109" s="19"/>
      <c r="K109" s="7">
        <v>83077.343999999983</v>
      </c>
      <c r="M109" s="7">
        <f t="shared" si="16"/>
        <v>1246.1601599999849</v>
      </c>
    </row>
    <row r="110" spans="1:14" x14ac:dyDescent="0.25">
      <c r="A110" s="42" t="s">
        <v>50</v>
      </c>
      <c r="B110" s="14">
        <f>'26-27'!B110*1.015</f>
        <v>0</v>
      </c>
      <c r="C110" s="14">
        <f>'26-27'!C110*1.015</f>
        <v>0</v>
      </c>
      <c r="D110" s="14">
        <f>'26-27'!D110*1.015</f>
        <v>0</v>
      </c>
      <c r="E110" s="14">
        <f>'26-27'!E110*1.015</f>
        <v>0</v>
      </c>
      <c r="F110" s="14">
        <f>'26-27'!F110*1.015</f>
        <v>0</v>
      </c>
      <c r="G110" s="14">
        <f>'26-27'!G110*1.015</f>
        <v>0</v>
      </c>
      <c r="H110" s="7">
        <f t="shared" si="29"/>
        <v>0</v>
      </c>
      <c r="I110" s="19"/>
      <c r="K110" s="7">
        <v>0</v>
      </c>
      <c r="M110" s="7">
        <f t="shared" si="16"/>
        <v>0</v>
      </c>
    </row>
    <row r="111" spans="1:14" x14ac:dyDescent="0.25">
      <c r="A111" s="42" t="s">
        <v>51</v>
      </c>
      <c r="B111" s="14">
        <f>'26-27'!B111*1.015</f>
        <v>0</v>
      </c>
      <c r="C111" s="14">
        <f>'26-27'!C111*1.015</f>
        <v>0</v>
      </c>
      <c r="D111" s="14">
        <f>'26-27'!D111*1.015</f>
        <v>0</v>
      </c>
      <c r="E111" s="14">
        <f>'26-27'!E111*1.015</f>
        <v>0</v>
      </c>
      <c r="F111" s="14">
        <f>'26-27'!F111*1.015</f>
        <v>0</v>
      </c>
      <c r="G111" s="14">
        <f>'26-27'!G111*1.015</f>
        <v>0</v>
      </c>
      <c r="H111" s="7">
        <f t="shared" si="29"/>
        <v>0</v>
      </c>
      <c r="I111" s="19"/>
      <c r="K111" s="7">
        <v>0</v>
      </c>
      <c r="M111" s="7">
        <f t="shared" si="16"/>
        <v>0</v>
      </c>
    </row>
    <row r="112" spans="1:14" x14ac:dyDescent="0.25">
      <c r="A112" s="42" t="s">
        <v>52</v>
      </c>
      <c r="B112" s="14">
        <f>'26-27'!B112*1.015</f>
        <v>53852.43631249998</v>
      </c>
      <c r="C112" s="14">
        <f>'26-27'!C112*1.015</f>
        <v>0</v>
      </c>
      <c r="D112" s="14">
        <f>'26-27'!D112*1.015</f>
        <v>0</v>
      </c>
      <c r="E112" s="14">
        <f>'26-27'!E112*1.015</f>
        <v>0</v>
      </c>
      <c r="F112" s="14">
        <f>'26-27'!F112*1.015</f>
        <v>0</v>
      </c>
      <c r="G112" s="14">
        <f>'26-27'!G112*1.015</f>
        <v>0</v>
      </c>
      <c r="H112" s="7">
        <f t="shared" si="29"/>
        <v>53852.43631249998</v>
      </c>
      <c r="I112" s="19"/>
      <c r="K112" s="7">
        <v>53056.587499999987</v>
      </c>
      <c r="M112" s="7">
        <f t="shared" si="16"/>
        <v>795.84881249999307</v>
      </c>
    </row>
    <row r="113" spans="1:14" x14ac:dyDescent="0.25">
      <c r="A113" s="39" t="s">
        <v>108</v>
      </c>
      <c r="B113" s="14">
        <f>'26-27'!B113*1.015</f>
        <v>0</v>
      </c>
      <c r="C113" s="14">
        <f>'26-27'!C113*1.015</f>
        <v>0</v>
      </c>
      <c r="D113" s="14">
        <f>'26-27'!D113*1.015</f>
        <v>0</v>
      </c>
      <c r="E113" s="14">
        <f>'26-27'!E113*1.015</f>
        <v>0</v>
      </c>
      <c r="F113" s="14">
        <f>'26-27'!F113*1.015</f>
        <v>0</v>
      </c>
      <c r="G113" s="14">
        <f>'26-27'!G113*1.015</f>
        <v>0</v>
      </c>
      <c r="H113" s="7">
        <f t="shared" si="29"/>
        <v>0</v>
      </c>
      <c r="I113" s="19"/>
      <c r="K113" s="7">
        <v>0</v>
      </c>
      <c r="M113" s="7">
        <f t="shared" si="16"/>
        <v>0</v>
      </c>
    </row>
    <row r="114" spans="1:14" x14ac:dyDescent="0.25">
      <c r="A114" s="39" t="s">
        <v>109</v>
      </c>
      <c r="B114" s="7">
        <f>B36*59000</f>
        <v>472000</v>
      </c>
      <c r="C114" s="7"/>
      <c r="D114" s="7"/>
      <c r="E114" s="7"/>
      <c r="F114" s="7"/>
      <c r="G114" s="7"/>
      <c r="H114" s="7">
        <f t="shared" si="29"/>
        <v>472000</v>
      </c>
      <c r="I114" s="26">
        <f>H114/(H36-H28)</f>
        <v>59000</v>
      </c>
      <c r="K114" s="7">
        <v>464000</v>
      </c>
      <c r="M114" s="7">
        <f t="shared" si="16"/>
        <v>8000</v>
      </c>
    </row>
    <row r="115" spans="1:14" x14ac:dyDescent="0.25">
      <c r="A115" s="39" t="s">
        <v>37</v>
      </c>
      <c r="B115" s="7"/>
      <c r="C115" s="7">
        <f>59000*C36</f>
        <v>59000</v>
      </c>
      <c r="D115" s="7"/>
      <c r="E115" s="7"/>
      <c r="F115" s="7"/>
      <c r="G115" s="7"/>
      <c r="H115" s="7">
        <f t="shared" si="29"/>
        <v>59000</v>
      </c>
      <c r="I115" s="19"/>
      <c r="K115" s="7">
        <v>58000</v>
      </c>
      <c r="M115" s="7">
        <f t="shared" si="16"/>
        <v>1000</v>
      </c>
    </row>
    <row r="116" spans="1:14" x14ac:dyDescent="0.25">
      <c r="A116" s="39" t="s">
        <v>110</v>
      </c>
      <c r="B116" s="14">
        <f>'26-27'!B116*1.015</f>
        <v>62740.702499999978</v>
      </c>
      <c r="C116" s="7"/>
      <c r="D116" s="7"/>
      <c r="E116" s="7"/>
      <c r="F116" s="7"/>
      <c r="G116" s="7"/>
      <c r="H116" s="7">
        <f t="shared" si="29"/>
        <v>62740.702499999978</v>
      </c>
      <c r="I116" s="19"/>
      <c r="K116" s="7">
        <v>61813.499999999985</v>
      </c>
      <c r="M116" s="7">
        <f t="shared" si="16"/>
        <v>927.20249999999214</v>
      </c>
    </row>
    <row r="117" spans="1:14" x14ac:dyDescent="0.25">
      <c r="A117" s="39" t="s">
        <v>111</v>
      </c>
      <c r="B117" s="14">
        <f>(14*8*190)*(B49+B48)</f>
        <v>0</v>
      </c>
      <c r="C117" s="7"/>
      <c r="D117" s="7"/>
      <c r="E117" s="7"/>
      <c r="F117" s="7"/>
      <c r="G117" s="7"/>
      <c r="H117" s="7">
        <f t="shared" si="29"/>
        <v>0</v>
      </c>
      <c r="I117" s="19"/>
      <c r="K117" s="7">
        <v>0</v>
      </c>
      <c r="M117" s="7">
        <f t="shared" si="16"/>
        <v>0</v>
      </c>
    </row>
    <row r="118" spans="1:14" x14ac:dyDescent="0.25">
      <c r="A118" s="39" t="s">
        <v>112</v>
      </c>
      <c r="B118" s="7">
        <f>(16.5*8*180)*B50</f>
        <v>23760</v>
      </c>
      <c r="C118" s="7">
        <f t="shared" ref="C118:D118" si="30">(14*8*180)*C50</f>
        <v>0</v>
      </c>
      <c r="D118" s="7">
        <f t="shared" si="30"/>
        <v>0</v>
      </c>
      <c r="E118" s="7"/>
      <c r="F118" s="14">
        <f>(15.25*8*180)*F50</f>
        <v>0</v>
      </c>
      <c r="G118" s="7"/>
      <c r="H118" s="7">
        <f t="shared" si="29"/>
        <v>23760</v>
      </c>
      <c r="I118" s="19"/>
      <c r="K118" s="7">
        <v>23040</v>
      </c>
      <c r="M118" s="7">
        <f t="shared" si="16"/>
        <v>720</v>
      </c>
    </row>
    <row r="119" spans="1:14" x14ac:dyDescent="0.25">
      <c r="A119" s="39" t="s">
        <v>113</v>
      </c>
      <c r="B119" s="14">
        <f>(17*8*210)*B51</f>
        <v>0</v>
      </c>
      <c r="C119" s="7"/>
      <c r="D119" s="7"/>
      <c r="E119" s="7"/>
      <c r="F119" s="7"/>
      <c r="G119" s="7"/>
      <c r="H119" s="7">
        <f t="shared" si="29"/>
        <v>0</v>
      </c>
      <c r="I119" s="19"/>
      <c r="K119" s="7">
        <v>0</v>
      </c>
      <c r="M119" s="7">
        <f t="shared" si="16"/>
        <v>0</v>
      </c>
    </row>
    <row r="120" spans="1:14" x14ac:dyDescent="0.25">
      <c r="A120" s="39" t="s">
        <v>60</v>
      </c>
      <c r="B120" s="7"/>
      <c r="C120" s="7"/>
      <c r="D120" s="7"/>
      <c r="E120" s="7"/>
      <c r="F120" s="7"/>
      <c r="G120" s="7"/>
      <c r="H120" s="7">
        <f t="shared" si="29"/>
        <v>0</v>
      </c>
      <c r="I120" s="19"/>
      <c r="K120" s="7">
        <v>0</v>
      </c>
      <c r="M120" s="7">
        <f t="shared" si="16"/>
        <v>0</v>
      </c>
    </row>
    <row r="121" spans="1:14" x14ac:dyDescent="0.25">
      <c r="A121" s="77" t="s">
        <v>114</v>
      </c>
      <c r="B121" s="78">
        <f>SUM(B107:B120)</f>
        <v>884229.51631249988</v>
      </c>
      <c r="C121" s="78">
        <f t="shared" ref="C121:G121" si="31">SUM(C107:C120)</f>
        <v>59000</v>
      </c>
      <c r="D121" s="78">
        <f t="shared" si="31"/>
        <v>0</v>
      </c>
      <c r="E121" s="78">
        <f t="shared" si="31"/>
        <v>0</v>
      </c>
      <c r="F121" s="78">
        <f t="shared" si="31"/>
        <v>84323.504159999968</v>
      </c>
      <c r="G121" s="78">
        <f t="shared" si="31"/>
        <v>0</v>
      </c>
      <c r="H121" s="78">
        <f>SUM(H107:H120)</f>
        <v>1027553.0204724999</v>
      </c>
      <c r="I121" s="10"/>
      <c r="J121" s="10"/>
      <c r="K121" s="78">
        <v>1010845.9314999999</v>
      </c>
      <c r="L121" s="10"/>
      <c r="M121" s="78">
        <f>SUM(M107:M120)</f>
        <v>16707.088972499929</v>
      </c>
      <c r="N121" s="10"/>
    </row>
    <row r="122" spans="1:14" x14ac:dyDescent="0.25">
      <c r="A122" s="79" t="s">
        <v>115</v>
      </c>
      <c r="B122" s="60"/>
      <c r="C122" s="60"/>
      <c r="D122" s="60"/>
      <c r="E122" s="60"/>
      <c r="F122" s="60"/>
      <c r="G122" s="60"/>
      <c r="H122" s="61"/>
      <c r="I122" s="10"/>
      <c r="J122" s="10"/>
      <c r="K122" s="61"/>
      <c r="L122" s="10"/>
      <c r="M122" s="61">
        <f t="shared" si="16"/>
        <v>0</v>
      </c>
      <c r="N122" s="10"/>
    </row>
    <row r="123" spans="1:14" x14ac:dyDescent="0.25">
      <c r="A123" s="39" t="s">
        <v>62</v>
      </c>
      <c r="B123" s="7">
        <v>0</v>
      </c>
      <c r="C123" s="7"/>
      <c r="D123" s="7"/>
      <c r="E123" s="7"/>
      <c r="F123" s="7"/>
      <c r="G123" s="7"/>
      <c r="H123" s="34">
        <f t="shared" ref="H123:H130" si="32">SUM(B123:G123)</f>
        <v>0</v>
      </c>
      <c r="I123" s="19"/>
      <c r="K123" s="34">
        <v>0</v>
      </c>
      <c r="M123" s="7">
        <f t="shared" si="16"/>
        <v>0</v>
      </c>
    </row>
    <row r="124" spans="1:14" x14ac:dyDescent="0.25">
      <c r="A124" s="39" t="s">
        <v>63</v>
      </c>
      <c r="B124" s="7">
        <v>0</v>
      </c>
      <c r="C124" s="7"/>
      <c r="D124" s="7"/>
      <c r="E124" s="7"/>
      <c r="F124" s="7"/>
      <c r="G124" s="7"/>
      <c r="H124" s="34">
        <f t="shared" si="32"/>
        <v>0</v>
      </c>
      <c r="I124" s="19"/>
      <c r="K124" s="34">
        <v>0</v>
      </c>
      <c r="M124" s="34">
        <f t="shared" si="16"/>
        <v>0</v>
      </c>
    </row>
    <row r="125" spans="1:14" x14ac:dyDescent="0.25">
      <c r="A125" s="39" t="s">
        <v>64</v>
      </c>
      <c r="B125" s="7">
        <v>0</v>
      </c>
      <c r="C125" s="7"/>
      <c r="D125" s="7"/>
      <c r="E125" s="7"/>
      <c r="F125" s="7"/>
      <c r="G125" s="7"/>
      <c r="H125" s="7">
        <f t="shared" si="32"/>
        <v>0</v>
      </c>
      <c r="I125" s="19"/>
      <c r="K125" s="7">
        <v>0</v>
      </c>
      <c r="M125" s="7">
        <f t="shared" si="16"/>
        <v>0</v>
      </c>
    </row>
    <row r="126" spans="1:14" x14ac:dyDescent="0.25">
      <c r="A126" s="39" t="s">
        <v>116</v>
      </c>
      <c r="B126" s="7">
        <v>0</v>
      </c>
      <c r="C126" s="7"/>
      <c r="D126" s="7"/>
      <c r="E126" s="7"/>
      <c r="F126" s="7"/>
      <c r="G126" s="7"/>
      <c r="H126" s="34">
        <f t="shared" si="32"/>
        <v>0</v>
      </c>
      <c r="I126" s="19"/>
      <c r="K126" s="34">
        <v>0</v>
      </c>
      <c r="M126" s="34">
        <f t="shared" si="16"/>
        <v>0</v>
      </c>
    </row>
    <row r="127" spans="1:14" x14ac:dyDescent="0.25">
      <c r="A127" s="39" t="s">
        <v>66</v>
      </c>
      <c r="B127" s="7">
        <v>0</v>
      </c>
      <c r="C127" s="7"/>
      <c r="D127" s="7"/>
      <c r="E127" s="7"/>
      <c r="F127" s="7"/>
      <c r="G127" s="7"/>
      <c r="H127" s="34">
        <f t="shared" si="32"/>
        <v>0</v>
      </c>
      <c r="I127" s="19"/>
      <c r="K127" s="34">
        <v>0</v>
      </c>
      <c r="M127" s="34">
        <f t="shared" si="16"/>
        <v>0</v>
      </c>
    </row>
    <row r="128" spans="1:14" x14ac:dyDescent="0.25">
      <c r="A128" s="39" t="s">
        <v>117</v>
      </c>
      <c r="B128" s="7">
        <v>0</v>
      </c>
      <c r="C128" s="7"/>
      <c r="D128" s="7"/>
      <c r="E128" s="7"/>
      <c r="F128" s="7"/>
      <c r="G128" s="7"/>
      <c r="H128" s="34">
        <f t="shared" si="32"/>
        <v>0</v>
      </c>
      <c r="I128" s="19"/>
      <c r="K128" s="34">
        <v>0</v>
      </c>
      <c r="M128" s="34">
        <f t="shared" si="16"/>
        <v>0</v>
      </c>
    </row>
    <row r="129" spans="1:14" x14ac:dyDescent="0.25">
      <c r="A129" s="39" t="s">
        <v>118</v>
      </c>
      <c r="B129" s="7">
        <f>(12.5*6*185)*B52</f>
        <v>0</v>
      </c>
      <c r="C129" s="7">
        <f>(12.5*6*185)*C52</f>
        <v>0</v>
      </c>
      <c r="D129" s="7">
        <f>(25.5*8*200)*D52</f>
        <v>40800</v>
      </c>
      <c r="E129" s="7"/>
      <c r="F129" s="7"/>
      <c r="G129" s="7"/>
      <c r="H129" s="7">
        <f t="shared" si="32"/>
        <v>40800</v>
      </c>
      <c r="I129" s="19"/>
      <c r="K129" s="7">
        <v>40000</v>
      </c>
      <c r="M129" s="7">
        <f t="shared" si="16"/>
        <v>800</v>
      </c>
    </row>
    <row r="130" spans="1:14" x14ac:dyDescent="0.25">
      <c r="A130" s="39" t="s">
        <v>67</v>
      </c>
      <c r="B130" s="46">
        <v>0</v>
      </c>
      <c r="C130" s="7"/>
      <c r="D130" s="7"/>
      <c r="E130" s="7"/>
      <c r="F130" s="7"/>
      <c r="G130" s="7">
        <v>0</v>
      </c>
      <c r="H130" s="34">
        <f t="shared" si="32"/>
        <v>0</v>
      </c>
      <c r="I130" s="19"/>
      <c r="K130" s="34">
        <v>0</v>
      </c>
      <c r="M130" s="7">
        <f t="shared" ref="M130:M140" si="33">H130-K130</f>
        <v>0</v>
      </c>
    </row>
    <row r="131" spans="1:14" x14ac:dyDescent="0.25">
      <c r="A131" s="80" t="s">
        <v>119</v>
      </c>
      <c r="B131" s="81">
        <f>SUM(B123:B130)</f>
        <v>0</v>
      </c>
      <c r="C131" s="81">
        <f>SUM(C123:C130)</f>
        <v>0</v>
      </c>
      <c r="D131" s="81">
        <f>SUM(D123:D130)</f>
        <v>40800</v>
      </c>
      <c r="E131" s="81">
        <f>SUM(E123:E130)</f>
        <v>0</v>
      </c>
      <c r="F131" s="81">
        <f t="shared" ref="F131" si="34">SUM(F123:F130)</f>
        <v>0</v>
      </c>
      <c r="G131" s="81"/>
      <c r="H131" s="81">
        <f>SUM(H123:H130)</f>
        <v>40800</v>
      </c>
      <c r="I131" s="25"/>
      <c r="J131" s="28"/>
      <c r="K131" s="81">
        <v>40000</v>
      </c>
      <c r="L131" s="10"/>
      <c r="M131" s="81">
        <f>SUM(M123:M130)</f>
        <v>800</v>
      </c>
      <c r="N131" s="28"/>
    </row>
    <row r="132" spans="1:14" x14ac:dyDescent="0.25">
      <c r="A132" s="82" t="s">
        <v>120</v>
      </c>
      <c r="B132" s="83">
        <f>B121+B131</f>
        <v>884229.51631249988</v>
      </c>
      <c r="C132" s="83">
        <f>C121+C131</f>
        <v>59000</v>
      </c>
      <c r="D132" s="83">
        <f>D121+D131</f>
        <v>40800</v>
      </c>
      <c r="E132" s="83">
        <f>E121+E131</f>
        <v>0</v>
      </c>
      <c r="F132" s="83">
        <f t="shared" ref="F132:G132" si="35">F121+F131</f>
        <v>84323.504159999968</v>
      </c>
      <c r="G132" s="83">
        <f t="shared" si="35"/>
        <v>0</v>
      </c>
      <c r="H132" s="83">
        <f>H121+H131</f>
        <v>1068353.0204725</v>
      </c>
      <c r="I132" s="28"/>
      <c r="J132" s="10"/>
      <c r="K132" s="83">
        <v>1050845.9314999999</v>
      </c>
      <c r="L132" s="10"/>
      <c r="M132" s="83">
        <f>M121+M131</f>
        <v>17507.088972499929</v>
      </c>
      <c r="N132" s="10"/>
    </row>
    <row r="133" spans="1:14" x14ac:dyDescent="0.25">
      <c r="A133" s="39" t="s">
        <v>121</v>
      </c>
      <c r="B133" s="63">
        <f>(B132-B109-58710)*0.3675</f>
        <v>303378.42224484368</v>
      </c>
      <c r="C133" s="63">
        <f>(C132-C109)*0.3675</f>
        <v>21682.5</v>
      </c>
      <c r="D133" s="63">
        <f>(D132-D109)*0.3675</f>
        <v>14994</v>
      </c>
      <c r="E133" s="63">
        <f>(E132-E109-E113)*0.3675</f>
        <v>0</v>
      </c>
      <c r="F133" s="63">
        <f>(F132-F109)*0.3675</f>
        <v>0</v>
      </c>
      <c r="G133" s="63">
        <f>G132*0.3675</f>
        <v>0</v>
      </c>
      <c r="H133" s="7">
        <f t="shared" ref="H133:H140" si="36">SUM(B133:G133)</f>
        <v>340054.92224484368</v>
      </c>
      <c r="I133" s="84">
        <f>H133/H132</f>
        <v>0.3182982738181877</v>
      </c>
      <c r="J133" s="85"/>
      <c r="K133" s="7">
        <v>334079.03090624994</v>
      </c>
      <c r="L133" s="85"/>
      <c r="M133" s="7">
        <f t="shared" si="33"/>
        <v>5975.891338593734</v>
      </c>
      <c r="N133" s="85"/>
    </row>
    <row r="134" spans="1:14" x14ac:dyDescent="0.25">
      <c r="A134" s="86" t="s">
        <v>122</v>
      </c>
      <c r="B134" s="14">
        <f>B132*0.13</f>
        <v>114949.83712062499</v>
      </c>
      <c r="C134" s="14">
        <f t="shared" ref="C134:G134" si="37">C132*0.13</f>
        <v>7670</v>
      </c>
      <c r="D134" s="14">
        <f t="shared" si="37"/>
        <v>5304</v>
      </c>
      <c r="E134" s="14">
        <f t="shared" si="37"/>
        <v>0</v>
      </c>
      <c r="F134" s="14">
        <f t="shared" si="37"/>
        <v>10962.055540799996</v>
      </c>
      <c r="G134" s="14">
        <f t="shared" si="37"/>
        <v>0</v>
      </c>
      <c r="H134" s="7">
        <f t="shared" si="36"/>
        <v>138885.89266142499</v>
      </c>
      <c r="I134" s="84">
        <f>H134/H132</f>
        <v>0.13</v>
      </c>
      <c r="J134" s="85"/>
      <c r="K134" s="7">
        <v>131355.74143749999</v>
      </c>
      <c r="L134" s="85"/>
      <c r="M134" s="7">
        <f t="shared" si="33"/>
        <v>7530.1512239250005</v>
      </c>
      <c r="N134" s="85"/>
    </row>
    <row r="135" spans="1:14" x14ac:dyDescent="0.25">
      <c r="A135" s="39" t="s">
        <v>123</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14000</v>
      </c>
      <c r="M135" s="7">
        <f t="shared" si="33"/>
        <v>0</v>
      </c>
    </row>
    <row r="136" spans="1:14" x14ac:dyDescent="0.25">
      <c r="A136" s="86" t="s">
        <v>124</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125</v>
      </c>
      <c r="B137" s="7">
        <v>0</v>
      </c>
      <c r="C137" s="14"/>
      <c r="D137" s="14"/>
      <c r="E137" s="14"/>
      <c r="F137" s="14">
        <v>0</v>
      </c>
      <c r="G137" s="14"/>
      <c r="H137" s="7">
        <f t="shared" si="36"/>
        <v>0</v>
      </c>
      <c r="I137" s="19"/>
      <c r="K137" s="7">
        <v>18240</v>
      </c>
      <c r="M137" s="7">
        <f t="shared" si="33"/>
        <v>-18240</v>
      </c>
    </row>
    <row r="138" spans="1:14" x14ac:dyDescent="0.25">
      <c r="A138" s="39" t="s">
        <v>126</v>
      </c>
      <c r="B138" s="7"/>
      <c r="C138" s="14"/>
      <c r="D138" s="14"/>
      <c r="E138" s="14"/>
      <c r="F138" s="14"/>
      <c r="G138" s="14"/>
      <c r="H138" s="7">
        <f t="shared" si="36"/>
        <v>0</v>
      </c>
      <c r="I138" s="19"/>
      <c r="K138" s="7">
        <v>0</v>
      </c>
      <c r="M138" s="7">
        <f t="shared" si="33"/>
        <v>0</v>
      </c>
    </row>
    <row r="139" spans="1:14" x14ac:dyDescent="0.25">
      <c r="A139" s="39" t="s">
        <v>127</v>
      </c>
      <c r="B139" s="14">
        <v>5000</v>
      </c>
      <c r="C139" s="14"/>
      <c r="D139" s="14"/>
      <c r="E139" s="14"/>
      <c r="F139" s="14"/>
      <c r="G139" s="14"/>
      <c r="H139" s="7">
        <f t="shared" si="36"/>
        <v>5000</v>
      </c>
      <c r="I139" s="19"/>
      <c r="K139" s="7">
        <v>5000</v>
      </c>
      <c r="M139" s="7">
        <f t="shared" si="33"/>
        <v>0</v>
      </c>
    </row>
    <row r="140" spans="1:14" x14ac:dyDescent="0.25">
      <c r="A140" s="39" t="s">
        <v>128</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129</v>
      </c>
      <c r="K140" s="7">
        <v>18315</v>
      </c>
      <c r="M140" s="7">
        <f t="shared" si="33"/>
        <v>0</v>
      </c>
    </row>
    <row r="141" spans="1:14" x14ac:dyDescent="0.25">
      <c r="A141" s="90" t="s">
        <v>130</v>
      </c>
      <c r="B141" s="91">
        <f>SUM(B133:B140)</f>
        <v>454233.25936546864</v>
      </c>
      <c r="C141" s="91">
        <f t="shared" ref="C141:G141" si="41">SUM(C133:C140)</f>
        <v>32762.5</v>
      </c>
      <c r="D141" s="91">
        <f t="shared" si="41"/>
        <v>20923</v>
      </c>
      <c r="E141" s="91">
        <f t="shared" si="41"/>
        <v>0</v>
      </c>
      <c r="F141" s="91">
        <f t="shared" si="41"/>
        <v>10962.055540799996</v>
      </c>
      <c r="G141" s="91">
        <f t="shared" si="41"/>
        <v>0</v>
      </c>
      <c r="H141" s="91">
        <f>SUM(H133:H140)</f>
        <v>518880.81490626867</v>
      </c>
      <c r="I141" s="10"/>
      <c r="J141" s="10"/>
      <c r="K141" s="91">
        <v>523614.77234374994</v>
      </c>
      <c r="L141" s="10"/>
      <c r="M141" s="91">
        <f>SUM(M133:M140)</f>
        <v>-4733.9574374812655</v>
      </c>
      <c r="N141" s="10"/>
    </row>
    <row r="142" spans="1:14" x14ac:dyDescent="0.25">
      <c r="A142" s="82" t="s">
        <v>131</v>
      </c>
      <c r="B142" s="83">
        <f>B132+B141</f>
        <v>1338462.7756779685</v>
      </c>
      <c r="C142" s="83">
        <f>C132+C141</f>
        <v>91762.5</v>
      </c>
      <c r="D142" s="83">
        <f>D132+D141</f>
        <v>61723</v>
      </c>
      <c r="E142" s="83">
        <f>E132+E141</f>
        <v>0</v>
      </c>
      <c r="F142" s="83">
        <f t="shared" ref="F142:G142" si="42">F132+F141</f>
        <v>95285.55970079996</v>
      </c>
      <c r="G142" s="83">
        <f t="shared" si="42"/>
        <v>0</v>
      </c>
      <c r="H142" s="83">
        <f>H132+H141</f>
        <v>1587233.8353787686</v>
      </c>
      <c r="I142" s="10"/>
      <c r="J142" s="10"/>
      <c r="K142" s="83">
        <v>1574460.7038437498</v>
      </c>
      <c r="L142" s="10"/>
      <c r="M142" s="83">
        <f>M132+M141</f>
        <v>12773.131535018663</v>
      </c>
      <c r="N142" s="10"/>
    </row>
    <row r="143" spans="1:14" x14ac:dyDescent="0.25">
      <c r="A143" s="92" t="s">
        <v>132</v>
      </c>
      <c r="B143" s="24" t="str">
        <f>B1</f>
        <v>Operating</v>
      </c>
      <c r="C143" s="24" t="str">
        <f>C1</f>
        <v>SPED</v>
      </c>
      <c r="D143" s="24" t="str">
        <f>D1</f>
        <v>NSLP</v>
      </c>
      <c r="E143" s="24" t="str">
        <f>E1</f>
        <v>Other</v>
      </c>
      <c r="F143" s="24" t="str">
        <f t="shared" ref="F143:G143" si="43">F1</f>
        <v>Title I</v>
      </c>
      <c r="G143" s="24" t="str">
        <f t="shared" si="43"/>
        <v>Title II/III/IV</v>
      </c>
      <c r="H143" s="24" t="str">
        <f>H1</f>
        <v>Total (27-28)</v>
      </c>
      <c r="I143" s="10"/>
      <c r="J143" s="10"/>
      <c r="K143" s="24" t="s">
        <v>238</v>
      </c>
      <c r="L143" s="10"/>
      <c r="M143" s="24" t="str">
        <f>M1</f>
        <v>Variance</v>
      </c>
      <c r="N143" s="10"/>
    </row>
    <row r="144" spans="1:14" x14ac:dyDescent="0.25">
      <c r="A144" s="93" t="s">
        <v>133</v>
      </c>
      <c r="B144" s="14">
        <f>210*B17</f>
        <v>37800</v>
      </c>
      <c r="C144" s="14"/>
      <c r="D144" s="14"/>
      <c r="E144" s="14"/>
      <c r="F144" s="14"/>
      <c r="G144" s="14"/>
      <c r="H144" s="7">
        <f t="shared" ref="H144:H153" si="44">SUM(B144:G144)</f>
        <v>37800</v>
      </c>
      <c r="I144" s="8" t="s">
        <v>134</v>
      </c>
      <c r="K144" s="7">
        <v>34650</v>
      </c>
      <c r="M144" s="7">
        <f t="shared" ref="M144:M153" si="45">H144-K144</f>
        <v>3150</v>
      </c>
    </row>
    <row r="145" spans="1:14" x14ac:dyDescent="0.25">
      <c r="A145" s="94" t="s">
        <v>135</v>
      </c>
      <c r="B145" s="14">
        <v>0</v>
      </c>
      <c r="C145" s="14"/>
      <c r="D145" s="14"/>
      <c r="E145" s="14"/>
      <c r="F145" s="14"/>
      <c r="G145" s="14"/>
      <c r="H145" s="7">
        <f t="shared" si="44"/>
        <v>0</v>
      </c>
      <c r="I145" s="19"/>
      <c r="K145" s="7">
        <v>0</v>
      </c>
      <c r="M145" s="7">
        <f t="shared" si="45"/>
        <v>0</v>
      </c>
    </row>
    <row r="146" spans="1:14" x14ac:dyDescent="0.25">
      <c r="A146" s="39" t="s">
        <v>136</v>
      </c>
      <c r="B146" s="14">
        <v>0</v>
      </c>
      <c r="C146" s="14"/>
      <c r="D146" s="14"/>
      <c r="E146" s="14"/>
      <c r="F146" s="14"/>
      <c r="G146" s="14"/>
      <c r="H146" s="7">
        <f t="shared" si="44"/>
        <v>0</v>
      </c>
      <c r="I146" s="19"/>
      <c r="K146" s="7">
        <v>0</v>
      </c>
      <c r="M146" s="7">
        <f t="shared" si="45"/>
        <v>0</v>
      </c>
    </row>
    <row r="147" spans="1:14" x14ac:dyDescent="0.25">
      <c r="A147" s="39" t="s">
        <v>138</v>
      </c>
      <c r="B147" s="14">
        <f>30*B17</f>
        <v>5400</v>
      </c>
      <c r="C147" s="14"/>
      <c r="D147" s="14"/>
      <c r="E147" s="14"/>
      <c r="F147" s="14"/>
      <c r="G147" s="14"/>
      <c r="H147" s="7">
        <f t="shared" si="44"/>
        <v>5400</v>
      </c>
      <c r="I147" s="8" t="s">
        <v>139</v>
      </c>
      <c r="K147" s="7">
        <v>4950</v>
      </c>
      <c r="M147" s="7">
        <f t="shared" si="45"/>
        <v>450</v>
      </c>
    </row>
    <row r="148" spans="1:14" x14ac:dyDescent="0.25">
      <c r="A148" s="39" t="s">
        <v>140</v>
      </c>
      <c r="B148" s="14">
        <f>40*B17</f>
        <v>7200</v>
      </c>
      <c r="C148" s="14"/>
      <c r="D148" s="14"/>
      <c r="E148" s="14"/>
      <c r="F148" s="14"/>
      <c r="G148" s="14"/>
      <c r="H148" s="7">
        <f t="shared" si="44"/>
        <v>7200</v>
      </c>
      <c r="I148" s="8" t="s">
        <v>141</v>
      </c>
      <c r="K148" s="7">
        <v>6600</v>
      </c>
      <c r="M148" s="7">
        <f t="shared" si="45"/>
        <v>600</v>
      </c>
    </row>
    <row r="149" spans="1:14" x14ac:dyDescent="0.25">
      <c r="A149" s="39" t="s">
        <v>142</v>
      </c>
      <c r="B149" s="14">
        <f>10*B17</f>
        <v>1800</v>
      </c>
      <c r="C149" s="14"/>
      <c r="D149" s="14"/>
      <c r="E149" s="14"/>
      <c r="F149" s="14"/>
      <c r="G149" s="14"/>
      <c r="H149" s="7">
        <f t="shared" si="44"/>
        <v>1800</v>
      </c>
      <c r="I149" s="8" t="s">
        <v>143</v>
      </c>
      <c r="K149" s="7">
        <v>1650</v>
      </c>
      <c r="M149" s="7">
        <f t="shared" si="45"/>
        <v>150</v>
      </c>
    </row>
    <row r="150" spans="1:14" x14ac:dyDescent="0.25">
      <c r="A150" s="39" t="s">
        <v>144</v>
      </c>
      <c r="B150" s="7">
        <f>8*B17</f>
        <v>1440</v>
      </c>
      <c r="C150" s="14"/>
      <c r="D150" s="14"/>
      <c r="E150" s="14"/>
      <c r="F150" s="14"/>
      <c r="G150" s="14"/>
      <c r="H150" s="7">
        <f t="shared" si="44"/>
        <v>1440</v>
      </c>
      <c r="I150" s="8" t="s">
        <v>145</v>
      </c>
      <c r="K150" s="7">
        <v>1320</v>
      </c>
      <c r="M150" s="7">
        <f t="shared" si="45"/>
        <v>120</v>
      </c>
    </row>
    <row r="151" spans="1:14" x14ac:dyDescent="0.25">
      <c r="A151" s="39" t="s">
        <v>146</v>
      </c>
      <c r="B151" s="7">
        <f>129*B20</f>
        <v>0</v>
      </c>
      <c r="C151" s="14">
        <f>150*(C20)</f>
        <v>4135.135135135135</v>
      </c>
      <c r="D151" s="14"/>
      <c r="E151" s="14"/>
      <c r="F151" s="14"/>
      <c r="G151" s="14"/>
      <c r="H151" s="7">
        <f t="shared" si="44"/>
        <v>4135.135135135135</v>
      </c>
      <c r="I151" s="8" t="s">
        <v>147</v>
      </c>
      <c r="K151" s="7">
        <v>2550</v>
      </c>
      <c r="M151" s="7">
        <f t="shared" si="45"/>
        <v>1585.135135135135</v>
      </c>
    </row>
    <row r="152" spans="1:14" x14ac:dyDescent="0.25">
      <c r="A152" s="39" t="s">
        <v>148</v>
      </c>
      <c r="B152" s="7">
        <v>7500</v>
      </c>
      <c r="C152" s="7"/>
      <c r="D152" s="7"/>
      <c r="E152" s="7"/>
      <c r="F152" s="7"/>
      <c r="G152" s="7"/>
      <c r="H152" s="7">
        <f t="shared" si="44"/>
        <v>7500</v>
      </c>
      <c r="I152" s="19"/>
      <c r="K152" s="7">
        <v>7500</v>
      </c>
      <c r="M152" s="7">
        <f t="shared" si="45"/>
        <v>0</v>
      </c>
    </row>
    <row r="153" spans="1:14" x14ac:dyDescent="0.25">
      <c r="A153" s="95" t="s">
        <v>149</v>
      </c>
      <c r="B153" s="96">
        <f>45*B17</f>
        <v>8100</v>
      </c>
      <c r="C153" s="7"/>
      <c r="D153" s="7"/>
      <c r="E153" s="7"/>
      <c r="F153" s="7"/>
      <c r="G153" s="7"/>
      <c r="H153" s="7">
        <f t="shared" si="44"/>
        <v>8100</v>
      </c>
      <c r="I153" s="19" t="s">
        <v>150</v>
      </c>
      <c r="K153" s="7">
        <v>7425</v>
      </c>
      <c r="M153" s="7">
        <f t="shared" si="45"/>
        <v>675</v>
      </c>
    </row>
    <row r="154" spans="1:14" x14ac:dyDescent="0.25">
      <c r="A154" s="82" t="s">
        <v>151</v>
      </c>
      <c r="B154" s="83">
        <f>SUM(B144:B153)</f>
        <v>69240</v>
      </c>
      <c r="C154" s="83">
        <f t="shared" ref="C154:G154" si="46">SUM(C144:C153)</f>
        <v>4135.135135135135</v>
      </c>
      <c r="D154" s="83">
        <f t="shared" si="46"/>
        <v>0</v>
      </c>
      <c r="E154" s="83">
        <f t="shared" si="46"/>
        <v>0</v>
      </c>
      <c r="F154" s="83">
        <f t="shared" si="46"/>
        <v>0</v>
      </c>
      <c r="G154" s="83">
        <f t="shared" si="46"/>
        <v>0</v>
      </c>
      <c r="H154" s="83">
        <f>SUM(H144:H153)</f>
        <v>73375.135135135133</v>
      </c>
      <c r="I154" s="10"/>
      <c r="J154" s="10"/>
      <c r="K154" s="83">
        <v>66645</v>
      </c>
      <c r="L154" s="10"/>
      <c r="M154" s="83">
        <f>SUM(M144:M153)</f>
        <v>6730.135135135135</v>
      </c>
      <c r="N154" s="10"/>
    </row>
    <row r="155" spans="1:14" x14ac:dyDescent="0.25">
      <c r="A155" s="92" t="s">
        <v>152</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(27-28)</v>
      </c>
      <c r="I155" s="10"/>
      <c r="J155" s="10"/>
      <c r="K155" s="24" t="s">
        <v>238</v>
      </c>
      <c r="L155" s="10"/>
      <c r="M155" s="24" t="str">
        <f>M1</f>
        <v>Variance</v>
      </c>
      <c r="N155" s="10"/>
    </row>
    <row r="156" spans="1:14" x14ac:dyDescent="0.25">
      <c r="A156" s="39" t="s">
        <v>153</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154</v>
      </c>
      <c r="B157" s="14">
        <v>0</v>
      </c>
      <c r="C157" s="14">
        <f>425*B17</f>
        <v>76500</v>
      </c>
      <c r="D157" s="7"/>
      <c r="E157" s="7"/>
      <c r="F157" s="7"/>
      <c r="G157" s="7"/>
      <c r="H157" s="7">
        <f t="shared" si="48"/>
        <v>76500</v>
      </c>
      <c r="I157" s="19" t="s">
        <v>155</v>
      </c>
      <c r="K157" s="7">
        <v>70125</v>
      </c>
      <c r="M157" s="7">
        <f t="shared" si="49"/>
        <v>6375</v>
      </c>
    </row>
    <row r="158" spans="1:14" x14ac:dyDescent="0.25">
      <c r="A158" s="39" t="s">
        <v>156</v>
      </c>
      <c r="B158" s="14">
        <f>7500*10</f>
        <v>75000</v>
      </c>
      <c r="C158" s="7"/>
      <c r="D158" s="7"/>
      <c r="E158" s="7"/>
      <c r="F158" s="7"/>
      <c r="G158" s="7"/>
      <c r="H158" s="7">
        <f t="shared" si="48"/>
        <v>75000</v>
      </c>
      <c r="I158" s="19" t="s">
        <v>157</v>
      </c>
      <c r="K158" s="7">
        <v>75000</v>
      </c>
      <c r="M158" s="7">
        <f t="shared" si="49"/>
        <v>0</v>
      </c>
    </row>
    <row r="159" spans="1:14" x14ac:dyDescent="0.25">
      <c r="A159" s="39" t="s">
        <v>158</v>
      </c>
      <c r="B159" s="14">
        <v>50000</v>
      </c>
      <c r="C159" s="7"/>
      <c r="D159" s="7"/>
      <c r="E159" s="7"/>
      <c r="F159" s="7"/>
      <c r="G159" s="7"/>
      <c r="H159" s="7">
        <f t="shared" si="48"/>
        <v>50000</v>
      </c>
      <c r="I159" s="19"/>
      <c r="K159" s="7">
        <v>50000</v>
      </c>
      <c r="M159" s="7">
        <f t="shared" si="49"/>
        <v>0</v>
      </c>
    </row>
    <row r="160" spans="1:14" x14ac:dyDescent="0.25">
      <c r="A160" s="39" t="s">
        <v>159</v>
      </c>
      <c r="B160" s="14">
        <f>(495*1.03*1.015*1.015)*B17</f>
        <v>94546.838925000004</v>
      </c>
      <c r="C160" s="7"/>
      <c r="D160" s="7"/>
      <c r="E160" s="7"/>
      <c r="F160" s="7"/>
      <c r="G160" s="7"/>
      <c r="H160" s="7">
        <f t="shared" si="48"/>
        <v>94546.838925000004</v>
      </c>
      <c r="I160" s="19" t="s">
        <v>160</v>
      </c>
      <c r="K160" s="7">
        <v>81675</v>
      </c>
      <c r="M160" s="7">
        <f t="shared" si="49"/>
        <v>12871.838925000004</v>
      </c>
    </row>
    <row r="161" spans="1:14" x14ac:dyDescent="0.25">
      <c r="A161" s="39" t="s">
        <v>161</v>
      </c>
      <c r="B161" s="14">
        <f>'26-27'!B161*1.05</f>
        <v>7886.8991250000008</v>
      </c>
      <c r="C161" s="14"/>
      <c r="D161" s="14"/>
      <c r="E161" s="14"/>
      <c r="F161" s="14"/>
      <c r="G161" s="14">
        <f>(240*G65)</f>
        <v>0</v>
      </c>
      <c r="H161" s="7">
        <f t="shared" si="48"/>
        <v>7886.8991250000008</v>
      </c>
      <c r="I161" s="19" t="s">
        <v>162</v>
      </c>
      <c r="K161" s="7">
        <v>7511.3325000000004</v>
      </c>
      <c r="M161" s="7">
        <f t="shared" si="49"/>
        <v>375.56662500000039</v>
      </c>
    </row>
    <row r="162" spans="1:14" x14ac:dyDescent="0.25">
      <c r="A162" s="39" t="s">
        <v>163</v>
      </c>
      <c r="B162" s="14">
        <f>'26-27'!B162*1.05</f>
        <v>34728.75</v>
      </c>
      <c r="C162" s="7"/>
      <c r="D162" s="7"/>
      <c r="E162" s="7"/>
      <c r="F162" s="7"/>
      <c r="G162" s="7"/>
      <c r="H162" s="7">
        <f t="shared" si="48"/>
        <v>34728.75</v>
      </c>
      <c r="I162" s="19" t="s">
        <v>164</v>
      </c>
      <c r="K162" s="7">
        <v>33075</v>
      </c>
      <c r="M162" s="7">
        <f t="shared" si="49"/>
        <v>1653.75</v>
      </c>
    </row>
    <row r="163" spans="1:14" x14ac:dyDescent="0.25">
      <c r="A163" s="39" t="s">
        <v>165</v>
      </c>
      <c r="B163" s="7">
        <f>20000</f>
        <v>20000</v>
      </c>
      <c r="C163" s="7"/>
      <c r="D163" s="7"/>
      <c r="E163" s="7"/>
      <c r="F163" s="7"/>
      <c r="G163" s="7"/>
      <c r="H163" s="7">
        <f t="shared" si="48"/>
        <v>20000</v>
      </c>
      <c r="I163" s="19"/>
      <c r="K163" s="7">
        <v>20000</v>
      </c>
      <c r="M163" s="7">
        <f t="shared" si="49"/>
        <v>0</v>
      </c>
    </row>
    <row r="164" spans="1:14" x14ac:dyDescent="0.25">
      <c r="A164" s="39" t="s">
        <v>166</v>
      </c>
      <c r="B164" s="14">
        <f>48*B17+(60*12)</f>
        <v>9360</v>
      </c>
      <c r="C164" s="7"/>
      <c r="D164" s="7"/>
      <c r="E164" s="7"/>
      <c r="F164" s="7"/>
      <c r="G164" s="7"/>
      <c r="H164" s="7">
        <f t="shared" si="48"/>
        <v>9360</v>
      </c>
      <c r="I164" s="19" t="s">
        <v>167</v>
      </c>
      <c r="K164" s="7">
        <v>8640</v>
      </c>
      <c r="M164" s="7">
        <f t="shared" si="49"/>
        <v>720</v>
      </c>
    </row>
    <row r="165" spans="1:14" x14ac:dyDescent="0.25">
      <c r="A165" s="39" t="s">
        <v>168</v>
      </c>
      <c r="B165" s="14">
        <v>15000</v>
      </c>
      <c r="C165" s="7"/>
      <c r="D165" s="7"/>
      <c r="E165" s="7"/>
      <c r="F165" s="7"/>
      <c r="G165" s="7"/>
      <c r="H165" s="7">
        <f t="shared" si="48"/>
        <v>15000</v>
      </c>
      <c r="I165" s="19"/>
      <c r="K165" s="7">
        <v>15000</v>
      </c>
      <c r="M165" s="7">
        <f t="shared" si="49"/>
        <v>0</v>
      </c>
    </row>
    <row r="166" spans="1:14" x14ac:dyDescent="0.25">
      <c r="A166" s="39" t="s">
        <v>169</v>
      </c>
      <c r="B166" s="14">
        <f>(B74+B75+B76+B77)*0.0125</f>
        <v>26178.08127361106</v>
      </c>
      <c r="C166" s="7"/>
      <c r="D166" s="7"/>
      <c r="E166" s="7"/>
      <c r="F166" s="7"/>
      <c r="G166" s="7"/>
      <c r="H166" s="7">
        <f t="shared" si="48"/>
        <v>26178.08127361106</v>
      </c>
      <c r="I166" s="97">
        <v>1.2500000000000001E-2</v>
      </c>
      <c r="J166" s="98"/>
      <c r="K166" s="7">
        <v>22870.325353749995</v>
      </c>
      <c r="L166" s="98"/>
      <c r="M166" s="7">
        <f t="shared" si="49"/>
        <v>3307.7559198610652</v>
      </c>
      <c r="N166" s="98"/>
    </row>
    <row r="167" spans="1:14" x14ac:dyDescent="0.25">
      <c r="A167" s="39" t="s">
        <v>170</v>
      </c>
      <c r="B167" s="14">
        <v>0</v>
      </c>
      <c r="C167" s="7"/>
      <c r="D167" s="7"/>
      <c r="E167" s="7"/>
      <c r="F167" s="7"/>
      <c r="G167" s="7"/>
      <c r="H167" s="7">
        <f t="shared" si="48"/>
        <v>0</v>
      </c>
      <c r="I167" s="97" t="s">
        <v>171</v>
      </c>
      <c r="J167" s="98"/>
      <c r="K167" s="7">
        <v>0</v>
      </c>
      <c r="L167" s="98"/>
      <c r="M167" s="7">
        <f t="shared" si="49"/>
        <v>0</v>
      </c>
      <c r="N167" s="98"/>
    </row>
    <row r="168" spans="1:14" x14ac:dyDescent="0.25">
      <c r="A168" s="39" t="s">
        <v>172</v>
      </c>
      <c r="B168" s="14">
        <v>0</v>
      </c>
      <c r="C168" s="7"/>
      <c r="D168" s="7"/>
      <c r="E168" s="7"/>
      <c r="F168" s="7"/>
      <c r="G168" s="7"/>
      <c r="H168" s="7">
        <f t="shared" si="48"/>
        <v>0</v>
      </c>
      <c r="I168" s="97" t="s">
        <v>173</v>
      </c>
      <c r="J168" s="98"/>
      <c r="K168" s="7">
        <v>0</v>
      </c>
      <c r="L168" s="98"/>
      <c r="M168" s="7">
        <f t="shared" si="49"/>
        <v>0</v>
      </c>
      <c r="N168" s="98"/>
    </row>
    <row r="169" spans="1:14" x14ac:dyDescent="0.25">
      <c r="A169" s="95" t="s">
        <v>174</v>
      </c>
      <c r="B169" s="14">
        <f>B74*0.005</f>
        <v>8990.5448650499984</v>
      </c>
      <c r="C169" s="7"/>
      <c r="D169" s="7"/>
      <c r="E169" s="7"/>
      <c r="F169" s="7"/>
      <c r="G169" s="7">
        <f>G86+G87</f>
        <v>11120.71</v>
      </c>
      <c r="H169" s="7">
        <f t="shared" si="48"/>
        <v>20111.254865049996</v>
      </c>
      <c r="I169" s="97"/>
      <c r="J169" s="98"/>
      <c r="K169" s="7">
        <v>19122.003973749997</v>
      </c>
      <c r="L169" s="98"/>
      <c r="M169" s="7">
        <f t="shared" si="49"/>
        <v>989.25089129999833</v>
      </c>
      <c r="N169" s="98"/>
    </row>
    <row r="170" spans="1:14" x14ac:dyDescent="0.25">
      <c r="A170" s="82" t="s">
        <v>175</v>
      </c>
      <c r="B170" s="83">
        <f>SUM(B156:B169)</f>
        <v>351691.11418866104</v>
      </c>
      <c r="C170" s="83">
        <f t="shared" ref="C170:G170" si="50">SUM(C156:C169)</f>
        <v>76500</v>
      </c>
      <c r="D170" s="83">
        <f t="shared" si="50"/>
        <v>0</v>
      </c>
      <c r="E170" s="83">
        <f t="shared" si="50"/>
        <v>0</v>
      </c>
      <c r="F170" s="83">
        <f t="shared" si="50"/>
        <v>0</v>
      </c>
      <c r="G170" s="83">
        <f t="shared" si="50"/>
        <v>11120.71</v>
      </c>
      <c r="H170" s="83">
        <f>SUM(H156:H169)</f>
        <v>439311.82418866106</v>
      </c>
      <c r="I170" s="10"/>
      <c r="J170" s="10"/>
      <c r="K170" s="83">
        <v>413018.66182749998</v>
      </c>
      <c r="L170" s="10"/>
      <c r="M170" s="83">
        <f>SUM(M156:M169)</f>
        <v>26293.162361161067</v>
      </c>
      <c r="N170" s="10"/>
    </row>
    <row r="171" spans="1:14" x14ac:dyDescent="0.25">
      <c r="A171" s="92" t="s">
        <v>176</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(27-28)</v>
      </c>
      <c r="I171" s="10"/>
      <c r="J171" s="10"/>
      <c r="K171" s="24" t="s">
        <v>238</v>
      </c>
      <c r="L171" s="10"/>
      <c r="M171" s="24" t="str">
        <f t="shared" ref="M171" si="52">M1</f>
        <v>Variance</v>
      </c>
      <c r="N171" s="10"/>
    </row>
    <row r="172" spans="1:14" x14ac:dyDescent="0.25">
      <c r="A172" s="99" t="s">
        <v>177</v>
      </c>
      <c r="B172" s="14">
        <f>'26-27'!B172*1.05</f>
        <v>3310.8075000000003</v>
      </c>
      <c r="C172" s="7"/>
      <c r="D172" s="7"/>
      <c r="E172" s="7"/>
      <c r="F172" s="7"/>
      <c r="G172" s="7"/>
      <c r="H172" s="7">
        <f t="shared" ref="H172:H196" si="53">SUM(B172:G172)</f>
        <v>3310.8075000000003</v>
      </c>
      <c r="I172" s="19" t="s">
        <v>178</v>
      </c>
      <c r="K172" s="7">
        <v>3153.15</v>
      </c>
      <c r="M172" s="7">
        <f t="shared" si="49"/>
        <v>157.65750000000025</v>
      </c>
    </row>
    <row r="173" spans="1:14" x14ac:dyDescent="0.25">
      <c r="A173" s="39" t="s">
        <v>179</v>
      </c>
      <c r="B173" s="14">
        <f>'26-27'!B173*1.05</f>
        <v>4514.7375000000002</v>
      </c>
      <c r="C173" s="7"/>
      <c r="D173" s="7"/>
      <c r="E173" s="7"/>
      <c r="F173" s="7"/>
      <c r="G173" s="7"/>
      <c r="H173" s="7">
        <f t="shared" si="53"/>
        <v>4514.7375000000002</v>
      </c>
      <c r="I173" s="19" t="s">
        <v>178</v>
      </c>
      <c r="K173" s="7">
        <v>4299.75</v>
      </c>
      <c r="M173" s="7">
        <f t="shared" si="49"/>
        <v>214.98750000000018</v>
      </c>
    </row>
    <row r="174" spans="1:14" x14ac:dyDescent="0.25">
      <c r="A174" s="39" t="s">
        <v>180</v>
      </c>
      <c r="B174" s="96"/>
      <c r="C174" s="7"/>
      <c r="D174" s="7"/>
      <c r="E174" s="7"/>
      <c r="F174" s="7"/>
      <c r="G174" s="7"/>
      <c r="H174" s="7">
        <f t="shared" si="53"/>
        <v>0</v>
      </c>
      <c r="I174" s="19"/>
      <c r="K174" s="7">
        <v>0</v>
      </c>
      <c r="M174" s="7">
        <f t="shared" si="49"/>
        <v>0</v>
      </c>
    </row>
    <row r="175" spans="1:14" x14ac:dyDescent="0.25">
      <c r="A175" s="39" t="s">
        <v>181</v>
      </c>
      <c r="B175" s="96">
        <v>2000</v>
      </c>
      <c r="C175" s="7"/>
      <c r="D175" s="7"/>
      <c r="E175" s="7"/>
      <c r="F175" s="7"/>
      <c r="G175" s="7"/>
      <c r="H175" s="7">
        <f t="shared" si="53"/>
        <v>2000</v>
      </c>
      <c r="I175" s="19"/>
      <c r="K175" s="7">
        <v>2000</v>
      </c>
      <c r="M175" s="7">
        <f t="shared" si="49"/>
        <v>0</v>
      </c>
    </row>
    <row r="176" spans="1:14" x14ac:dyDescent="0.25">
      <c r="A176" s="39" t="s">
        <v>182</v>
      </c>
      <c r="B176" s="14">
        <f>'26-27'!B176*1.05</f>
        <v>6366.9375</v>
      </c>
      <c r="C176" s="7"/>
      <c r="D176" s="7"/>
      <c r="E176" s="7"/>
      <c r="F176" s="7"/>
      <c r="G176" s="7"/>
      <c r="H176" s="7">
        <f t="shared" si="53"/>
        <v>6366.9375</v>
      </c>
      <c r="I176" s="19"/>
      <c r="K176" s="7">
        <v>6063.75</v>
      </c>
      <c r="M176" s="7">
        <f t="shared" si="49"/>
        <v>303.1875</v>
      </c>
    </row>
    <row r="177" spans="1:14" x14ac:dyDescent="0.25">
      <c r="A177" s="39" t="s">
        <v>183</v>
      </c>
      <c r="B177" s="14">
        <f>'26-27'!B177*1.05</f>
        <v>17364.375</v>
      </c>
      <c r="C177" s="7"/>
      <c r="D177" s="7"/>
      <c r="E177" s="7"/>
      <c r="F177" s="7"/>
      <c r="G177" s="7"/>
      <c r="H177" s="7">
        <f t="shared" si="53"/>
        <v>17364.375</v>
      </c>
      <c r="I177" s="19"/>
      <c r="K177" s="7">
        <v>16537.5</v>
      </c>
      <c r="M177" s="7">
        <f t="shared" si="49"/>
        <v>826.875</v>
      </c>
    </row>
    <row r="178" spans="1:14" x14ac:dyDescent="0.25">
      <c r="A178" s="39" t="s">
        <v>184</v>
      </c>
      <c r="B178" s="87">
        <f>8500+(B17*2.4)</f>
        <v>8932</v>
      </c>
      <c r="C178" s="7"/>
      <c r="D178" s="7"/>
      <c r="E178" s="7"/>
      <c r="F178" s="7"/>
      <c r="G178" s="7"/>
      <c r="H178" s="7">
        <f t="shared" si="53"/>
        <v>8932</v>
      </c>
      <c r="I178" s="19"/>
      <c r="K178" s="7">
        <v>8896</v>
      </c>
      <c r="M178" s="7">
        <f t="shared" si="49"/>
        <v>36</v>
      </c>
    </row>
    <row r="179" spans="1:14" x14ac:dyDescent="0.25">
      <c r="A179" s="39" t="s">
        <v>185</v>
      </c>
      <c r="B179" s="14">
        <f>'26-27'!B179*1.1</f>
        <v>15250.065600000004</v>
      </c>
      <c r="C179" s="7"/>
      <c r="D179" s="7"/>
      <c r="E179" s="7"/>
      <c r="F179" s="7"/>
      <c r="G179" s="7"/>
      <c r="H179" s="7">
        <f t="shared" si="53"/>
        <v>15250.065600000004</v>
      </c>
      <c r="I179" s="19"/>
      <c r="K179" s="7">
        <v>13863.696000000002</v>
      </c>
      <c r="M179" s="7">
        <f t="shared" si="49"/>
        <v>1386.3696000000018</v>
      </c>
    </row>
    <row r="180" spans="1:14" x14ac:dyDescent="0.25">
      <c r="A180" s="39" t="s">
        <v>186</v>
      </c>
      <c r="B180" s="14">
        <f>'26-27'!B180*1.1</f>
        <v>13343.807400000005</v>
      </c>
      <c r="C180" s="7"/>
      <c r="D180" s="7"/>
      <c r="E180" s="7"/>
      <c r="F180" s="7"/>
      <c r="G180" s="7"/>
      <c r="H180" s="7">
        <f t="shared" si="53"/>
        <v>13343.807400000005</v>
      </c>
      <c r="I180" s="19"/>
      <c r="K180" s="7">
        <v>12130.734000000004</v>
      </c>
      <c r="M180" s="7">
        <f t="shared" si="49"/>
        <v>1213.0734000000011</v>
      </c>
    </row>
    <row r="181" spans="1:14" x14ac:dyDescent="0.25">
      <c r="A181" s="39" t="s">
        <v>187</v>
      </c>
      <c r="B181" s="14">
        <f>'26-27'!B181*1.1</f>
        <v>19062.582000000006</v>
      </c>
      <c r="C181" s="7"/>
      <c r="D181" s="7"/>
      <c r="E181" s="7"/>
      <c r="F181" s="7"/>
      <c r="G181" s="7"/>
      <c r="H181" s="7">
        <f t="shared" si="53"/>
        <v>19062.582000000006</v>
      </c>
      <c r="I181" s="19"/>
      <c r="K181" s="7">
        <v>17329.620000000003</v>
      </c>
      <c r="M181" s="7">
        <f t="shared" si="49"/>
        <v>1732.9620000000032</v>
      </c>
    </row>
    <row r="182" spans="1:14" x14ac:dyDescent="0.25">
      <c r="A182" s="39" t="s">
        <v>188</v>
      </c>
      <c r="B182" s="14"/>
      <c r="C182" s="14"/>
      <c r="D182" s="14">
        <f>((B17*D23)*2.4*180)</f>
        <v>77760</v>
      </c>
      <c r="E182" s="7"/>
      <c r="F182" s="7"/>
      <c r="G182" s="7"/>
      <c r="H182" s="7">
        <f t="shared" si="53"/>
        <v>77760</v>
      </c>
      <c r="I182" s="69">
        <v>2.4</v>
      </c>
      <c r="J182" s="100"/>
      <c r="K182" s="7">
        <v>71280</v>
      </c>
      <c r="L182" s="100"/>
      <c r="M182" s="7">
        <f t="shared" si="49"/>
        <v>6480</v>
      </c>
      <c r="N182" s="100"/>
    </row>
    <row r="183" spans="1:14" x14ac:dyDescent="0.25">
      <c r="A183" s="39" t="s">
        <v>189</v>
      </c>
      <c r="B183" s="14"/>
      <c r="C183" s="14"/>
      <c r="D183" s="14">
        <f>((B17*D23)*3.75*180)</f>
        <v>121500</v>
      </c>
      <c r="E183" s="7"/>
      <c r="F183" s="7"/>
      <c r="G183" s="7"/>
      <c r="H183" s="7">
        <f t="shared" si="53"/>
        <v>121500</v>
      </c>
      <c r="I183" s="69">
        <v>3.75</v>
      </c>
      <c r="J183" s="100"/>
      <c r="K183" s="7">
        <v>111375</v>
      </c>
      <c r="L183" s="100"/>
      <c r="M183" s="7">
        <f t="shared" si="49"/>
        <v>10125</v>
      </c>
      <c r="N183" s="100"/>
    </row>
    <row r="184" spans="1:14" x14ac:dyDescent="0.25">
      <c r="A184" s="39" t="s">
        <v>190</v>
      </c>
      <c r="B184" s="14">
        <v>5000</v>
      </c>
      <c r="C184" s="14"/>
      <c r="D184" s="14"/>
      <c r="E184" s="7"/>
      <c r="F184" s="7"/>
      <c r="G184" s="7"/>
      <c r="H184" s="7">
        <f t="shared" si="53"/>
        <v>5000</v>
      </c>
      <c r="I184" s="19"/>
      <c r="K184" s="7">
        <v>5000</v>
      </c>
      <c r="M184" s="7">
        <f t="shared" si="49"/>
        <v>0</v>
      </c>
    </row>
    <row r="185" spans="1:14" x14ac:dyDescent="0.25">
      <c r="A185" s="39" t="s">
        <v>191</v>
      </c>
      <c r="B185" s="7">
        <v>5500</v>
      </c>
      <c r="C185" s="7"/>
      <c r="D185" s="7"/>
      <c r="E185" s="7"/>
      <c r="F185" s="7"/>
      <c r="G185" s="7">
        <f>G88</f>
        <v>5400.25</v>
      </c>
      <c r="H185" s="7">
        <f t="shared" si="53"/>
        <v>10900.25</v>
      </c>
      <c r="I185" s="19"/>
      <c r="K185" s="7">
        <v>10900.25</v>
      </c>
      <c r="M185" s="7">
        <f t="shared" si="49"/>
        <v>0</v>
      </c>
    </row>
    <row r="186" spans="1:14" x14ac:dyDescent="0.25">
      <c r="A186" s="39" t="s">
        <v>192</v>
      </c>
      <c r="B186" s="7">
        <f>60*15</f>
        <v>900</v>
      </c>
      <c r="C186" s="7">
        <v>0</v>
      </c>
      <c r="D186" s="7">
        <v>0</v>
      </c>
      <c r="E186" s="7"/>
      <c r="F186" s="7"/>
      <c r="G186" s="7"/>
      <c r="H186" s="7">
        <f t="shared" si="53"/>
        <v>900</v>
      </c>
      <c r="I186" s="19"/>
      <c r="K186" s="7">
        <v>900</v>
      </c>
      <c r="M186" s="7">
        <f t="shared" si="49"/>
        <v>0</v>
      </c>
    </row>
    <row r="187" spans="1:14" x14ac:dyDescent="0.25">
      <c r="A187" s="39" t="s">
        <v>193</v>
      </c>
      <c r="B187" s="14">
        <v>6500</v>
      </c>
      <c r="C187" s="7"/>
      <c r="D187" s="7"/>
      <c r="E187" s="7"/>
      <c r="F187" s="7"/>
      <c r="G187" s="7"/>
      <c r="H187" s="7">
        <f t="shared" si="53"/>
        <v>6500</v>
      </c>
      <c r="I187" s="19"/>
      <c r="K187" s="7">
        <v>6500</v>
      </c>
      <c r="M187" s="7">
        <f t="shared" si="49"/>
        <v>0</v>
      </c>
    </row>
    <row r="188" spans="1:14" x14ac:dyDescent="0.25">
      <c r="A188" s="39" t="s">
        <v>194</v>
      </c>
      <c r="B188" s="14">
        <v>0</v>
      </c>
      <c r="C188" s="7"/>
      <c r="D188" s="7"/>
      <c r="E188" s="7"/>
      <c r="F188" s="7"/>
      <c r="G188" s="7"/>
      <c r="H188" s="7">
        <f t="shared" si="53"/>
        <v>0</v>
      </c>
      <c r="I188" s="19"/>
      <c r="K188" s="7">
        <v>0</v>
      </c>
      <c r="M188" s="7">
        <f t="shared" si="49"/>
        <v>0</v>
      </c>
    </row>
    <row r="189" spans="1:14" x14ac:dyDescent="0.25">
      <c r="A189" s="39" t="s">
        <v>195</v>
      </c>
      <c r="B189" s="14">
        <v>0</v>
      </c>
      <c r="C189" s="7"/>
      <c r="D189" s="7"/>
      <c r="E189" s="7"/>
      <c r="F189" s="7"/>
      <c r="G189" s="7"/>
      <c r="H189" s="7">
        <f t="shared" si="53"/>
        <v>0</v>
      </c>
      <c r="I189" s="19"/>
      <c r="K189" s="7">
        <v>0</v>
      </c>
      <c r="M189" s="7">
        <f t="shared" si="49"/>
        <v>0</v>
      </c>
    </row>
    <row r="190" spans="1:14" x14ac:dyDescent="0.25">
      <c r="A190" s="39" t="s">
        <v>196</v>
      </c>
      <c r="B190" s="14">
        <v>0</v>
      </c>
      <c r="C190" s="7"/>
      <c r="D190" s="7"/>
      <c r="E190" s="7"/>
      <c r="F190" s="7"/>
      <c r="G190" s="7"/>
      <c r="H190" s="7">
        <f t="shared" si="53"/>
        <v>0</v>
      </c>
      <c r="I190" s="19"/>
      <c r="K190" s="7">
        <v>0</v>
      </c>
      <c r="M190" s="7">
        <f t="shared" si="49"/>
        <v>0</v>
      </c>
    </row>
    <row r="191" spans="1:14" x14ac:dyDescent="0.25">
      <c r="A191" s="39" t="s">
        <v>197</v>
      </c>
      <c r="B191" s="14">
        <v>0</v>
      </c>
      <c r="C191" s="14"/>
      <c r="D191" s="14"/>
      <c r="E191" s="14"/>
      <c r="F191" s="14"/>
      <c r="G191" s="14"/>
      <c r="H191" s="7">
        <f t="shared" si="53"/>
        <v>0</v>
      </c>
      <c r="I191" s="19"/>
      <c r="K191" s="7">
        <v>0</v>
      </c>
      <c r="M191" s="7">
        <f t="shared" si="49"/>
        <v>0</v>
      </c>
    </row>
    <row r="192" spans="1:14" x14ac:dyDescent="0.25">
      <c r="A192" s="39" t="s">
        <v>198</v>
      </c>
      <c r="B192" s="14"/>
      <c r="C192" s="14"/>
      <c r="D192" s="14"/>
      <c r="E192" s="14"/>
      <c r="F192" s="14"/>
      <c r="G192" s="14"/>
      <c r="H192" s="7">
        <f t="shared" si="53"/>
        <v>0</v>
      </c>
      <c r="I192" s="19"/>
      <c r="K192" s="7">
        <v>0</v>
      </c>
      <c r="M192" s="7">
        <f t="shared" si="49"/>
        <v>0</v>
      </c>
    </row>
    <row r="193" spans="1:14" x14ac:dyDescent="0.25">
      <c r="A193" s="39" t="s">
        <v>199</v>
      </c>
      <c r="B193" s="14"/>
      <c r="C193" s="14"/>
      <c r="D193" s="14"/>
      <c r="E193" s="14"/>
      <c r="F193" s="14"/>
      <c r="G193" s="14"/>
      <c r="H193" s="7">
        <f t="shared" si="53"/>
        <v>0</v>
      </c>
      <c r="I193" s="19"/>
      <c r="K193" s="7">
        <v>0</v>
      </c>
      <c r="M193" s="7">
        <f t="shared" si="49"/>
        <v>0</v>
      </c>
    </row>
    <row r="194" spans="1:14" x14ac:dyDescent="0.25">
      <c r="A194" s="39" t="s">
        <v>200</v>
      </c>
      <c r="B194" s="14"/>
      <c r="C194" s="14"/>
      <c r="D194" s="14"/>
      <c r="E194" s="14"/>
      <c r="F194" s="14"/>
      <c r="G194" s="14"/>
      <c r="H194" s="7">
        <f t="shared" si="53"/>
        <v>0</v>
      </c>
      <c r="I194" s="19"/>
      <c r="K194" s="7">
        <v>0</v>
      </c>
      <c r="M194" s="7"/>
    </row>
    <row r="195" spans="1:14" x14ac:dyDescent="0.25">
      <c r="A195" s="39" t="s">
        <v>201</v>
      </c>
      <c r="B195" s="14">
        <v>5000</v>
      </c>
      <c r="C195" s="14"/>
      <c r="D195" s="14"/>
      <c r="E195" s="14"/>
      <c r="F195" s="14"/>
      <c r="G195" s="14"/>
      <c r="H195" s="7">
        <f t="shared" si="53"/>
        <v>5000</v>
      </c>
      <c r="I195" s="19"/>
      <c r="K195" s="7">
        <v>5000</v>
      </c>
      <c r="M195" s="7">
        <f t="shared" si="49"/>
        <v>0</v>
      </c>
    </row>
    <row r="196" spans="1:14" x14ac:dyDescent="0.25">
      <c r="A196" s="95" t="s">
        <v>202</v>
      </c>
      <c r="B196" s="7">
        <f>((B2*B3)*0)+0</f>
        <v>0</v>
      </c>
      <c r="C196" s="7"/>
      <c r="D196" s="7"/>
      <c r="E196" s="7"/>
      <c r="F196" s="7"/>
      <c r="G196" s="7"/>
      <c r="H196" s="7">
        <f t="shared" si="53"/>
        <v>0</v>
      </c>
      <c r="I196" s="102" t="s">
        <v>203</v>
      </c>
      <c r="J196" s="65"/>
      <c r="K196" s="7">
        <v>0</v>
      </c>
      <c r="L196" s="65"/>
      <c r="M196" s="7">
        <f t="shared" si="49"/>
        <v>0</v>
      </c>
      <c r="N196" s="65"/>
    </row>
    <row r="197" spans="1:14" x14ac:dyDescent="0.25">
      <c r="A197" s="82" t="s">
        <v>204</v>
      </c>
      <c r="B197" s="83">
        <f>SUM(B172:B196)</f>
        <v>113045.31250000001</v>
      </c>
      <c r="C197" s="83">
        <f t="shared" ref="C197:H197" si="54">SUM(C172:C196)</f>
        <v>0</v>
      </c>
      <c r="D197" s="83">
        <f t="shared" si="54"/>
        <v>199260</v>
      </c>
      <c r="E197" s="83">
        <f t="shared" si="54"/>
        <v>0</v>
      </c>
      <c r="F197" s="83">
        <f t="shared" si="54"/>
        <v>0</v>
      </c>
      <c r="G197" s="83">
        <f t="shared" si="54"/>
        <v>5400.25</v>
      </c>
      <c r="H197" s="83">
        <f t="shared" si="54"/>
        <v>317705.5625</v>
      </c>
      <c r="I197" s="10"/>
      <c r="J197" s="10"/>
      <c r="K197" s="83">
        <v>295229.45</v>
      </c>
      <c r="L197" s="10"/>
      <c r="M197" s="83">
        <f t="shared" ref="M197" si="55">SUM(M172:M196)</f>
        <v>22476.112500000007</v>
      </c>
      <c r="N197" s="10"/>
    </row>
    <row r="198" spans="1:14" x14ac:dyDescent="0.25">
      <c r="A198" s="92" t="s">
        <v>205</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(27-28)</v>
      </c>
      <c r="I198" s="10"/>
      <c r="J198" s="10"/>
      <c r="K198" s="24" t="s">
        <v>238</v>
      </c>
      <c r="L198" s="10"/>
      <c r="M198" s="24" t="str">
        <f t="shared" ref="M198" si="57">M1</f>
        <v>Variance</v>
      </c>
      <c r="N198" s="10"/>
    </row>
    <row r="199" spans="1:14" x14ac:dyDescent="0.25">
      <c r="A199" s="99" t="s">
        <v>206</v>
      </c>
      <c r="B199" s="14">
        <f>'26-27'!B199*1.03</f>
        <v>48735.624199999998</v>
      </c>
      <c r="C199" s="7"/>
      <c r="D199" s="7"/>
      <c r="E199" s="7"/>
      <c r="F199" s="7"/>
      <c r="G199" s="7"/>
      <c r="H199" s="7">
        <f t="shared" ref="H199:H208" si="58">SUM(B199:G199)</f>
        <v>48735.624199999998</v>
      </c>
      <c r="I199" s="8"/>
      <c r="J199" s="9"/>
      <c r="K199" s="7">
        <v>47316.14</v>
      </c>
      <c r="L199" s="9"/>
      <c r="M199" s="7">
        <f t="shared" ref="M199:M220" si="59">H199-K199</f>
        <v>1419.484199999999</v>
      </c>
      <c r="N199" s="9"/>
    </row>
    <row r="200" spans="1:14" x14ac:dyDescent="0.25">
      <c r="A200" s="39" t="s">
        <v>207</v>
      </c>
      <c r="B200" s="14">
        <f>'26-27'!B200*1.03</f>
        <v>1966.9086000000002</v>
      </c>
      <c r="C200" s="7"/>
      <c r="D200" s="7"/>
      <c r="E200" s="7"/>
      <c r="F200" s="7"/>
      <c r="G200" s="7"/>
      <c r="H200" s="7">
        <f t="shared" si="58"/>
        <v>1966.9086000000002</v>
      </c>
      <c r="I200" s="8" t="s">
        <v>208</v>
      </c>
      <c r="K200" s="7">
        <v>1909.6200000000001</v>
      </c>
      <c r="M200" s="7">
        <f t="shared" si="59"/>
        <v>57.288600000000088</v>
      </c>
    </row>
    <row r="201" spans="1:14" x14ac:dyDescent="0.25">
      <c r="A201" s="39" t="s">
        <v>209</v>
      </c>
      <c r="B201" s="14">
        <f>'26-27'!B201*1.03</f>
        <v>11582.906200000001</v>
      </c>
      <c r="C201" s="7"/>
      <c r="D201" s="7"/>
      <c r="E201" s="7"/>
      <c r="F201" s="7"/>
      <c r="G201" s="7"/>
      <c r="H201" s="7">
        <f t="shared" si="58"/>
        <v>11582.906200000001</v>
      </c>
      <c r="I201" s="19"/>
      <c r="K201" s="7">
        <v>11245.54</v>
      </c>
      <c r="M201" s="7">
        <f t="shared" si="59"/>
        <v>337.36620000000039</v>
      </c>
    </row>
    <row r="202" spans="1:14" x14ac:dyDescent="0.25">
      <c r="A202" s="39" t="s">
        <v>210</v>
      </c>
      <c r="B202" s="14">
        <f>'26-27'!B202*1.03</f>
        <v>4370.9080000000004</v>
      </c>
      <c r="C202" s="7"/>
      <c r="D202" s="7"/>
      <c r="E202" s="7"/>
      <c r="F202" s="7"/>
      <c r="G202" s="7"/>
      <c r="H202" s="7">
        <f t="shared" si="58"/>
        <v>4370.9080000000004</v>
      </c>
      <c r="I202" s="19"/>
      <c r="K202" s="7">
        <v>4243.6000000000004</v>
      </c>
      <c r="M202" s="7">
        <f t="shared" si="59"/>
        <v>127.30799999999999</v>
      </c>
    </row>
    <row r="203" spans="1:14" x14ac:dyDescent="0.25">
      <c r="A203" s="39" t="s">
        <v>211</v>
      </c>
      <c r="B203" s="14">
        <f>'26-27'!B203*1.03</f>
        <v>1092.7270000000001</v>
      </c>
      <c r="C203" s="7"/>
      <c r="D203" s="7"/>
      <c r="E203" s="7"/>
      <c r="F203" s="7"/>
      <c r="G203" s="7"/>
      <c r="H203" s="7">
        <f t="shared" si="58"/>
        <v>1092.7270000000001</v>
      </c>
      <c r="I203" s="19"/>
      <c r="K203" s="7">
        <v>1060.9000000000001</v>
      </c>
      <c r="M203" s="7">
        <f t="shared" si="59"/>
        <v>31.826999999999998</v>
      </c>
    </row>
    <row r="204" spans="1:14" x14ac:dyDescent="0.25">
      <c r="A204" s="39" t="s">
        <v>212</v>
      </c>
      <c r="B204" s="14">
        <f>'26-27'!B204*1.03</f>
        <v>14215.285543000002</v>
      </c>
      <c r="C204" s="7"/>
      <c r="D204" s="7"/>
      <c r="E204" s="7"/>
      <c r="F204" s="7"/>
      <c r="G204" s="7"/>
      <c r="H204" s="7">
        <f t="shared" si="58"/>
        <v>14215.285543000002</v>
      </c>
      <c r="I204" s="19" t="s">
        <v>213</v>
      </c>
      <c r="K204" s="7">
        <v>13801.248100000001</v>
      </c>
      <c r="M204" s="7">
        <f t="shared" si="59"/>
        <v>414.03744300000108</v>
      </c>
    </row>
    <row r="205" spans="1:14" x14ac:dyDescent="0.25">
      <c r="A205" s="39" t="s">
        <v>214</v>
      </c>
      <c r="B205" s="14">
        <f>17000+3000</f>
        <v>20000</v>
      </c>
      <c r="C205" s="7"/>
      <c r="D205" s="7"/>
      <c r="E205" s="7"/>
      <c r="F205" s="7"/>
      <c r="G205" s="7"/>
      <c r="H205" s="7">
        <f t="shared" si="58"/>
        <v>20000</v>
      </c>
      <c r="I205" s="19"/>
      <c r="K205" s="7">
        <v>20000</v>
      </c>
      <c r="M205" s="7">
        <f t="shared" si="59"/>
        <v>0</v>
      </c>
    </row>
    <row r="206" spans="1:14" x14ac:dyDescent="0.25">
      <c r="A206" s="39" t="s">
        <v>215</v>
      </c>
      <c r="B206" s="7">
        <v>0</v>
      </c>
      <c r="C206" s="7"/>
      <c r="D206" s="7"/>
      <c r="E206" s="7"/>
      <c r="F206" s="7"/>
      <c r="G206" s="7"/>
      <c r="H206" s="7">
        <f t="shared" si="58"/>
        <v>0</v>
      </c>
      <c r="I206" s="19"/>
      <c r="K206" s="7">
        <v>0</v>
      </c>
      <c r="M206" s="7">
        <f t="shared" si="59"/>
        <v>0</v>
      </c>
    </row>
    <row r="207" spans="1:14" x14ac:dyDescent="0.25">
      <c r="A207" s="39" t="s">
        <v>216</v>
      </c>
      <c r="B207" s="7">
        <v>0</v>
      </c>
      <c r="C207" s="7"/>
      <c r="D207" s="7"/>
      <c r="E207" s="7"/>
      <c r="F207" s="7"/>
      <c r="G207" s="7"/>
      <c r="H207" s="7">
        <f t="shared" si="58"/>
        <v>0</v>
      </c>
      <c r="I207" s="19"/>
      <c r="K207" s="7">
        <v>0</v>
      </c>
      <c r="M207" s="7">
        <f t="shared" si="59"/>
        <v>0</v>
      </c>
    </row>
    <row r="208" spans="1:14" x14ac:dyDescent="0.25">
      <c r="A208" s="95" t="s">
        <v>217</v>
      </c>
      <c r="B208" s="7">
        <f>4696+590+714</f>
        <v>6000</v>
      </c>
      <c r="C208" s="7"/>
      <c r="D208" s="7"/>
      <c r="E208" s="7"/>
      <c r="F208" s="7"/>
      <c r="G208" s="7"/>
      <c r="H208" s="7">
        <f t="shared" si="58"/>
        <v>6000</v>
      </c>
      <c r="I208" s="19"/>
      <c r="K208" s="7">
        <v>6000</v>
      </c>
      <c r="M208" s="7">
        <f t="shared" si="59"/>
        <v>0</v>
      </c>
    </row>
    <row r="209" spans="1:14" x14ac:dyDescent="0.25">
      <c r="A209" s="82" t="s">
        <v>218</v>
      </c>
      <c r="B209" s="83">
        <f t="shared" ref="B209:H209" si="60">SUM(B199:B208)</f>
        <v>107964.359543</v>
      </c>
      <c r="C209" s="83">
        <f t="shared" si="60"/>
        <v>0</v>
      </c>
      <c r="D209" s="83">
        <f t="shared" si="60"/>
        <v>0</v>
      </c>
      <c r="E209" s="83">
        <f t="shared" si="60"/>
        <v>0</v>
      </c>
      <c r="F209" s="83">
        <f t="shared" si="60"/>
        <v>0</v>
      </c>
      <c r="G209" s="83">
        <f t="shared" si="60"/>
        <v>0</v>
      </c>
      <c r="H209" s="83">
        <f t="shared" si="60"/>
        <v>107964.359543</v>
      </c>
      <c r="I209" s="10"/>
      <c r="J209" s="10"/>
      <c r="K209" s="83">
        <v>105577.0481</v>
      </c>
      <c r="L209" s="10"/>
      <c r="M209" s="83">
        <f t="shared" ref="M209" si="61">SUM(M199:M208)</f>
        <v>2387.3114430000005</v>
      </c>
      <c r="N209" s="10"/>
    </row>
    <row r="210" spans="1:14" x14ac:dyDescent="0.25">
      <c r="A210" s="104"/>
      <c r="B210" s="7"/>
      <c r="C210" s="7"/>
      <c r="D210" s="7"/>
      <c r="E210" s="7"/>
      <c r="F210" s="7"/>
      <c r="G210" s="7"/>
      <c r="H210" s="7"/>
      <c r="I210" s="10"/>
      <c r="J210" s="10"/>
      <c r="K210" s="7"/>
      <c r="L210" s="10"/>
      <c r="M210" s="7"/>
      <c r="N210" s="10"/>
    </row>
    <row r="211" spans="1:14" x14ac:dyDescent="0.25">
      <c r="A211" s="82" t="s">
        <v>219</v>
      </c>
      <c r="B211" s="83">
        <f>B142+B154+B170+B197+B209</f>
        <v>1980403.5619096295</v>
      </c>
      <c r="C211" s="83">
        <f t="shared" ref="C211:H211" si="62">C142+C154+C170+C197+C209</f>
        <v>172397.63513513515</v>
      </c>
      <c r="D211" s="83">
        <f t="shared" si="62"/>
        <v>260983</v>
      </c>
      <c r="E211" s="83">
        <f t="shared" si="62"/>
        <v>0</v>
      </c>
      <c r="F211" s="83">
        <f t="shared" si="62"/>
        <v>95285.55970079996</v>
      </c>
      <c r="G211" s="83">
        <f t="shared" si="62"/>
        <v>16520.96</v>
      </c>
      <c r="H211" s="83">
        <f t="shared" si="62"/>
        <v>2525590.7167455647</v>
      </c>
      <c r="I211" s="10"/>
      <c r="J211" s="10"/>
      <c r="K211" s="83">
        <v>2454930.8637712495</v>
      </c>
      <c r="L211" s="10"/>
      <c r="M211" s="83">
        <f t="shared" ref="M211" si="63">M142+M154+M170+M197+M209</f>
        <v>70659.852974314868</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220</v>
      </c>
      <c r="B213" s="12">
        <f>550*B17</f>
        <v>99000</v>
      </c>
      <c r="C213" s="12"/>
      <c r="D213" s="12"/>
      <c r="E213" s="12"/>
      <c r="F213" s="12"/>
      <c r="G213" s="12"/>
      <c r="H213" s="12">
        <f t="shared" ref="H213:H218" si="64">SUM(B213:G213)</f>
        <v>99000</v>
      </c>
      <c r="I213" s="19"/>
      <c r="K213" s="12">
        <v>82500</v>
      </c>
      <c r="M213" s="12">
        <f t="shared" si="59"/>
        <v>16500</v>
      </c>
    </row>
    <row r="214" spans="1:14" x14ac:dyDescent="0.25">
      <c r="A214" s="54" t="s">
        <v>221</v>
      </c>
      <c r="B214" s="12">
        <v>0</v>
      </c>
      <c r="C214" s="12"/>
      <c r="D214" s="12"/>
      <c r="E214" s="12"/>
      <c r="F214" s="12"/>
      <c r="G214" s="12"/>
      <c r="H214" s="12">
        <f t="shared" si="64"/>
        <v>0</v>
      </c>
      <c r="I214" s="19"/>
      <c r="K214" s="12">
        <v>0</v>
      </c>
      <c r="M214" s="12">
        <f t="shared" si="59"/>
        <v>0</v>
      </c>
    </row>
    <row r="215" spans="1:14" x14ac:dyDescent="0.25">
      <c r="A215" s="54" t="s">
        <v>222</v>
      </c>
      <c r="B215" s="12">
        <v>0</v>
      </c>
      <c r="C215" s="12"/>
      <c r="D215" s="12"/>
      <c r="E215" s="12"/>
      <c r="F215" s="12"/>
      <c r="G215" s="12"/>
      <c r="H215" s="12">
        <f t="shared" si="64"/>
        <v>0</v>
      </c>
      <c r="I215" s="19"/>
      <c r="K215" s="12">
        <v>0</v>
      </c>
      <c r="M215" s="12">
        <f t="shared" si="59"/>
        <v>0</v>
      </c>
    </row>
    <row r="216" spans="1:14" x14ac:dyDescent="0.25">
      <c r="A216" s="54" t="s">
        <v>223</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224</v>
      </c>
      <c r="B219" s="107">
        <f t="shared" ref="B219:G219" si="65">B97-B211-B213-B214-B216-B215</f>
        <v>123268.9399792552</v>
      </c>
      <c r="C219" s="107">
        <f t="shared" si="65"/>
        <v>-34284.121621621656</v>
      </c>
      <c r="D219" s="107">
        <f t="shared" si="65"/>
        <v>-46819</v>
      </c>
      <c r="E219" s="107">
        <f t="shared" si="65"/>
        <v>0</v>
      </c>
      <c r="F219" s="107">
        <f t="shared" si="65"/>
        <v>-42165.55970079996</v>
      </c>
      <c r="G219" s="107">
        <f t="shared" si="65"/>
        <v>0</v>
      </c>
      <c r="H219" s="107">
        <f>H97-H211-H213-H214-H216-H215</f>
        <v>0.25865683332085609</v>
      </c>
      <c r="I219" s="10"/>
      <c r="J219" s="10"/>
      <c r="K219" s="107">
        <v>0.12452874984592199</v>
      </c>
      <c r="L219" s="10"/>
      <c r="M219" s="107">
        <f>M97-M211-M213-M214-M216-M215</f>
        <v>0.13412808372231666</v>
      </c>
      <c r="N219" s="10"/>
    </row>
    <row r="220" spans="1:14" x14ac:dyDescent="0.25">
      <c r="A220" s="108"/>
      <c r="B220" s="109">
        <f t="shared" ref="B220:H220" si="66">B219/(B97)</f>
        <v>5.5963353550537755E-2</v>
      </c>
      <c r="C220" s="109">
        <f t="shared" si="66"/>
        <v>-0.2482314782200308</v>
      </c>
      <c r="D220" s="109">
        <f t="shared" si="66"/>
        <v>-0.21861283875908183</v>
      </c>
      <c r="E220" s="109" t="e">
        <f t="shared" si="66"/>
        <v>#DIV/0!</v>
      </c>
      <c r="F220" s="109">
        <f t="shared" si="66"/>
        <v>-0.79377936183734865</v>
      </c>
      <c r="G220" s="109">
        <f t="shared" si="66"/>
        <v>0</v>
      </c>
      <c r="H220" s="109">
        <f t="shared" si="66"/>
        <v>9.8551292656639284E-8</v>
      </c>
      <c r="I220" s="28"/>
      <c r="J220" s="10"/>
      <c r="K220" s="109">
        <v>4.9076704123233091E-8</v>
      </c>
      <c r="L220" s="10"/>
      <c r="M220" s="109">
        <f t="shared" si="59"/>
        <v>4.9474588533406193E-8</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FY28</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(27-28)</v>
      </c>
      <c r="I222" s="2"/>
      <c r="J222" s="2"/>
      <c r="K222" s="1" t="s">
        <v>238</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225</v>
      </c>
      <c r="B225" s="113"/>
      <c r="C225" s="113"/>
      <c r="D225" s="113"/>
      <c r="E225" s="113"/>
      <c r="F225" s="113"/>
      <c r="G225" s="113"/>
      <c r="H225" s="113">
        <f>H97-H211</f>
        <v>99000.258656833321</v>
      </c>
      <c r="K225" s="113">
        <v>82500.124528749846</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99000</v>
      </c>
      <c r="I227" s="10"/>
      <c r="J227" s="10"/>
      <c r="K227" s="115">
        <v>82500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226</v>
      </c>
      <c r="B231" s="116"/>
      <c r="C231" s="116"/>
      <c r="D231" s="116"/>
      <c r="E231" s="116"/>
      <c r="F231" s="116"/>
      <c r="G231" s="116"/>
      <c r="H231" s="116">
        <f>SUM(H227:H229)</f>
        <v>99000</v>
      </c>
      <c r="I231" s="10"/>
      <c r="J231" s="10"/>
      <c r="K231" s="116">
        <v>82500</v>
      </c>
      <c r="L231" s="10"/>
      <c r="N231" s="10"/>
    </row>
    <row r="232" spans="1:14" x14ac:dyDescent="0.25">
      <c r="A232" s="117" t="s">
        <v>227</v>
      </c>
      <c r="B232" s="118"/>
      <c r="C232" s="118"/>
      <c r="D232" s="118"/>
      <c r="E232" s="118"/>
      <c r="F232" s="118"/>
      <c r="G232" s="118"/>
      <c r="H232" s="118">
        <f>H225/H231</f>
        <v>1.0000026126952861</v>
      </c>
      <c r="I232" s="119"/>
      <c r="J232" s="119"/>
      <c r="K232" s="118">
        <v>1.0000015094393921</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228</v>
      </c>
      <c r="B234" s="121"/>
      <c r="C234" s="121"/>
      <c r="D234" s="121"/>
      <c r="E234" s="121"/>
      <c r="F234" s="121"/>
      <c r="G234" s="121"/>
      <c r="H234" s="121"/>
      <c r="I234" s="10"/>
      <c r="J234" s="10"/>
      <c r="K234" s="121"/>
      <c r="L234" s="10"/>
      <c r="N234" s="10"/>
    </row>
    <row r="235" spans="1:14" x14ac:dyDescent="0.25">
      <c r="A235" t="s">
        <v>229</v>
      </c>
      <c r="B235" s="122"/>
      <c r="C235" s="122"/>
      <c r="D235" s="122"/>
      <c r="E235" s="122"/>
      <c r="F235" s="122"/>
      <c r="G235" s="122"/>
      <c r="H235" s="123"/>
      <c r="I235" s="10"/>
      <c r="J235" s="10"/>
      <c r="K235" s="123"/>
      <c r="L235" s="10"/>
      <c r="N235" s="10"/>
    </row>
    <row r="236" spans="1:14" x14ac:dyDescent="0.25">
      <c r="A236" s="10" t="s">
        <v>230</v>
      </c>
      <c r="B236" s="122"/>
      <c r="C236" s="122"/>
      <c r="D236" s="122"/>
      <c r="E236" s="122"/>
      <c r="F236" s="122"/>
      <c r="G236" s="122"/>
      <c r="H236" s="122"/>
      <c r="I236" s="10"/>
      <c r="J236" s="10"/>
      <c r="K236" s="122"/>
      <c r="L236" s="10"/>
      <c r="N236" s="10"/>
    </row>
    <row r="237" spans="1:14" x14ac:dyDescent="0.25">
      <c r="A237" s="10" t="s">
        <v>231</v>
      </c>
      <c r="B237" s="122"/>
      <c r="C237" s="122"/>
      <c r="D237" s="122"/>
      <c r="E237" s="122"/>
      <c r="F237" s="122"/>
      <c r="G237" s="122"/>
      <c r="H237" s="122"/>
      <c r="I237" s="119"/>
      <c r="J237" s="119"/>
      <c r="K237" s="122"/>
      <c r="L237" s="119"/>
      <c r="N237" s="119"/>
    </row>
    <row r="238" spans="1:14" x14ac:dyDescent="0.25">
      <c r="A238" s="124" t="s">
        <v>232</v>
      </c>
      <c r="B238" s="125"/>
      <c r="C238" s="125"/>
      <c r="D238" s="125"/>
      <c r="E238" s="125"/>
      <c r="F238" s="125"/>
      <c r="G238" s="125"/>
      <c r="H238" s="125">
        <f>SUM(H235:H237)</f>
        <v>0</v>
      </c>
      <c r="I238" s="10"/>
      <c r="J238" s="10"/>
      <c r="K238" s="125">
        <v>0</v>
      </c>
      <c r="L238" s="10"/>
      <c r="N238" s="10"/>
    </row>
    <row r="239" spans="1:14" x14ac:dyDescent="0.25">
      <c r="A239" s="126" t="s">
        <v>233</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CB05-036B-4E53-AE16-D62099056E29}">
  <dimension ref="A1:N241"/>
  <sheetViews>
    <sheetView topLeftCell="A186" zoomScale="85" zoomScaleNormal="85" workbookViewId="0">
      <selection activeCell="E129" sqref="E129"/>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239</v>
      </c>
      <c r="B1" s="1" t="s">
        <v>1</v>
      </c>
      <c r="C1" s="1" t="s">
        <v>2</v>
      </c>
      <c r="D1" s="1" t="s">
        <v>3</v>
      </c>
      <c r="E1" s="1" t="s">
        <v>4</v>
      </c>
      <c r="F1" s="1" t="s">
        <v>5</v>
      </c>
      <c r="G1" s="1" t="s">
        <v>6</v>
      </c>
      <c r="H1" s="1" t="s">
        <v>240</v>
      </c>
      <c r="I1" s="2"/>
      <c r="J1" s="2"/>
      <c r="K1" s="1" t="s">
        <v>238</v>
      </c>
      <c r="L1" s="2"/>
      <c r="M1" s="1" t="s">
        <v>9</v>
      </c>
      <c r="N1" s="2"/>
    </row>
    <row r="2" spans="1:14" x14ac:dyDescent="0.25">
      <c r="A2" s="6" t="s">
        <v>13</v>
      </c>
      <c r="B2" s="7">
        <f>9414*1.03*1.015*1.015*1.015</f>
        <v>10139.336708917497</v>
      </c>
      <c r="C2" s="7"/>
      <c r="D2" s="7"/>
      <c r="E2" s="7"/>
      <c r="F2" s="7"/>
      <c r="G2" s="7"/>
      <c r="H2" s="7">
        <f t="shared" ref="H2:H16" si="0">SUM(B2:G2)</f>
        <v>10139.336708917497</v>
      </c>
      <c r="I2" s="8"/>
      <c r="J2" s="9"/>
      <c r="K2" s="7">
        <v>9698.5381499999985</v>
      </c>
      <c r="L2" s="9"/>
      <c r="M2" s="7">
        <f t="shared" ref="M2:M62" si="1">H2-K2</f>
        <v>440.79855891749867</v>
      </c>
      <c r="N2" s="9"/>
    </row>
    <row r="3" spans="1:14" x14ac:dyDescent="0.25">
      <c r="A3" s="11" t="s">
        <v>14</v>
      </c>
      <c r="B3" s="12">
        <f t="shared" ref="B3" si="2">B4+B5+B6+B7+B8+B9+B10+B11+B12+B13+B14+B15+B16</f>
        <v>195</v>
      </c>
      <c r="C3" s="12"/>
      <c r="D3" s="12"/>
      <c r="E3" s="12"/>
      <c r="F3" s="12"/>
      <c r="G3" s="12"/>
      <c r="H3" s="12">
        <f t="shared" si="0"/>
        <v>195</v>
      </c>
      <c r="I3" s="8"/>
      <c r="J3" s="9"/>
      <c r="K3" s="12">
        <v>165</v>
      </c>
      <c r="L3" s="9"/>
      <c r="M3" s="12">
        <f t="shared" si="1"/>
        <v>30</v>
      </c>
      <c r="N3" s="9"/>
    </row>
    <row r="4" spans="1:14" x14ac:dyDescent="0.25">
      <c r="A4" s="13" t="s">
        <v>15</v>
      </c>
      <c r="B4" s="7">
        <v>0</v>
      </c>
      <c r="C4" s="14"/>
      <c r="D4" s="14"/>
      <c r="E4" s="14"/>
      <c r="F4" s="14"/>
      <c r="G4" s="14"/>
      <c r="H4" s="14">
        <f t="shared" si="0"/>
        <v>0</v>
      </c>
      <c r="I4" s="15">
        <f>B4/25</f>
        <v>0</v>
      </c>
      <c r="J4" s="16"/>
      <c r="K4" s="14">
        <v>0</v>
      </c>
      <c r="L4" s="16">
        <f>K4/25</f>
        <v>0</v>
      </c>
      <c r="M4" s="14">
        <f t="shared" si="1"/>
        <v>0</v>
      </c>
      <c r="N4" s="16"/>
    </row>
    <row r="5" spans="1:14" x14ac:dyDescent="0.25">
      <c r="A5" s="11" t="s">
        <v>16</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17</v>
      </c>
      <c r="B6" s="7">
        <v>0</v>
      </c>
      <c r="C6" s="14"/>
      <c r="D6" s="14"/>
      <c r="E6" s="14"/>
      <c r="F6" s="14"/>
      <c r="G6" s="14"/>
      <c r="H6" s="14">
        <f t="shared" si="0"/>
        <v>0</v>
      </c>
      <c r="I6" s="15">
        <f>B6/26</f>
        <v>0</v>
      </c>
      <c r="J6" s="16"/>
      <c r="K6" s="14">
        <v>0</v>
      </c>
      <c r="L6" s="16">
        <f>K6/26</f>
        <v>0</v>
      </c>
      <c r="M6" s="14">
        <f t="shared" si="1"/>
        <v>0</v>
      </c>
      <c r="N6" s="16"/>
    </row>
    <row r="7" spans="1:14" x14ac:dyDescent="0.25">
      <c r="A7" s="17" t="s">
        <v>18</v>
      </c>
      <c r="B7" s="7">
        <v>0</v>
      </c>
      <c r="C7" s="14"/>
      <c r="D7" s="14"/>
      <c r="E7" s="14"/>
      <c r="F7" s="14"/>
      <c r="G7" s="14"/>
      <c r="H7" s="14">
        <f t="shared" si="0"/>
        <v>0</v>
      </c>
      <c r="I7" s="15">
        <f>B7/26</f>
        <v>0</v>
      </c>
      <c r="J7" s="16"/>
      <c r="K7" s="14">
        <v>0</v>
      </c>
      <c r="L7" s="16">
        <f>K7/27</f>
        <v>0</v>
      </c>
      <c r="M7" s="14">
        <f t="shared" si="1"/>
        <v>0</v>
      </c>
      <c r="N7" s="16"/>
    </row>
    <row r="8" spans="1:14" x14ac:dyDescent="0.25">
      <c r="A8" s="17" t="s">
        <v>19</v>
      </c>
      <c r="B8" s="7">
        <v>0</v>
      </c>
      <c r="C8" s="14"/>
      <c r="D8" s="14"/>
      <c r="E8" s="14"/>
      <c r="F8" s="14"/>
      <c r="G8" s="14"/>
      <c r="H8" s="14">
        <f t="shared" si="0"/>
        <v>0</v>
      </c>
      <c r="I8" s="15">
        <f>B8/27</f>
        <v>0</v>
      </c>
      <c r="J8" s="16"/>
      <c r="K8" s="14">
        <v>0</v>
      </c>
      <c r="L8" s="16">
        <f>K8/27</f>
        <v>0</v>
      </c>
      <c r="M8" s="14">
        <f t="shared" si="1"/>
        <v>0</v>
      </c>
      <c r="N8" s="16"/>
    </row>
    <row r="9" spans="1:14" x14ac:dyDescent="0.25">
      <c r="A9" s="17" t="s">
        <v>20</v>
      </c>
      <c r="B9" s="7">
        <v>0</v>
      </c>
      <c r="C9" s="14"/>
      <c r="D9" s="14"/>
      <c r="E9" s="14"/>
      <c r="F9" s="14"/>
      <c r="G9" s="14"/>
      <c r="H9" s="14">
        <f t="shared" si="0"/>
        <v>0</v>
      </c>
      <c r="I9" s="15">
        <f>B9/27</f>
        <v>0</v>
      </c>
      <c r="J9" s="16"/>
      <c r="K9" s="14">
        <v>0</v>
      </c>
      <c r="L9" s="16">
        <f>K9/31</f>
        <v>0</v>
      </c>
      <c r="M9" s="14">
        <f t="shared" si="1"/>
        <v>0</v>
      </c>
      <c r="N9" s="16"/>
    </row>
    <row r="10" spans="1:14" x14ac:dyDescent="0.25">
      <c r="A10" s="17" t="s">
        <v>21</v>
      </c>
      <c r="B10" s="7">
        <v>35</v>
      </c>
      <c r="C10" s="7"/>
      <c r="D10" s="7"/>
      <c r="E10" s="7"/>
      <c r="F10" s="7"/>
      <c r="G10" s="7"/>
      <c r="H10" s="14">
        <f t="shared" si="0"/>
        <v>35</v>
      </c>
      <c r="I10" s="15">
        <v>1</v>
      </c>
      <c r="J10" s="16"/>
      <c r="K10" s="14">
        <v>35</v>
      </c>
      <c r="L10" s="16">
        <v>1</v>
      </c>
      <c r="M10" s="14">
        <f t="shared" si="1"/>
        <v>0</v>
      </c>
      <c r="N10" s="16"/>
    </row>
    <row r="11" spans="1:14" x14ac:dyDescent="0.25">
      <c r="A11" s="17" t="s">
        <v>22</v>
      </c>
      <c r="B11" s="7">
        <v>35</v>
      </c>
      <c r="C11" s="7"/>
      <c r="D11" s="7"/>
      <c r="E11" s="7"/>
      <c r="F11" s="7"/>
      <c r="G11" s="7"/>
      <c r="H11" s="14">
        <f t="shared" si="0"/>
        <v>35</v>
      </c>
      <c r="I11" s="15">
        <v>1</v>
      </c>
      <c r="J11" s="16"/>
      <c r="K11" s="14">
        <v>35</v>
      </c>
      <c r="L11" s="16">
        <v>1</v>
      </c>
      <c r="M11" s="14">
        <f t="shared" si="1"/>
        <v>0</v>
      </c>
      <c r="N11" s="16"/>
    </row>
    <row r="12" spans="1:14" x14ac:dyDescent="0.25">
      <c r="A12" s="17" t="s">
        <v>23</v>
      </c>
      <c r="B12" s="7">
        <v>35</v>
      </c>
      <c r="C12" s="7"/>
      <c r="D12" s="7"/>
      <c r="E12" s="7"/>
      <c r="F12" s="7"/>
      <c r="G12" s="7"/>
      <c r="H12" s="14">
        <f t="shared" si="0"/>
        <v>35</v>
      </c>
      <c r="I12" s="15">
        <v>1</v>
      </c>
      <c r="J12" s="16"/>
      <c r="K12" s="14">
        <v>30</v>
      </c>
      <c r="L12" s="16">
        <v>1</v>
      </c>
      <c r="M12" s="14">
        <f t="shared" si="1"/>
        <v>5</v>
      </c>
      <c r="N12" s="16"/>
    </row>
    <row r="13" spans="1:14" x14ac:dyDescent="0.25">
      <c r="A13" s="17" t="s">
        <v>24</v>
      </c>
      <c r="B13" s="7">
        <v>30</v>
      </c>
      <c r="C13" s="7"/>
      <c r="D13" s="7"/>
      <c r="E13" s="7"/>
      <c r="F13" s="7"/>
      <c r="G13" s="7"/>
      <c r="H13" s="14">
        <f t="shared" si="0"/>
        <v>30</v>
      </c>
      <c r="I13" s="15">
        <v>1</v>
      </c>
      <c r="K13" s="14">
        <v>29</v>
      </c>
      <c r="L13" s="16">
        <v>1</v>
      </c>
      <c r="M13" s="14">
        <f t="shared" si="1"/>
        <v>1</v>
      </c>
    </row>
    <row r="14" spans="1:14" x14ac:dyDescent="0.25">
      <c r="A14" s="17" t="s">
        <v>25</v>
      </c>
      <c r="B14" s="7">
        <v>25</v>
      </c>
      <c r="C14" s="7"/>
      <c r="D14" s="7"/>
      <c r="E14" s="7"/>
      <c r="F14" s="7"/>
      <c r="G14" s="7"/>
      <c r="H14" s="14">
        <f t="shared" si="0"/>
        <v>25</v>
      </c>
      <c r="I14" s="15">
        <v>1</v>
      </c>
      <c r="K14" s="14">
        <v>18</v>
      </c>
      <c r="L14" s="16">
        <v>1</v>
      </c>
      <c r="M14" s="14">
        <f t="shared" si="1"/>
        <v>7</v>
      </c>
    </row>
    <row r="15" spans="1:14" x14ac:dyDescent="0.25">
      <c r="A15" s="17" t="s">
        <v>26</v>
      </c>
      <c r="B15" s="7">
        <v>20</v>
      </c>
      <c r="C15" s="7"/>
      <c r="D15" s="7"/>
      <c r="E15" s="7"/>
      <c r="F15" s="7"/>
      <c r="G15" s="7"/>
      <c r="H15" s="14">
        <f t="shared" si="0"/>
        <v>20</v>
      </c>
      <c r="I15" s="15">
        <v>1</v>
      </c>
      <c r="K15" s="14">
        <v>18</v>
      </c>
      <c r="L15" s="16">
        <v>1</v>
      </c>
      <c r="M15" s="14">
        <f t="shared" si="1"/>
        <v>2</v>
      </c>
    </row>
    <row r="16" spans="1:14" x14ac:dyDescent="0.25">
      <c r="A16" s="17" t="s">
        <v>27</v>
      </c>
      <c r="B16" s="7">
        <v>15</v>
      </c>
      <c r="C16" s="7"/>
      <c r="D16" s="7"/>
      <c r="E16" s="7"/>
      <c r="F16" s="7"/>
      <c r="G16" s="7"/>
      <c r="H16" s="14">
        <f t="shared" si="0"/>
        <v>15</v>
      </c>
      <c r="I16" s="15">
        <v>1</v>
      </c>
      <c r="K16" s="14">
        <v>0</v>
      </c>
      <c r="M16" s="14">
        <f t="shared" si="1"/>
        <v>15</v>
      </c>
    </row>
    <row r="17" spans="1:14" x14ac:dyDescent="0.25">
      <c r="A17" s="20" t="s">
        <v>14</v>
      </c>
      <c r="B17" s="12">
        <f t="shared" ref="B17:G17" si="4">SUM(B4:B16)</f>
        <v>195</v>
      </c>
      <c r="C17" s="12">
        <f t="shared" si="4"/>
        <v>0</v>
      </c>
      <c r="D17" s="12">
        <f t="shared" si="4"/>
        <v>0</v>
      </c>
      <c r="E17" s="12"/>
      <c r="F17" s="12">
        <f t="shared" si="4"/>
        <v>0</v>
      </c>
      <c r="G17" s="12">
        <f t="shared" si="4"/>
        <v>0</v>
      </c>
      <c r="H17" s="12">
        <f>SUM(H4:H16)</f>
        <v>195</v>
      </c>
      <c r="I17" s="15">
        <f>SUM(I4:I16)</f>
        <v>7</v>
      </c>
      <c r="J17" s="21"/>
      <c r="K17" s="12">
        <v>165</v>
      </c>
      <c r="L17" s="21"/>
      <c r="M17" s="12">
        <f>H17-K17</f>
        <v>30</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28</v>
      </c>
      <c r="B19" s="24" t="str">
        <f>B1</f>
        <v>Operating</v>
      </c>
      <c r="C19" s="24" t="str">
        <f>C1</f>
        <v>SPED</v>
      </c>
      <c r="D19" s="24" t="str">
        <f>D1</f>
        <v>NSLP</v>
      </c>
      <c r="E19" s="24" t="str">
        <f>E1</f>
        <v>Other</v>
      </c>
      <c r="F19" s="24" t="str">
        <f t="shared" ref="F19:G19" si="5">F1</f>
        <v>Title I</v>
      </c>
      <c r="G19" s="24" t="str">
        <f t="shared" si="5"/>
        <v>Title II/III/IV</v>
      </c>
      <c r="H19" s="24" t="str">
        <f>H1</f>
        <v>Total (27-28)</v>
      </c>
      <c r="I19" s="25"/>
      <c r="J19" s="25"/>
      <c r="K19" s="24" t="s">
        <v>238</v>
      </c>
      <c r="L19" s="25"/>
      <c r="M19" s="24" t="str">
        <f>M1</f>
        <v>Variance</v>
      </c>
      <c r="N19" s="25"/>
    </row>
    <row r="20" spans="1:14" x14ac:dyDescent="0.25">
      <c r="A20" s="17" t="s">
        <v>29</v>
      </c>
      <c r="B20" s="7"/>
      <c r="C20" s="7">
        <f>('27-28'!C20/'27-28'!B17)*'28-29'!B17</f>
        <v>29.864864864864863</v>
      </c>
      <c r="D20" s="7"/>
      <c r="E20" s="7"/>
      <c r="F20" s="7"/>
      <c r="G20" s="7"/>
      <c r="H20" s="7">
        <f>SUM(B20:G20)</f>
        <v>29.864864864864863</v>
      </c>
      <c r="I20" s="26" t="s">
        <v>30</v>
      </c>
      <c r="J20" s="27"/>
      <c r="K20" s="7">
        <v>17</v>
      </c>
      <c r="L20" s="27"/>
      <c r="M20" s="7">
        <f t="shared" si="1"/>
        <v>12.864864864864863</v>
      </c>
      <c r="N20" s="27"/>
    </row>
    <row r="21" spans="1:14" x14ac:dyDescent="0.25">
      <c r="A21" s="17" t="s">
        <v>31</v>
      </c>
      <c r="B21" s="7">
        <f>('27-28'!B21/'27-28'!B17)*'28-29'!B17</f>
        <v>40.405405405405403</v>
      </c>
      <c r="C21" s="7"/>
      <c r="D21" s="7"/>
      <c r="E21" s="7"/>
      <c r="F21" s="7"/>
      <c r="G21" s="7"/>
      <c r="H21" s="7">
        <f>SUM(B21:G21)</f>
        <v>40.405405405405403</v>
      </c>
      <c r="I21" s="26"/>
      <c r="J21" s="27"/>
      <c r="K21" s="7">
        <v>23</v>
      </c>
      <c r="L21" s="27"/>
      <c r="M21" s="7">
        <f t="shared" si="1"/>
        <v>17.405405405405403</v>
      </c>
      <c r="N21" s="27"/>
    </row>
    <row r="22" spans="1:14" x14ac:dyDescent="0.25">
      <c r="A22" s="17" t="s">
        <v>32</v>
      </c>
      <c r="B22" s="14">
        <v>0</v>
      </c>
      <c r="C22" s="14"/>
      <c r="D22" s="14"/>
      <c r="E22" s="14"/>
      <c r="F22" s="14"/>
      <c r="G22" s="14"/>
      <c r="H22" s="7">
        <f>SUM(B22:G22)</f>
        <v>0</v>
      </c>
      <c r="I22" s="19"/>
      <c r="K22" s="7">
        <v>0</v>
      </c>
      <c r="M22" s="7">
        <f t="shared" si="1"/>
        <v>0</v>
      </c>
    </row>
    <row r="23" spans="1:14" x14ac:dyDescent="0.25">
      <c r="A23" s="17" t="s">
        <v>33</v>
      </c>
      <c r="B23" s="7">
        <v>101</v>
      </c>
      <c r="C23" s="29"/>
      <c r="D23" s="29">
        <v>1</v>
      </c>
      <c r="E23" s="29"/>
      <c r="F23" s="29"/>
      <c r="G23" s="29"/>
      <c r="H23" s="29">
        <f>D23</f>
        <v>1</v>
      </c>
      <c r="I23" s="30"/>
      <c r="J23" s="31"/>
      <c r="K23" s="29">
        <v>1</v>
      </c>
      <c r="L23" s="31"/>
      <c r="M23" s="29">
        <f t="shared" si="1"/>
        <v>0</v>
      </c>
      <c r="N23" s="31"/>
    </row>
    <row r="24" spans="1:14" x14ac:dyDescent="0.25">
      <c r="A24" s="17" t="s">
        <v>34</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35</v>
      </c>
      <c r="B26" s="24" t="str">
        <f>B1</f>
        <v>Operating</v>
      </c>
      <c r="C26" s="24" t="str">
        <f>C1</f>
        <v>SPED</v>
      </c>
      <c r="D26" s="24" t="str">
        <f>D1</f>
        <v>NSLP</v>
      </c>
      <c r="E26" s="24" t="str">
        <f>E1</f>
        <v>Other</v>
      </c>
      <c r="F26" s="24" t="str">
        <f t="shared" ref="F26:G26" si="6">F1</f>
        <v>Title I</v>
      </c>
      <c r="G26" s="24" t="str">
        <f t="shared" si="6"/>
        <v>Title II/III/IV</v>
      </c>
      <c r="H26" s="24" t="str">
        <f>H1</f>
        <v>Total (27-28)</v>
      </c>
      <c r="I26" s="25"/>
      <c r="J26" s="25"/>
      <c r="K26" s="24" t="s">
        <v>238</v>
      </c>
      <c r="L26" s="25"/>
      <c r="M26" s="24" t="str">
        <f>M1</f>
        <v>Variance</v>
      </c>
      <c r="N26" s="25"/>
    </row>
    <row r="27" spans="1:14" x14ac:dyDescent="0.25">
      <c r="A27" s="33" t="s">
        <v>36</v>
      </c>
      <c r="B27" s="34">
        <v>7</v>
      </c>
      <c r="C27" s="34"/>
      <c r="D27" s="34"/>
      <c r="E27" s="34"/>
      <c r="F27" s="34"/>
      <c r="G27" s="34"/>
      <c r="H27" s="34">
        <f t="shared" ref="H27:H35" si="7">SUM(B27:G27)</f>
        <v>7</v>
      </c>
      <c r="I27" s="15">
        <f>H27/6</f>
        <v>1.1666666666666667</v>
      </c>
      <c r="J27" s="16"/>
      <c r="K27" s="34">
        <v>6</v>
      </c>
      <c r="L27" s="16"/>
      <c r="M27" s="34">
        <f t="shared" si="1"/>
        <v>1</v>
      </c>
      <c r="N27" s="16"/>
    </row>
    <row r="28" spans="1:14" x14ac:dyDescent="0.25">
      <c r="A28" s="33" t="s">
        <v>37</v>
      </c>
      <c r="B28" s="36">
        <v>0</v>
      </c>
      <c r="C28" s="36">
        <v>1</v>
      </c>
      <c r="D28" s="36"/>
      <c r="E28" s="36"/>
      <c r="F28" s="36"/>
      <c r="G28" s="36"/>
      <c r="H28" s="34">
        <f t="shared" si="7"/>
        <v>1</v>
      </c>
      <c r="I28" s="15">
        <f>H20/21</f>
        <v>1.4221364221364221</v>
      </c>
      <c r="J28" s="16"/>
      <c r="K28" s="34">
        <v>1</v>
      </c>
      <c r="L28" s="16"/>
      <c r="M28" s="34">
        <f t="shared" si="1"/>
        <v>0</v>
      </c>
      <c r="N28" s="16"/>
    </row>
    <row r="29" spans="1:14" x14ac:dyDescent="0.25">
      <c r="A29" s="33" t="s">
        <v>38</v>
      </c>
      <c r="B29" s="34">
        <v>0</v>
      </c>
      <c r="C29" s="34"/>
      <c r="D29" s="34"/>
      <c r="E29" s="34"/>
      <c r="F29" s="34"/>
      <c r="G29" s="34"/>
      <c r="H29" s="34">
        <f t="shared" si="7"/>
        <v>0</v>
      </c>
      <c r="I29" s="19"/>
      <c r="K29" s="34">
        <v>0</v>
      </c>
      <c r="M29" s="34">
        <f t="shared" si="1"/>
        <v>0</v>
      </c>
    </row>
    <row r="30" spans="1:14" x14ac:dyDescent="0.25">
      <c r="A30" s="33" t="s">
        <v>39</v>
      </c>
      <c r="B30" s="34">
        <v>0</v>
      </c>
      <c r="C30" s="34"/>
      <c r="D30" s="34"/>
      <c r="E30" s="34"/>
      <c r="F30" s="34"/>
      <c r="G30" s="34"/>
      <c r="H30" s="34">
        <f t="shared" si="7"/>
        <v>0</v>
      </c>
      <c r="I30" s="19"/>
      <c r="K30" s="34">
        <v>0</v>
      </c>
      <c r="M30" s="34">
        <f t="shared" si="1"/>
        <v>0</v>
      </c>
    </row>
    <row r="31" spans="1:14" x14ac:dyDescent="0.25">
      <c r="A31" s="33" t="s">
        <v>40</v>
      </c>
      <c r="B31" s="34">
        <v>0</v>
      </c>
      <c r="C31" s="34"/>
      <c r="D31" s="34"/>
      <c r="E31" s="34"/>
      <c r="F31" s="34"/>
      <c r="G31" s="34"/>
      <c r="H31" s="34">
        <f t="shared" si="7"/>
        <v>0</v>
      </c>
      <c r="I31" s="19"/>
      <c r="K31" s="34">
        <v>0</v>
      </c>
      <c r="M31" s="34">
        <f t="shared" si="1"/>
        <v>0</v>
      </c>
    </row>
    <row r="32" spans="1:14" x14ac:dyDescent="0.25">
      <c r="A32" s="38" t="s">
        <v>41</v>
      </c>
      <c r="B32" s="34">
        <v>0</v>
      </c>
      <c r="C32" s="34"/>
      <c r="D32" s="34"/>
      <c r="E32" s="34"/>
      <c r="F32" s="34"/>
      <c r="G32" s="34"/>
      <c r="H32" s="34">
        <f t="shared" si="7"/>
        <v>0</v>
      </c>
      <c r="I32" s="19"/>
      <c r="K32" s="34">
        <v>0</v>
      </c>
      <c r="M32" s="34">
        <f t="shared" si="1"/>
        <v>0</v>
      </c>
    </row>
    <row r="33" spans="1:14" x14ac:dyDescent="0.25">
      <c r="A33" s="38" t="s">
        <v>42</v>
      </c>
      <c r="B33" s="34">
        <v>0</v>
      </c>
      <c r="C33" s="34"/>
      <c r="D33" s="34"/>
      <c r="E33" s="34"/>
      <c r="F33" s="34"/>
      <c r="G33" s="34"/>
      <c r="H33" s="34">
        <f t="shared" si="7"/>
        <v>0</v>
      </c>
      <c r="I33" s="19"/>
      <c r="K33" s="34">
        <v>0</v>
      </c>
      <c r="M33" s="34">
        <f t="shared" si="1"/>
        <v>0</v>
      </c>
    </row>
    <row r="34" spans="1:14" x14ac:dyDescent="0.25">
      <c r="A34" s="38" t="s">
        <v>43</v>
      </c>
      <c r="B34" s="34">
        <v>1</v>
      </c>
      <c r="C34" s="34"/>
      <c r="D34" s="34"/>
      <c r="E34" s="34"/>
      <c r="F34" s="34"/>
      <c r="G34" s="34"/>
      <c r="H34" s="34">
        <f t="shared" si="7"/>
        <v>1</v>
      </c>
      <c r="I34" s="19"/>
      <c r="K34" s="34">
        <v>2</v>
      </c>
      <c r="M34" s="34">
        <f t="shared" si="1"/>
        <v>-1</v>
      </c>
    </row>
    <row r="35" spans="1:14" x14ac:dyDescent="0.25">
      <c r="A35" s="39" t="s">
        <v>44</v>
      </c>
      <c r="B35" s="34">
        <v>0</v>
      </c>
      <c r="C35" s="34"/>
      <c r="D35" s="34"/>
      <c r="E35" s="34"/>
      <c r="F35" s="34"/>
      <c r="G35" s="34"/>
      <c r="H35" s="34">
        <f t="shared" si="7"/>
        <v>0</v>
      </c>
      <c r="I35" s="19"/>
      <c r="K35" s="34">
        <v>0</v>
      </c>
      <c r="M35" s="34">
        <f t="shared" si="1"/>
        <v>0</v>
      </c>
    </row>
    <row r="36" spans="1:14" x14ac:dyDescent="0.25">
      <c r="A36" s="32" t="s">
        <v>45</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46</v>
      </c>
      <c r="B38" s="24" t="str">
        <f>B1</f>
        <v>Operating</v>
      </c>
      <c r="C38" s="24" t="str">
        <f>C1</f>
        <v>SPED</v>
      </c>
      <c r="D38" s="24" t="str">
        <f>D1</f>
        <v>NSLP</v>
      </c>
      <c r="E38" s="24" t="str">
        <f>E1</f>
        <v>Other</v>
      </c>
      <c r="F38" s="24" t="str">
        <f t="shared" ref="F38:G38" si="9">F1</f>
        <v>Title I</v>
      </c>
      <c r="G38" s="24" t="str">
        <f t="shared" si="9"/>
        <v>Title II/III/IV</v>
      </c>
      <c r="H38" s="24" t="str">
        <f>H1</f>
        <v>Total (27-28)</v>
      </c>
      <c r="I38" s="25"/>
      <c r="J38" s="25"/>
      <c r="K38" s="24" t="s">
        <v>238</v>
      </c>
      <c r="L38" s="25"/>
      <c r="M38" s="24" t="str">
        <f>M1</f>
        <v>Variance</v>
      </c>
      <c r="N38" s="25"/>
    </row>
    <row r="39" spans="1:14" x14ac:dyDescent="0.25">
      <c r="A39" s="33" t="s">
        <v>47</v>
      </c>
      <c r="B39" s="36">
        <v>1</v>
      </c>
      <c r="C39" s="36"/>
      <c r="D39" s="36"/>
      <c r="E39" s="36"/>
      <c r="F39" s="36"/>
      <c r="G39" s="36"/>
      <c r="H39" s="34">
        <f t="shared" ref="H39:H60" si="10">SUM(B39:G39)</f>
        <v>1</v>
      </c>
      <c r="I39" s="19"/>
      <c r="K39" s="34">
        <v>1</v>
      </c>
      <c r="M39" s="34">
        <f t="shared" si="1"/>
        <v>0</v>
      </c>
    </row>
    <row r="40" spans="1:14" x14ac:dyDescent="0.25">
      <c r="A40" s="33" t="s">
        <v>48</v>
      </c>
      <c r="B40" s="36">
        <v>1</v>
      </c>
      <c r="C40" s="36"/>
      <c r="D40" s="36"/>
      <c r="E40" s="36"/>
      <c r="F40" s="36"/>
      <c r="G40" s="36"/>
      <c r="H40" s="34">
        <f t="shared" si="10"/>
        <v>1</v>
      </c>
      <c r="I40" s="19"/>
      <c r="K40" s="34">
        <v>1</v>
      </c>
      <c r="M40" s="34">
        <f t="shared" si="1"/>
        <v>0</v>
      </c>
    </row>
    <row r="41" spans="1:14" x14ac:dyDescent="0.25">
      <c r="A41" s="39" t="s">
        <v>49</v>
      </c>
      <c r="B41" s="36">
        <v>0</v>
      </c>
      <c r="C41" s="36"/>
      <c r="D41" s="36"/>
      <c r="E41" s="36">
        <v>0</v>
      </c>
      <c r="F41" s="36">
        <v>1</v>
      </c>
      <c r="G41" s="36"/>
      <c r="H41" s="34">
        <f t="shared" si="10"/>
        <v>1</v>
      </c>
      <c r="I41" s="19"/>
      <c r="K41" s="34">
        <v>1</v>
      </c>
      <c r="M41" s="34">
        <f t="shared" si="1"/>
        <v>0</v>
      </c>
    </row>
    <row r="42" spans="1:14" x14ac:dyDescent="0.25">
      <c r="A42" s="42" t="s">
        <v>50</v>
      </c>
      <c r="B42" s="36">
        <v>0</v>
      </c>
      <c r="C42" s="36"/>
      <c r="D42" s="36"/>
      <c r="E42" s="36"/>
      <c r="F42" s="36"/>
      <c r="G42" s="36"/>
      <c r="H42" s="34">
        <f t="shared" si="10"/>
        <v>0</v>
      </c>
      <c r="I42" s="19"/>
      <c r="K42" s="34">
        <v>0</v>
      </c>
      <c r="M42" s="34">
        <f t="shared" si="1"/>
        <v>0</v>
      </c>
    </row>
    <row r="43" spans="1:14" x14ac:dyDescent="0.25">
      <c r="A43" s="42" t="s">
        <v>51</v>
      </c>
      <c r="B43" s="36">
        <v>0</v>
      </c>
      <c r="C43" s="36"/>
      <c r="D43" s="36"/>
      <c r="E43" s="36"/>
      <c r="F43" s="36"/>
      <c r="G43" s="36"/>
      <c r="H43" s="34">
        <f t="shared" si="10"/>
        <v>0</v>
      </c>
      <c r="I43" s="19"/>
      <c r="K43" s="34">
        <v>0</v>
      </c>
      <c r="M43" s="34">
        <f t="shared" si="1"/>
        <v>0</v>
      </c>
    </row>
    <row r="44" spans="1:14" x14ac:dyDescent="0.25">
      <c r="A44" s="42" t="s">
        <v>52</v>
      </c>
      <c r="B44" s="36">
        <v>1</v>
      </c>
      <c r="C44" s="36"/>
      <c r="D44" s="36"/>
      <c r="E44" s="36">
        <v>0</v>
      </c>
      <c r="F44" s="36"/>
      <c r="G44" s="36"/>
      <c r="H44" s="34">
        <f t="shared" si="10"/>
        <v>1</v>
      </c>
      <c r="I44" s="19"/>
      <c r="K44" s="34">
        <v>1</v>
      </c>
      <c r="M44" s="34">
        <f t="shared" si="1"/>
        <v>0</v>
      </c>
    </row>
    <row r="45" spans="1:14" x14ac:dyDescent="0.25">
      <c r="A45" s="42" t="s">
        <v>53</v>
      </c>
      <c r="B45" s="36">
        <v>0</v>
      </c>
      <c r="C45" s="36"/>
      <c r="D45" s="36"/>
      <c r="E45" s="36">
        <v>0</v>
      </c>
      <c r="F45" s="36"/>
      <c r="G45" s="36"/>
      <c r="H45" s="34">
        <f t="shared" si="10"/>
        <v>0</v>
      </c>
      <c r="I45" s="19"/>
      <c r="K45" s="34">
        <v>0</v>
      </c>
      <c r="M45" s="34">
        <f t="shared" si="1"/>
        <v>0</v>
      </c>
    </row>
    <row r="46" spans="1:14" x14ac:dyDescent="0.25">
      <c r="A46" s="33" t="s">
        <v>54</v>
      </c>
      <c r="B46" s="36">
        <v>1</v>
      </c>
      <c r="C46" s="36"/>
      <c r="D46" s="36"/>
      <c r="E46" s="36"/>
      <c r="F46" s="36"/>
      <c r="G46" s="36"/>
      <c r="H46" s="34">
        <f t="shared" si="10"/>
        <v>1</v>
      </c>
      <c r="I46" s="19"/>
      <c r="K46" s="34">
        <v>1</v>
      </c>
      <c r="M46" s="34">
        <f t="shared" si="1"/>
        <v>0</v>
      </c>
    </row>
    <row r="47" spans="1:14" x14ac:dyDescent="0.25">
      <c r="A47" s="33" t="s">
        <v>55</v>
      </c>
      <c r="B47" s="36">
        <v>0</v>
      </c>
      <c r="C47" s="36"/>
      <c r="D47" s="36"/>
      <c r="E47" s="36"/>
      <c r="F47" s="36"/>
      <c r="G47" s="36"/>
      <c r="H47" s="34">
        <f t="shared" si="10"/>
        <v>0</v>
      </c>
      <c r="I47" s="19"/>
      <c r="K47" s="34">
        <v>0</v>
      </c>
      <c r="M47" s="34">
        <f t="shared" si="1"/>
        <v>0</v>
      </c>
    </row>
    <row r="48" spans="1:14" x14ac:dyDescent="0.25">
      <c r="A48" s="33" t="s">
        <v>56</v>
      </c>
      <c r="B48" s="36">
        <v>0</v>
      </c>
      <c r="C48" s="36"/>
      <c r="D48" s="36"/>
      <c r="E48" s="36"/>
      <c r="F48" s="36"/>
      <c r="G48" s="36"/>
      <c r="H48" s="34">
        <f t="shared" si="10"/>
        <v>0</v>
      </c>
      <c r="I48" s="19"/>
      <c r="K48" s="34">
        <v>0</v>
      </c>
      <c r="M48" s="34">
        <f t="shared" si="1"/>
        <v>0</v>
      </c>
    </row>
    <row r="49" spans="1:14" x14ac:dyDescent="0.25">
      <c r="A49" s="33" t="s">
        <v>57</v>
      </c>
      <c r="B49" s="36">
        <v>0</v>
      </c>
      <c r="C49" s="36"/>
      <c r="D49" s="36"/>
      <c r="E49" s="36"/>
      <c r="F49" s="36"/>
      <c r="G49" s="36"/>
      <c r="H49" s="34">
        <f t="shared" si="10"/>
        <v>0</v>
      </c>
      <c r="I49" s="19"/>
      <c r="K49" s="34">
        <v>0</v>
      </c>
      <c r="M49" s="34">
        <f t="shared" si="1"/>
        <v>0</v>
      </c>
    </row>
    <row r="50" spans="1:14" x14ac:dyDescent="0.25">
      <c r="A50" s="33" t="s">
        <v>58</v>
      </c>
      <c r="B50" s="36">
        <v>1</v>
      </c>
      <c r="C50" s="36"/>
      <c r="D50" s="36"/>
      <c r="E50" s="36"/>
      <c r="F50" s="36">
        <v>0</v>
      </c>
      <c r="G50" s="36"/>
      <c r="H50" s="34">
        <f t="shared" si="10"/>
        <v>1</v>
      </c>
      <c r="I50" s="19"/>
      <c r="K50" s="34">
        <v>1</v>
      </c>
      <c r="M50" s="34">
        <f t="shared" si="1"/>
        <v>0</v>
      </c>
    </row>
    <row r="51" spans="1:14" x14ac:dyDescent="0.25">
      <c r="A51" s="33" t="s">
        <v>59</v>
      </c>
      <c r="B51" s="36">
        <v>0</v>
      </c>
      <c r="C51" s="36"/>
      <c r="D51" s="36"/>
      <c r="E51" s="36"/>
      <c r="F51" s="36"/>
      <c r="G51" s="36"/>
      <c r="H51" s="34">
        <f t="shared" si="10"/>
        <v>0</v>
      </c>
      <c r="I51" s="19"/>
      <c r="K51" s="34">
        <v>0</v>
      </c>
      <c r="M51" s="34">
        <f t="shared" si="1"/>
        <v>0</v>
      </c>
    </row>
    <row r="52" spans="1:14" x14ac:dyDescent="0.25">
      <c r="A52" s="33" t="s">
        <v>60</v>
      </c>
      <c r="B52" s="36"/>
      <c r="C52" s="36"/>
      <c r="D52" s="36">
        <v>1</v>
      </c>
      <c r="E52" s="36"/>
      <c r="F52" s="36"/>
      <c r="G52" s="36"/>
      <c r="H52" s="34">
        <f t="shared" si="10"/>
        <v>1</v>
      </c>
      <c r="I52" s="19"/>
      <c r="K52" s="34">
        <v>1</v>
      </c>
      <c r="M52" s="34">
        <f t="shared" si="1"/>
        <v>0</v>
      </c>
    </row>
    <row r="53" spans="1:14" x14ac:dyDescent="0.25">
      <c r="A53" s="33" t="s">
        <v>61</v>
      </c>
      <c r="B53" s="36"/>
      <c r="C53" s="36"/>
      <c r="D53" s="36"/>
      <c r="E53" s="36"/>
      <c r="F53" s="36"/>
      <c r="G53" s="36"/>
      <c r="H53" s="34">
        <f t="shared" si="10"/>
        <v>0</v>
      </c>
      <c r="I53" s="8"/>
      <c r="J53" s="9"/>
      <c r="K53" s="34">
        <v>0</v>
      </c>
      <c r="L53" s="9"/>
      <c r="M53" s="34">
        <f t="shared" si="1"/>
        <v>0</v>
      </c>
      <c r="N53" s="9"/>
    </row>
    <row r="54" spans="1:14" x14ac:dyDescent="0.25">
      <c r="A54" s="39" t="s">
        <v>62</v>
      </c>
      <c r="B54" s="36"/>
      <c r="C54" s="36"/>
      <c r="D54" s="36"/>
      <c r="E54" s="36"/>
      <c r="F54" s="36"/>
      <c r="G54" s="36"/>
      <c r="H54" s="34">
        <f t="shared" si="10"/>
        <v>0</v>
      </c>
      <c r="I54" s="8"/>
      <c r="J54" s="9"/>
      <c r="K54" s="34">
        <v>0</v>
      </c>
      <c r="L54" s="9"/>
      <c r="M54" s="34">
        <f t="shared" si="1"/>
        <v>0</v>
      </c>
      <c r="N54" s="9"/>
    </row>
    <row r="55" spans="1:14" x14ac:dyDescent="0.25">
      <c r="A55" s="39" t="s">
        <v>63</v>
      </c>
      <c r="B55" s="36"/>
      <c r="C55" s="36"/>
      <c r="D55" s="36"/>
      <c r="E55" s="36"/>
      <c r="F55" s="36"/>
      <c r="G55" s="36"/>
      <c r="H55" s="34">
        <f t="shared" si="10"/>
        <v>0</v>
      </c>
      <c r="I55" s="8"/>
      <c r="J55" s="9"/>
      <c r="K55" s="34">
        <v>0</v>
      </c>
      <c r="L55" s="9"/>
      <c r="M55" s="34">
        <f t="shared" si="1"/>
        <v>0</v>
      </c>
      <c r="N55" s="9"/>
    </row>
    <row r="56" spans="1:14" x14ac:dyDescent="0.25">
      <c r="A56" s="39" t="s">
        <v>64</v>
      </c>
      <c r="B56" s="36"/>
      <c r="C56" s="36"/>
      <c r="D56" s="36"/>
      <c r="E56" s="36"/>
      <c r="F56" s="36"/>
      <c r="G56" s="36"/>
      <c r="H56" s="34">
        <f t="shared" si="10"/>
        <v>0</v>
      </c>
      <c r="I56" s="8"/>
      <c r="J56" s="9"/>
      <c r="K56" s="34">
        <v>0</v>
      </c>
      <c r="L56" s="9"/>
      <c r="M56" s="34">
        <f t="shared" si="1"/>
        <v>0</v>
      </c>
      <c r="N56" s="9"/>
    </row>
    <row r="57" spans="1:14" x14ac:dyDescent="0.25">
      <c r="A57" s="39" t="s">
        <v>65</v>
      </c>
      <c r="B57" s="36"/>
      <c r="C57" s="36"/>
      <c r="D57" s="36"/>
      <c r="E57" s="36"/>
      <c r="F57" s="36"/>
      <c r="G57" s="36"/>
      <c r="H57" s="34">
        <f t="shared" si="10"/>
        <v>0</v>
      </c>
      <c r="I57" s="8"/>
      <c r="J57" s="9"/>
      <c r="K57" s="34">
        <v>0</v>
      </c>
      <c r="L57" s="9"/>
      <c r="M57" s="34">
        <f t="shared" si="1"/>
        <v>0</v>
      </c>
      <c r="N57" s="9"/>
    </row>
    <row r="58" spans="1:14" x14ac:dyDescent="0.25">
      <c r="A58" s="39" t="s">
        <v>66</v>
      </c>
      <c r="B58" s="36"/>
      <c r="C58" s="36"/>
      <c r="D58" s="36"/>
      <c r="E58" s="36"/>
      <c r="F58" s="36"/>
      <c r="G58" s="36"/>
      <c r="H58" s="34">
        <f t="shared" si="10"/>
        <v>0</v>
      </c>
      <c r="I58" s="8"/>
      <c r="J58" s="9"/>
      <c r="K58" s="34">
        <v>0</v>
      </c>
      <c r="L58" s="9"/>
      <c r="M58" s="34">
        <f t="shared" si="1"/>
        <v>0</v>
      </c>
      <c r="N58" s="9"/>
    </row>
    <row r="59" spans="1:14" x14ac:dyDescent="0.25">
      <c r="A59" s="39" t="s">
        <v>67</v>
      </c>
      <c r="B59" s="36"/>
      <c r="C59" s="36"/>
      <c r="D59" s="36"/>
      <c r="E59" s="36"/>
      <c r="F59" s="36"/>
      <c r="G59" s="36"/>
      <c r="H59" s="34">
        <f t="shared" si="10"/>
        <v>0</v>
      </c>
      <c r="I59" s="8"/>
      <c r="J59" s="9"/>
      <c r="K59" s="34">
        <v>0</v>
      </c>
      <c r="L59" s="9"/>
      <c r="M59" s="34">
        <f t="shared" si="1"/>
        <v>0</v>
      </c>
      <c r="N59" s="9"/>
    </row>
    <row r="60" spans="1:14" x14ac:dyDescent="0.25">
      <c r="A60" s="33" t="s">
        <v>68</v>
      </c>
      <c r="B60" s="34"/>
      <c r="C60" s="34"/>
      <c r="D60" s="34"/>
      <c r="E60" s="34"/>
      <c r="F60" s="34"/>
      <c r="G60" s="34"/>
      <c r="H60" s="34">
        <f t="shared" si="10"/>
        <v>0</v>
      </c>
      <c r="I60" s="8"/>
      <c r="J60" s="9"/>
      <c r="K60" s="34">
        <v>0</v>
      </c>
      <c r="L60" s="9"/>
      <c r="M60" s="34">
        <f t="shared" si="1"/>
        <v>0</v>
      </c>
      <c r="N60" s="9"/>
    </row>
    <row r="61" spans="1:14" x14ac:dyDescent="0.25">
      <c r="A61" s="32" t="s">
        <v>69</v>
      </c>
      <c r="B61" s="44">
        <f>SUM(B39:B60)</f>
        <v>5</v>
      </c>
      <c r="C61" s="44">
        <f>SUM(C39:C60)</f>
        <v>0</v>
      </c>
      <c r="D61" s="44">
        <f>SUM(D39:D60)</f>
        <v>1</v>
      </c>
      <c r="E61" s="44">
        <f>SUM(E39:E60)</f>
        <v>0</v>
      </c>
      <c r="F61" s="44">
        <f t="shared" ref="F61:G61" si="11">SUM(F39:F60)</f>
        <v>1</v>
      </c>
      <c r="G61" s="44">
        <f t="shared" si="11"/>
        <v>0</v>
      </c>
      <c r="H61" s="44">
        <f>SUM(H39:H60)</f>
        <v>7</v>
      </c>
      <c r="I61" s="10"/>
      <c r="J61" s="10"/>
      <c r="K61" s="44">
        <v>7</v>
      </c>
      <c r="L61" s="10"/>
      <c r="M61" s="44">
        <f>SUM(M39:M60)</f>
        <v>0</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70</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71</v>
      </c>
      <c r="B64" s="50">
        <f>B61</f>
        <v>5</v>
      </c>
      <c r="C64" s="50">
        <f t="shared" ref="C64:H64" si="13">C61</f>
        <v>0</v>
      </c>
      <c r="D64" s="50">
        <f t="shared" si="13"/>
        <v>1</v>
      </c>
      <c r="E64" s="50">
        <f t="shared" si="13"/>
        <v>0</v>
      </c>
      <c r="F64" s="50">
        <f t="shared" si="13"/>
        <v>1</v>
      </c>
      <c r="G64" s="50">
        <f t="shared" si="13"/>
        <v>0</v>
      </c>
      <c r="H64" s="50">
        <f t="shared" si="13"/>
        <v>7</v>
      </c>
      <c r="I64" s="10"/>
      <c r="J64" s="10"/>
      <c r="K64" s="50">
        <v>7</v>
      </c>
      <c r="L64" s="10"/>
      <c r="M64" s="50">
        <f t="shared" ref="M64" si="14">M61</f>
        <v>0</v>
      </c>
      <c r="N64" s="10"/>
    </row>
    <row r="65" spans="1:14" ht="15.75" thickBot="1" x14ac:dyDescent="0.3">
      <c r="A65" s="51" t="s">
        <v>72</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16</v>
      </c>
      <c r="L65" s="10"/>
      <c r="M65" s="52">
        <f>SUM(M63:M64)</f>
        <v>0</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73</v>
      </c>
      <c r="B67" s="55"/>
      <c r="C67" s="55"/>
      <c r="D67" s="55"/>
      <c r="E67" s="55"/>
      <c r="F67" s="55"/>
      <c r="G67" s="55"/>
      <c r="H67" s="56">
        <f>H142/(H211+H213+H214+H215+H216+H217)</f>
        <v>0.59262748718950486</v>
      </c>
      <c r="I67" s="10"/>
      <c r="J67" s="10"/>
      <c r="K67" s="56">
        <v>0.62049403052649565</v>
      </c>
      <c r="L67" s="10"/>
      <c r="M67" s="56"/>
      <c r="N67" s="10"/>
    </row>
    <row r="68" spans="1:14" x14ac:dyDescent="0.25">
      <c r="A68" s="54" t="s">
        <v>74</v>
      </c>
      <c r="B68" s="55"/>
      <c r="C68" s="55"/>
      <c r="D68" s="55"/>
      <c r="E68" s="55"/>
      <c r="F68" s="55"/>
      <c r="G68" s="55"/>
      <c r="H68" s="56">
        <f>(H114+H115+H118+H128)/H132</f>
        <v>0.5197957980021608</v>
      </c>
      <c r="I68" s="10"/>
      <c r="J68" s="10"/>
      <c r="K68" s="56">
        <v>0.51866785002631</v>
      </c>
      <c r="L68" s="10"/>
      <c r="M68" s="56"/>
      <c r="N68" s="10"/>
    </row>
    <row r="69" spans="1:14" x14ac:dyDescent="0.25">
      <c r="A69" s="54" t="s">
        <v>75</v>
      </c>
      <c r="B69" s="55"/>
      <c r="C69" s="55"/>
      <c r="D69" s="55"/>
      <c r="E69" s="55"/>
      <c r="F69" s="55"/>
      <c r="G69" s="55"/>
      <c r="H69" s="56">
        <f>(H107+H108+H109+H112+H116+H117+H119+H120++H123+H124+H125+H126+H127+H129+H130)/H132</f>
        <v>0.48020420199783909</v>
      </c>
      <c r="I69" s="10"/>
      <c r="J69" s="10"/>
      <c r="K69" s="56">
        <v>0.48133214997369</v>
      </c>
      <c r="L69" s="10"/>
      <c r="M69" s="56"/>
      <c r="N69" s="10"/>
    </row>
    <row r="70" spans="1:14" x14ac:dyDescent="0.25">
      <c r="A70" s="54" t="s">
        <v>76</v>
      </c>
      <c r="B70" s="55"/>
      <c r="C70" s="55"/>
      <c r="D70" s="55"/>
      <c r="E70" s="55"/>
      <c r="F70" s="55"/>
      <c r="G70" s="55"/>
      <c r="H70" s="56">
        <f>(H213+H214+H215+H216)/(H97)</f>
        <v>4.2082842433095881E-2</v>
      </c>
      <c r="I70" s="10"/>
      <c r="J70" s="10"/>
      <c r="K70" s="56">
        <v>3.2513199523614415E-2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77</v>
      </c>
      <c r="B72" s="58" t="str">
        <f>B1</f>
        <v>Operating</v>
      </c>
      <c r="C72" s="58" t="str">
        <f>C1</f>
        <v>SPED</v>
      </c>
      <c r="D72" s="58" t="str">
        <f>D1</f>
        <v>NSLP</v>
      </c>
      <c r="E72" s="58" t="str">
        <f>E1</f>
        <v>Other</v>
      </c>
      <c r="F72" s="58" t="str">
        <f t="shared" ref="F72:G72" si="17">F1</f>
        <v>Title I</v>
      </c>
      <c r="G72" s="58" t="str">
        <f t="shared" si="17"/>
        <v>Title II/III/IV</v>
      </c>
      <c r="H72" s="58" t="str">
        <f>H1</f>
        <v>Total (27-28)</v>
      </c>
      <c r="I72" s="10"/>
      <c r="J72" s="10"/>
      <c r="K72" s="58" t="s">
        <v>238</v>
      </c>
      <c r="L72" s="10"/>
      <c r="M72" s="58" t="str">
        <f>M1</f>
        <v>Variance</v>
      </c>
      <c r="N72" s="10"/>
    </row>
    <row r="73" spans="1:14" x14ac:dyDescent="0.25">
      <c r="A73" s="59" t="s">
        <v>78</v>
      </c>
      <c r="B73" s="60"/>
      <c r="C73" s="60"/>
      <c r="D73" s="60"/>
      <c r="E73" s="60"/>
      <c r="F73" s="60"/>
      <c r="G73" s="60"/>
      <c r="H73" s="61"/>
      <c r="I73" s="10"/>
      <c r="J73" s="10"/>
      <c r="K73" s="61"/>
      <c r="L73" s="10"/>
      <c r="M73" s="61">
        <f t="shared" si="16"/>
        <v>0</v>
      </c>
      <c r="N73" s="10"/>
    </row>
    <row r="74" spans="1:14" x14ac:dyDescent="0.25">
      <c r="A74" s="39" t="s">
        <v>79</v>
      </c>
      <c r="B74" s="62">
        <f>(B2*B3)</f>
        <v>1977170.658238912</v>
      </c>
      <c r="C74" s="62"/>
      <c r="D74" s="62"/>
      <c r="E74" s="62"/>
      <c r="F74" s="62"/>
      <c r="G74" s="62"/>
      <c r="H74" s="63">
        <f t="shared" ref="H74:H79" si="18">SUM(B74:G74)</f>
        <v>1977170.658238912</v>
      </c>
      <c r="I74" s="19"/>
      <c r="K74" s="63">
        <v>1600258.7947499997</v>
      </c>
      <c r="M74" s="63">
        <f t="shared" si="16"/>
        <v>376911.86348891235</v>
      </c>
    </row>
    <row r="75" spans="1:14" x14ac:dyDescent="0.25">
      <c r="A75" s="39" t="s">
        <v>80</v>
      </c>
      <c r="B75" s="46">
        <f>B21*(4236*1.015*1.015*1.015*1.015)</f>
        <v>181660.11677483813</v>
      </c>
      <c r="C75" s="46"/>
      <c r="D75" s="46"/>
      <c r="E75" s="46"/>
      <c r="F75" s="46"/>
      <c r="G75" s="46"/>
      <c r="H75" s="7">
        <f t="shared" si="18"/>
        <v>181660.11677483813</v>
      </c>
      <c r="I75" s="8">
        <v>4236</v>
      </c>
      <c r="J75" s="9"/>
      <c r="K75" s="7">
        <v>100372.7613</v>
      </c>
      <c r="L75" s="9"/>
      <c r="M75" s="7">
        <f t="shared" si="16"/>
        <v>81287.355474838128</v>
      </c>
      <c r="N75" s="9"/>
    </row>
    <row r="76" spans="1:14" x14ac:dyDescent="0.25">
      <c r="A76" s="39" t="s">
        <v>81</v>
      </c>
      <c r="B76" s="7">
        <f>1129*B22</f>
        <v>0</v>
      </c>
      <c r="C76" s="7"/>
      <c r="D76" s="7"/>
      <c r="E76" s="7"/>
      <c r="F76" s="7"/>
      <c r="G76" s="7"/>
      <c r="H76" s="7">
        <f t="shared" si="18"/>
        <v>0</v>
      </c>
      <c r="I76" s="8">
        <v>1129</v>
      </c>
      <c r="J76" s="9"/>
      <c r="K76" s="7">
        <v>0</v>
      </c>
      <c r="L76" s="9"/>
      <c r="M76" s="7">
        <f t="shared" si="16"/>
        <v>0</v>
      </c>
      <c r="N76" s="9"/>
    </row>
    <row r="77" spans="1:14" x14ac:dyDescent="0.25">
      <c r="A77" s="39" t="s">
        <v>82</v>
      </c>
      <c r="B77" s="14">
        <f>B24*(3295*1.015*1.015*1.015*1.015)</f>
        <v>132893.3301737562</v>
      </c>
      <c r="C77" s="7"/>
      <c r="D77" s="7"/>
      <c r="E77" s="7"/>
      <c r="F77" s="7"/>
      <c r="G77" s="7"/>
      <c r="H77" s="7">
        <f t="shared" si="18"/>
        <v>132893.3301737562</v>
      </c>
      <c r="I77" s="8">
        <v>3295</v>
      </c>
      <c r="K77" s="7">
        <v>128994.47224999998</v>
      </c>
      <c r="M77" s="7">
        <f t="shared" si="16"/>
        <v>3898.8579237562226</v>
      </c>
    </row>
    <row r="78" spans="1:14" x14ac:dyDescent="0.25">
      <c r="A78" s="39" t="s">
        <v>83</v>
      </c>
      <c r="B78" s="46"/>
      <c r="C78" s="46">
        <v>0</v>
      </c>
      <c r="D78" s="46"/>
      <c r="E78" s="46"/>
      <c r="F78" s="46"/>
      <c r="G78" s="46"/>
      <c r="H78" s="46">
        <f t="shared" si="18"/>
        <v>0</v>
      </c>
      <c r="I78" s="8"/>
      <c r="J78" s="65"/>
      <c r="K78" s="46">
        <v>0</v>
      </c>
      <c r="L78" s="65"/>
      <c r="M78" s="46">
        <f t="shared" si="16"/>
        <v>0</v>
      </c>
      <c r="N78" s="65"/>
    </row>
    <row r="79" spans="1:14" x14ac:dyDescent="0.25">
      <c r="A79" s="39" t="s">
        <v>84</v>
      </c>
      <c r="B79" s="46">
        <v>0</v>
      </c>
      <c r="C79" s="46">
        <f>3840*C20</f>
        <v>114681.08108108108</v>
      </c>
      <c r="D79" s="46"/>
      <c r="E79" s="46"/>
      <c r="F79" s="46"/>
      <c r="G79" s="46"/>
      <c r="H79" s="46">
        <f t="shared" si="18"/>
        <v>114681.08108108108</v>
      </c>
      <c r="I79" s="8">
        <v>3840</v>
      </c>
      <c r="J79" s="65"/>
      <c r="K79" s="46">
        <v>65280</v>
      </c>
      <c r="L79" s="65"/>
      <c r="M79" s="46">
        <f t="shared" si="16"/>
        <v>49401.08108108108</v>
      </c>
      <c r="N79" s="65"/>
    </row>
    <row r="80" spans="1:14" x14ac:dyDescent="0.25">
      <c r="A80" s="66" t="s">
        <v>85</v>
      </c>
      <c r="B80" s="67">
        <f>SUM(B74:B79)</f>
        <v>2291724.1051875059</v>
      </c>
      <c r="C80" s="67">
        <f>SUM(C74:C79)</f>
        <v>114681.08108108108</v>
      </c>
      <c r="D80" s="67">
        <f>SUM(D74:D79)</f>
        <v>0</v>
      </c>
      <c r="E80" s="67">
        <f t="shared" ref="E80:G80" si="19">SUM(E74:E79)</f>
        <v>0</v>
      </c>
      <c r="F80" s="67">
        <f t="shared" si="19"/>
        <v>0</v>
      </c>
      <c r="G80" s="67">
        <f t="shared" si="19"/>
        <v>0</v>
      </c>
      <c r="H80" s="67">
        <f>SUM(H74:H79)</f>
        <v>2406405.1862685871</v>
      </c>
      <c r="I80" s="10"/>
      <c r="J80" s="10"/>
      <c r="K80" s="67">
        <v>1894906.0282999994</v>
      </c>
      <c r="L80" s="10"/>
      <c r="M80" s="67">
        <f>SUM(M74:M79)</f>
        <v>511499.15796858777</v>
      </c>
      <c r="N80" s="10"/>
    </row>
    <row r="81" spans="1:14" x14ac:dyDescent="0.25">
      <c r="A81" s="68" t="s">
        <v>86</v>
      </c>
      <c r="B81" s="60"/>
      <c r="C81" s="60"/>
      <c r="D81" s="60"/>
      <c r="E81" s="60"/>
      <c r="F81" s="60"/>
      <c r="G81" s="60"/>
      <c r="H81" s="61"/>
      <c r="I81" s="10"/>
      <c r="J81" s="10"/>
      <c r="K81" s="61"/>
      <c r="L81" s="10"/>
      <c r="M81" s="61">
        <f t="shared" si="16"/>
        <v>0</v>
      </c>
      <c r="N81" s="10"/>
    </row>
    <row r="82" spans="1:14" x14ac:dyDescent="0.25">
      <c r="A82" s="39" t="s">
        <v>87</v>
      </c>
      <c r="B82" s="7"/>
      <c r="C82" s="7">
        <f>1170*C20</f>
        <v>34941.891891891893</v>
      </c>
      <c r="D82" s="7"/>
      <c r="E82" s="7"/>
      <c r="F82" s="7"/>
      <c r="G82" s="7"/>
      <c r="H82" s="7">
        <f t="shared" ref="H82:H89" si="20">SUM(B82:G82)</f>
        <v>34941.891891891893</v>
      </c>
      <c r="I82" s="8">
        <f>H82/C20</f>
        <v>1170.0000000000002</v>
      </c>
      <c r="J82" s="9"/>
      <c r="K82" s="7">
        <v>19890</v>
      </c>
      <c r="L82" s="9"/>
      <c r="M82" s="7">
        <f t="shared" si="16"/>
        <v>15051.891891891893</v>
      </c>
      <c r="N82" s="9"/>
    </row>
    <row r="83" spans="1:14" x14ac:dyDescent="0.25">
      <c r="A83" s="39" t="s">
        <v>88</v>
      </c>
      <c r="B83" s="7"/>
      <c r="C83" s="7"/>
      <c r="D83" s="14">
        <f>((B17*D23)*2.28*180)</f>
        <v>80028</v>
      </c>
      <c r="E83" s="14"/>
      <c r="F83" s="7"/>
      <c r="G83" s="7"/>
      <c r="H83" s="7">
        <f t="shared" si="20"/>
        <v>80028</v>
      </c>
      <c r="I83" s="69">
        <v>2.2799999999999998</v>
      </c>
      <c r="J83" s="70"/>
      <c r="K83" s="7">
        <v>67716</v>
      </c>
      <c r="L83" s="70"/>
      <c r="M83" s="7">
        <f t="shared" si="16"/>
        <v>12312</v>
      </c>
      <c r="N83" s="70"/>
    </row>
    <row r="84" spans="1:14" x14ac:dyDescent="0.25">
      <c r="A84" s="39" t="s">
        <v>89</v>
      </c>
      <c r="B84" s="46"/>
      <c r="C84" s="46"/>
      <c r="D84" s="14">
        <f>((B17*D23)*4.33*180)</f>
        <v>151983</v>
      </c>
      <c r="E84" s="72"/>
      <c r="F84" s="46"/>
      <c r="G84" s="46"/>
      <c r="H84" s="7">
        <f t="shared" si="20"/>
        <v>151983</v>
      </c>
      <c r="I84" s="69">
        <v>4.33</v>
      </c>
      <c r="J84" s="70"/>
      <c r="K84" s="7">
        <v>128601.00000000001</v>
      </c>
      <c r="L84" s="70"/>
      <c r="M84" s="7">
        <f t="shared" si="16"/>
        <v>23381.999999999985</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90</v>
      </c>
      <c r="B86" s="46"/>
      <c r="C86" s="46"/>
      <c r="D86" s="46"/>
      <c r="E86" s="46"/>
      <c r="F86" s="46"/>
      <c r="G86" s="46">
        <v>6554.33</v>
      </c>
      <c r="H86" s="7">
        <f t="shared" si="20"/>
        <v>6554.33</v>
      </c>
      <c r="I86" s="8"/>
      <c r="J86" s="9"/>
      <c r="K86" s="7">
        <v>6554.33</v>
      </c>
      <c r="L86" s="9"/>
      <c r="M86" s="7">
        <f t="shared" si="16"/>
        <v>0</v>
      </c>
      <c r="N86" s="9"/>
    </row>
    <row r="87" spans="1:14" x14ac:dyDescent="0.25">
      <c r="A87" s="39" t="s">
        <v>91</v>
      </c>
      <c r="B87" s="46"/>
      <c r="C87" s="46"/>
      <c r="D87" s="46"/>
      <c r="E87" s="46"/>
      <c r="F87" s="46"/>
      <c r="G87" s="46">
        <v>4566.38</v>
      </c>
      <c r="H87" s="7">
        <f t="shared" si="20"/>
        <v>4566.38</v>
      </c>
      <c r="I87" s="8"/>
      <c r="J87" s="9"/>
      <c r="K87" s="7">
        <v>4566.38</v>
      </c>
      <c r="L87" s="9"/>
      <c r="M87" s="7">
        <f t="shared" si="16"/>
        <v>0</v>
      </c>
      <c r="N87" s="9"/>
    </row>
    <row r="88" spans="1:14" x14ac:dyDescent="0.25">
      <c r="A88" s="39" t="s">
        <v>92</v>
      </c>
      <c r="B88" s="46"/>
      <c r="C88" s="46"/>
      <c r="D88" s="46"/>
      <c r="E88" s="46"/>
      <c r="F88" s="46"/>
      <c r="G88" s="46">
        <v>5400.25</v>
      </c>
      <c r="H88" s="7">
        <f t="shared" si="20"/>
        <v>5400.25</v>
      </c>
      <c r="I88" s="8"/>
      <c r="J88" s="9"/>
      <c r="K88" s="7">
        <v>5400.25</v>
      </c>
      <c r="L88" s="9"/>
      <c r="M88" s="7">
        <f t="shared" si="16"/>
        <v>0</v>
      </c>
      <c r="N88" s="9"/>
    </row>
    <row r="89" spans="1:14" x14ac:dyDescent="0.25">
      <c r="A89" s="39" t="s">
        <v>93</v>
      </c>
      <c r="B89" s="130">
        <v>60400</v>
      </c>
      <c r="C89" s="46"/>
      <c r="D89" s="46"/>
      <c r="E89" s="46">
        <v>0</v>
      </c>
      <c r="F89" s="46"/>
      <c r="G89" s="46"/>
      <c r="H89" s="7">
        <f t="shared" si="20"/>
        <v>60400</v>
      </c>
      <c r="I89" s="8"/>
      <c r="J89" s="9"/>
      <c r="K89" s="7">
        <v>60400</v>
      </c>
      <c r="L89" s="9"/>
      <c r="M89" s="7">
        <f t="shared" si="16"/>
        <v>0</v>
      </c>
      <c r="N89" s="9"/>
    </row>
    <row r="90" spans="1:14" x14ac:dyDescent="0.25">
      <c r="A90" s="66" t="s">
        <v>94</v>
      </c>
      <c r="B90" s="67">
        <f t="shared" ref="B90" si="21">SUM(B82:B89)</f>
        <v>60400</v>
      </c>
      <c r="C90" s="67">
        <f t="shared" ref="C90:G90" si="22">SUM(C82:C89)</f>
        <v>34941.891891891893</v>
      </c>
      <c r="D90" s="67">
        <f t="shared" si="22"/>
        <v>232011</v>
      </c>
      <c r="E90" s="67">
        <f t="shared" si="22"/>
        <v>0</v>
      </c>
      <c r="F90" s="67">
        <f t="shared" si="22"/>
        <v>53120</v>
      </c>
      <c r="G90" s="67">
        <f t="shared" si="22"/>
        <v>16520.96</v>
      </c>
      <c r="H90" s="67">
        <f>SUM(H82:H89)</f>
        <v>396993.85189189191</v>
      </c>
      <c r="I90" s="10"/>
      <c r="J90" s="10"/>
      <c r="K90" s="67">
        <v>346247.96</v>
      </c>
      <c r="L90" s="10"/>
      <c r="M90" s="67">
        <f>SUM(M82:M89)</f>
        <v>50745.891891891879</v>
      </c>
      <c r="N90" s="10"/>
    </row>
    <row r="91" spans="1:14" x14ac:dyDescent="0.25">
      <c r="A91" s="68" t="s">
        <v>95</v>
      </c>
      <c r="B91" s="60"/>
      <c r="C91" s="60"/>
      <c r="D91" s="60"/>
      <c r="E91" s="60"/>
      <c r="F91" s="60"/>
      <c r="G91" s="60"/>
      <c r="H91" s="61"/>
      <c r="I91" s="10"/>
      <c r="J91" s="10"/>
      <c r="K91" s="61"/>
      <c r="L91" s="10"/>
      <c r="M91" s="61">
        <f t="shared" si="16"/>
        <v>0</v>
      </c>
      <c r="N91" s="10"/>
    </row>
    <row r="92" spans="1:14" x14ac:dyDescent="0.25">
      <c r="A92" s="39" t="s">
        <v>96</v>
      </c>
      <c r="B92" s="7"/>
      <c r="C92" s="7"/>
      <c r="D92" s="7"/>
      <c r="E92" s="7"/>
      <c r="F92" s="7"/>
      <c r="G92" s="7"/>
      <c r="H92" s="7">
        <f>SUM(B92:G92)</f>
        <v>0</v>
      </c>
      <c r="I92" s="19"/>
      <c r="K92" s="7">
        <v>0</v>
      </c>
      <c r="M92" s="7">
        <f t="shared" si="16"/>
        <v>0</v>
      </c>
    </row>
    <row r="93" spans="1:14" x14ac:dyDescent="0.25">
      <c r="A93" s="39" t="s">
        <v>97</v>
      </c>
      <c r="B93" s="14"/>
      <c r="C93" s="14"/>
      <c r="D93" s="14"/>
      <c r="E93" s="14"/>
      <c r="F93" s="14"/>
      <c r="G93" s="14"/>
      <c r="H93" s="7">
        <f>SUM(B93:G93)</f>
        <v>0</v>
      </c>
      <c r="I93" s="19"/>
      <c r="K93" s="7">
        <v>0</v>
      </c>
      <c r="M93" s="7">
        <f t="shared" si="16"/>
        <v>0</v>
      </c>
    </row>
    <row r="94" spans="1:14" x14ac:dyDescent="0.25">
      <c r="A94" s="39" t="s">
        <v>98</v>
      </c>
      <c r="B94" s="46">
        <v>0</v>
      </c>
      <c r="C94" s="46"/>
      <c r="D94" s="46"/>
      <c r="E94" s="46"/>
      <c r="F94" s="46"/>
      <c r="G94" s="46"/>
      <c r="H94" s="46">
        <f>SUM(B94:G94)</f>
        <v>0</v>
      </c>
      <c r="I94" s="19"/>
      <c r="K94" s="46">
        <v>296277</v>
      </c>
      <c r="M94" s="46">
        <f t="shared" si="16"/>
        <v>-296277</v>
      </c>
    </row>
    <row r="95" spans="1:14" x14ac:dyDescent="0.25">
      <c r="A95" s="39" t="s">
        <v>99</v>
      </c>
      <c r="B95" s="46"/>
      <c r="C95" s="46"/>
      <c r="D95" s="46"/>
      <c r="E95" s="46"/>
      <c r="F95" s="46"/>
      <c r="G95" s="46"/>
      <c r="H95" s="46">
        <f>SUM(B95:G95)</f>
        <v>0</v>
      </c>
      <c r="I95" s="19"/>
      <c r="K95" s="46">
        <v>0</v>
      </c>
      <c r="M95" s="46">
        <f t="shared" si="16"/>
        <v>0</v>
      </c>
    </row>
    <row r="96" spans="1:14" x14ac:dyDescent="0.25">
      <c r="A96" s="66" t="s">
        <v>100</v>
      </c>
      <c r="B96" s="67">
        <f>SUM(B92:B95)</f>
        <v>0</v>
      </c>
      <c r="C96" s="67">
        <f t="shared" ref="C96:D96" si="23">SUM(C92:C95)</f>
        <v>0</v>
      </c>
      <c r="D96" s="67">
        <f t="shared" si="23"/>
        <v>0</v>
      </c>
      <c r="E96" s="67"/>
      <c r="F96" s="67"/>
      <c r="G96" s="67"/>
      <c r="H96" s="67">
        <f>SUM(H92:H95)</f>
        <v>0</v>
      </c>
      <c r="I96" s="10"/>
      <c r="J96" s="10"/>
      <c r="K96" s="67">
        <v>296277</v>
      </c>
      <c r="L96" s="10"/>
      <c r="M96" s="67">
        <f>SUM(M92:M95)</f>
        <v>-296277</v>
      </c>
      <c r="N96" s="10"/>
    </row>
    <row r="97" spans="1:14" x14ac:dyDescent="0.25">
      <c r="A97" s="73" t="s">
        <v>101</v>
      </c>
      <c r="B97" s="74">
        <f>B80+B90+B96</f>
        <v>2352124.1051875059</v>
      </c>
      <c r="C97" s="74">
        <f t="shared" ref="C97:H97" si="24">C80+C90+C96</f>
        <v>149622.97297297296</v>
      </c>
      <c r="D97" s="74">
        <f t="shared" si="24"/>
        <v>232011</v>
      </c>
      <c r="E97" s="74">
        <f t="shared" si="24"/>
        <v>0</v>
      </c>
      <c r="F97" s="74">
        <f t="shared" si="24"/>
        <v>53120</v>
      </c>
      <c r="G97" s="74">
        <f t="shared" si="24"/>
        <v>16520.96</v>
      </c>
      <c r="H97" s="74">
        <f t="shared" si="24"/>
        <v>2803399.0381604792</v>
      </c>
      <c r="I97" s="10"/>
      <c r="J97" s="10"/>
      <c r="K97" s="74">
        <v>2537430.9882999994</v>
      </c>
      <c r="L97" s="10"/>
      <c r="M97" s="74">
        <f t="shared" ref="M97" si="25">M80+M90+M96</f>
        <v>265968.04986047966</v>
      </c>
      <c r="N97" s="10"/>
    </row>
    <row r="98" spans="1:14" x14ac:dyDescent="0.25">
      <c r="A98" s="68" t="s">
        <v>102</v>
      </c>
      <c r="B98" s="60"/>
      <c r="C98" s="60"/>
      <c r="D98" s="60"/>
      <c r="E98" s="60"/>
      <c r="F98" s="60"/>
      <c r="G98" s="60"/>
      <c r="H98" s="61"/>
      <c r="I98" s="10"/>
      <c r="J98" s="10"/>
      <c r="K98" s="61"/>
      <c r="L98" s="10"/>
      <c r="M98" s="61">
        <f t="shared" si="16"/>
        <v>0</v>
      </c>
      <c r="N98" s="10"/>
    </row>
    <row r="99" spans="1:14" x14ac:dyDescent="0.25">
      <c r="A99" s="39" t="s">
        <v>103</v>
      </c>
      <c r="B99" s="7">
        <v>0</v>
      </c>
      <c r="C99" s="7">
        <v>0</v>
      </c>
      <c r="D99" s="7">
        <v>0</v>
      </c>
      <c r="E99" s="7">
        <v>0</v>
      </c>
      <c r="F99" s="7">
        <v>0</v>
      </c>
      <c r="G99" s="7">
        <v>0</v>
      </c>
      <c r="H99" s="7">
        <f>SUM(B99:G99)</f>
        <v>0</v>
      </c>
      <c r="I99" s="19"/>
      <c r="J99" s="10"/>
      <c r="K99" s="7">
        <v>0</v>
      </c>
      <c r="L99" s="10"/>
      <c r="M99" s="7">
        <f t="shared" si="16"/>
        <v>0</v>
      </c>
      <c r="N99" s="10"/>
    </row>
    <row r="100" spans="1:14" x14ac:dyDescent="0.25">
      <c r="A100" s="39" t="s">
        <v>104</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105</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106</v>
      </c>
      <c r="B105" s="76" t="str">
        <f>B1</f>
        <v>Operating</v>
      </c>
      <c r="C105" s="76" t="str">
        <f>C1</f>
        <v>SPED</v>
      </c>
      <c r="D105" s="76" t="str">
        <f>D1</f>
        <v>NSLP</v>
      </c>
      <c r="E105" s="76" t="str">
        <f>E1</f>
        <v>Other</v>
      </c>
      <c r="F105" s="76" t="str">
        <f t="shared" ref="F105:G105" si="27">F1</f>
        <v>Title I</v>
      </c>
      <c r="G105" s="76" t="str">
        <f t="shared" si="27"/>
        <v>Title II/III/IV</v>
      </c>
      <c r="H105" s="76" t="str">
        <f>H1</f>
        <v>Total (27-28)</v>
      </c>
      <c r="I105" s="10"/>
      <c r="J105" s="10"/>
      <c r="K105" s="76" t="s">
        <v>238</v>
      </c>
      <c r="L105" s="10"/>
      <c r="M105" s="76" t="str">
        <f t="shared" ref="M105" si="28">M1</f>
        <v>Variance</v>
      </c>
      <c r="N105" s="10"/>
    </row>
    <row r="106" spans="1:14" x14ac:dyDescent="0.25">
      <c r="A106" s="59" t="s">
        <v>107</v>
      </c>
      <c r="B106" s="60"/>
      <c r="C106" s="60"/>
      <c r="D106" s="60"/>
      <c r="E106" s="60"/>
      <c r="F106" s="60"/>
      <c r="G106" s="60"/>
      <c r="H106" s="61"/>
      <c r="I106" s="10"/>
      <c r="J106" s="10"/>
      <c r="K106" s="61"/>
      <c r="L106" s="10"/>
      <c r="M106" s="61">
        <f t="shared" si="16"/>
        <v>0</v>
      </c>
      <c r="N106" s="10"/>
    </row>
    <row r="107" spans="1:14" x14ac:dyDescent="0.25">
      <c r="A107" s="39" t="s">
        <v>47</v>
      </c>
      <c r="B107" s="14">
        <f>'27-28'!B107*1.015</f>
        <v>143284.07933437495</v>
      </c>
      <c r="C107" s="14">
        <f>'27-28'!C107*1.015</f>
        <v>0</v>
      </c>
      <c r="D107" s="14">
        <f>'27-28'!D107*1.015</f>
        <v>0</v>
      </c>
      <c r="E107" s="14">
        <f>'27-28'!E107*1.015</f>
        <v>0</v>
      </c>
      <c r="F107" s="14">
        <f>'27-28'!F107*1.015</f>
        <v>0</v>
      </c>
      <c r="G107" s="14">
        <f>'27-28'!G107*1.015</f>
        <v>0</v>
      </c>
      <c r="H107" s="7">
        <f t="shared" ref="H107:H120" si="29">SUM(B107:G107)</f>
        <v>143284.07933437495</v>
      </c>
      <c r="I107" s="19"/>
      <c r="K107" s="7">
        <v>139080.375</v>
      </c>
      <c r="M107" s="7">
        <f t="shared" si="16"/>
        <v>4203.7043343749538</v>
      </c>
    </row>
    <row r="108" spans="1:14" x14ac:dyDescent="0.25">
      <c r="A108" s="39" t="s">
        <v>48</v>
      </c>
      <c r="B108" s="14">
        <f>'27-28'!B108*1.015</f>
        <v>132670.44382812493</v>
      </c>
      <c r="C108" s="14">
        <f>'27-28'!C108*1.015</f>
        <v>0</v>
      </c>
      <c r="D108" s="14">
        <f>'27-28'!D108*1.015</f>
        <v>0</v>
      </c>
      <c r="E108" s="14">
        <f>'27-28'!E108*1.015</f>
        <v>0</v>
      </c>
      <c r="F108" s="14">
        <f>'27-28'!F108*1.015</f>
        <v>0</v>
      </c>
      <c r="G108" s="14">
        <f>'27-28'!G108*1.015</f>
        <v>0</v>
      </c>
      <c r="H108" s="7">
        <f t="shared" si="29"/>
        <v>132670.44382812493</v>
      </c>
      <c r="I108" s="19"/>
      <c r="K108" s="7">
        <v>128778.12499999997</v>
      </c>
      <c r="M108" s="7">
        <f t="shared" si="16"/>
        <v>3892.3188281249604</v>
      </c>
    </row>
    <row r="109" spans="1:14" x14ac:dyDescent="0.25">
      <c r="A109" s="39" t="s">
        <v>49</v>
      </c>
      <c r="B109" s="14">
        <f>'27-28'!B109*1.015</f>
        <v>0</v>
      </c>
      <c r="C109" s="14">
        <f>'27-28'!C109*1.015</f>
        <v>0</v>
      </c>
      <c r="D109" s="14">
        <f>'27-28'!D109*1.015</f>
        <v>0</v>
      </c>
      <c r="E109" s="14">
        <f>'27-28'!E109*1.015</f>
        <v>0</v>
      </c>
      <c r="F109" s="14">
        <f>'27-28'!F109*1.015</f>
        <v>85588.356722399956</v>
      </c>
      <c r="G109" s="14">
        <f>'27-28'!G109*1.015</f>
        <v>0</v>
      </c>
      <c r="H109" s="7">
        <f t="shared" si="29"/>
        <v>85588.356722399956</v>
      </c>
      <c r="I109" s="19"/>
      <c r="K109" s="7">
        <v>83077.343999999983</v>
      </c>
      <c r="M109" s="7">
        <f t="shared" si="16"/>
        <v>2511.0127223999734</v>
      </c>
    </row>
    <row r="110" spans="1:14" x14ac:dyDescent="0.25">
      <c r="A110" s="42" t="s">
        <v>50</v>
      </c>
      <c r="B110" s="14">
        <f>'27-28'!B110*1.015</f>
        <v>0</v>
      </c>
      <c r="C110" s="14">
        <f>'27-28'!C110*1.015</f>
        <v>0</v>
      </c>
      <c r="D110" s="14">
        <f>'27-28'!D110*1.015</f>
        <v>0</v>
      </c>
      <c r="E110" s="14">
        <f>'27-28'!E110*1.015</f>
        <v>0</v>
      </c>
      <c r="F110" s="14">
        <f>'27-28'!F110*1.015</f>
        <v>0</v>
      </c>
      <c r="G110" s="14">
        <f>'27-28'!G110*1.015</f>
        <v>0</v>
      </c>
      <c r="H110" s="7">
        <f t="shared" si="29"/>
        <v>0</v>
      </c>
      <c r="I110" s="19"/>
      <c r="K110" s="7">
        <v>0</v>
      </c>
      <c r="M110" s="7">
        <f t="shared" si="16"/>
        <v>0</v>
      </c>
    </row>
    <row r="111" spans="1:14" x14ac:dyDescent="0.25">
      <c r="A111" s="42" t="s">
        <v>51</v>
      </c>
      <c r="B111" s="14">
        <f>'27-28'!B111*1.015</f>
        <v>0</v>
      </c>
      <c r="C111" s="14">
        <f>'27-28'!C111*1.015</f>
        <v>0</v>
      </c>
      <c r="D111" s="14">
        <f>'27-28'!D111*1.015</f>
        <v>0</v>
      </c>
      <c r="E111" s="14">
        <f>'27-28'!E111*1.015</f>
        <v>0</v>
      </c>
      <c r="F111" s="14">
        <f>'27-28'!F111*1.015</f>
        <v>0</v>
      </c>
      <c r="G111" s="14">
        <f>'27-28'!G111*1.015</f>
        <v>0</v>
      </c>
      <c r="H111" s="7">
        <f t="shared" si="29"/>
        <v>0</v>
      </c>
      <c r="I111" s="19"/>
      <c r="K111" s="7">
        <v>0</v>
      </c>
      <c r="M111" s="7">
        <f t="shared" si="16"/>
        <v>0</v>
      </c>
    </row>
    <row r="112" spans="1:14" x14ac:dyDescent="0.25">
      <c r="A112" s="42" t="s">
        <v>52</v>
      </c>
      <c r="B112" s="14">
        <f>'27-28'!B112*1.015</f>
        <v>54660.222857187473</v>
      </c>
      <c r="C112" s="14">
        <f>'27-28'!C112*1.015</f>
        <v>0</v>
      </c>
      <c r="D112" s="14">
        <f>'27-28'!D112*1.015</f>
        <v>0</v>
      </c>
      <c r="E112" s="14">
        <f>'27-28'!E112*1.015</f>
        <v>0</v>
      </c>
      <c r="F112" s="14">
        <f>'27-28'!F112*1.015</f>
        <v>0</v>
      </c>
      <c r="G112" s="14">
        <f>'27-28'!G112*1.015</f>
        <v>0</v>
      </c>
      <c r="H112" s="7">
        <f t="shared" si="29"/>
        <v>54660.222857187473</v>
      </c>
      <c r="I112" s="19"/>
      <c r="K112" s="7">
        <v>53056.587499999987</v>
      </c>
      <c r="M112" s="7">
        <f t="shared" si="16"/>
        <v>1603.6353571874861</v>
      </c>
    </row>
    <row r="113" spans="1:14" x14ac:dyDescent="0.25">
      <c r="A113" s="39" t="s">
        <v>108</v>
      </c>
      <c r="B113" s="14">
        <f>'27-28'!B113*1.015</f>
        <v>0</v>
      </c>
      <c r="C113" s="14">
        <f>'27-28'!C113*1.015</f>
        <v>0</v>
      </c>
      <c r="D113" s="14">
        <f>'27-28'!D113*1.015</f>
        <v>0</v>
      </c>
      <c r="E113" s="14">
        <f>'27-28'!E113*1.015</f>
        <v>0</v>
      </c>
      <c r="F113" s="14">
        <f>'27-28'!F113*1.015</f>
        <v>0</v>
      </c>
      <c r="G113" s="14">
        <f>'27-28'!G113*1.015</f>
        <v>0</v>
      </c>
      <c r="H113" s="7">
        <f t="shared" si="29"/>
        <v>0</v>
      </c>
      <c r="I113" s="19"/>
      <c r="K113" s="7">
        <v>0</v>
      </c>
      <c r="M113" s="7">
        <f t="shared" si="16"/>
        <v>0</v>
      </c>
    </row>
    <row r="114" spans="1:14" x14ac:dyDescent="0.25">
      <c r="A114" s="39" t="s">
        <v>109</v>
      </c>
      <c r="B114" s="7">
        <f>B36*60000</f>
        <v>480000</v>
      </c>
      <c r="C114" s="7"/>
      <c r="D114" s="7"/>
      <c r="E114" s="7"/>
      <c r="F114" s="7"/>
      <c r="G114" s="7"/>
      <c r="H114" s="7">
        <f t="shared" si="29"/>
        <v>480000</v>
      </c>
      <c r="I114" s="26">
        <f>H114/(H36-H28)</f>
        <v>60000</v>
      </c>
      <c r="K114" s="7">
        <v>464000</v>
      </c>
      <c r="M114" s="7">
        <f t="shared" si="16"/>
        <v>16000</v>
      </c>
    </row>
    <row r="115" spans="1:14" x14ac:dyDescent="0.25">
      <c r="A115" s="39" t="s">
        <v>37</v>
      </c>
      <c r="B115" s="7"/>
      <c r="C115" s="7">
        <f>60000*C36</f>
        <v>60000</v>
      </c>
      <c r="D115" s="7"/>
      <c r="E115" s="7"/>
      <c r="F115" s="7"/>
      <c r="G115" s="7"/>
      <c r="H115" s="7">
        <f t="shared" si="29"/>
        <v>60000</v>
      </c>
      <c r="I115" s="19"/>
      <c r="K115" s="7">
        <v>58000</v>
      </c>
      <c r="M115" s="7">
        <f t="shared" si="16"/>
        <v>2000</v>
      </c>
    </row>
    <row r="116" spans="1:14" x14ac:dyDescent="0.25">
      <c r="A116" s="39" t="s">
        <v>110</v>
      </c>
      <c r="B116" s="14">
        <f>'27-28'!B116*1.015</f>
        <v>63681.813037499975</v>
      </c>
      <c r="C116" s="7"/>
      <c r="D116" s="7"/>
      <c r="E116" s="7"/>
      <c r="F116" s="7"/>
      <c r="G116" s="7"/>
      <c r="H116" s="7">
        <f t="shared" si="29"/>
        <v>63681.813037499975</v>
      </c>
      <c r="I116" s="19"/>
      <c r="K116" s="7">
        <v>61813.499999999985</v>
      </c>
      <c r="M116" s="7">
        <f t="shared" si="16"/>
        <v>1868.3130374999892</v>
      </c>
    </row>
    <row r="117" spans="1:14" x14ac:dyDescent="0.25">
      <c r="A117" s="39" t="s">
        <v>111</v>
      </c>
      <c r="B117" s="14">
        <f>(14*8*190)*(B49+B48)</f>
        <v>0</v>
      </c>
      <c r="C117" s="7"/>
      <c r="D117" s="7"/>
      <c r="E117" s="7"/>
      <c r="F117" s="7"/>
      <c r="G117" s="7"/>
      <c r="H117" s="7">
        <f t="shared" si="29"/>
        <v>0</v>
      </c>
      <c r="I117" s="19"/>
      <c r="K117" s="7">
        <v>0</v>
      </c>
      <c r="M117" s="7">
        <f t="shared" si="16"/>
        <v>0</v>
      </c>
    </row>
    <row r="118" spans="1:14" x14ac:dyDescent="0.25">
      <c r="A118" s="39" t="s">
        <v>112</v>
      </c>
      <c r="B118" s="7">
        <f>(17*8*180)*B50</f>
        <v>24480</v>
      </c>
      <c r="C118" s="7">
        <f t="shared" ref="C118:D118" si="30">(14*8*180)*C50</f>
        <v>0</v>
      </c>
      <c r="D118" s="7">
        <f t="shared" si="30"/>
        <v>0</v>
      </c>
      <c r="E118" s="7"/>
      <c r="F118" s="14">
        <f>(15.25*8*180)*F50</f>
        <v>0</v>
      </c>
      <c r="G118" s="7"/>
      <c r="H118" s="7">
        <f t="shared" si="29"/>
        <v>24480</v>
      </c>
      <c r="I118" s="19"/>
      <c r="K118" s="7">
        <v>23040</v>
      </c>
      <c r="M118" s="7">
        <f t="shared" si="16"/>
        <v>1440</v>
      </c>
    </row>
    <row r="119" spans="1:14" x14ac:dyDescent="0.25">
      <c r="A119" s="39" t="s">
        <v>113</v>
      </c>
      <c r="B119" s="14">
        <f>(17*8*210)*B51</f>
        <v>0</v>
      </c>
      <c r="C119" s="7"/>
      <c r="D119" s="7"/>
      <c r="E119" s="7"/>
      <c r="F119" s="7"/>
      <c r="G119" s="7"/>
      <c r="H119" s="7">
        <f t="shared" si="29"/>
        <v>0</v>
      </c>
      <c r="I119" s="19"/>
      <c r="K119" s="7">
        <v>0</v>
      </c>
      <c r="M119" s="7">
        <f t="shared" si="16"/>
        <v>0</v>
      </c>
    </row>
    <row r="120" spans="1:14" x14ac:dyDescent="0.25">
      <c r="A120" s="39" t="s">
        <v>60</v>
      </c>
      <c r="B120" s="7"/>
      <c r="C120" s="7"/>
      <c r="D120" s="7"/>
      <c r="E120" s="7"/>
      <c r="F120" s="7"/>
      <c r="G120" s="7"/>
      <c r="H120" s="7">
        <f t="shared" si="29"/>
        <v>0</v>
      </c>
      <c r="I120" s="19"/>
      <c r="K120" s="7">
        <v>0</v>
      </c>
      <c r="M120" s="7">
        <f t="shared" si="16"/>
        <v>0</v>
      </c>
    </row>
    <row r="121" spans="1:14" x14ac:dyDescent="0.25">
      <c r="A121" s="77" t="s">
        <v>114</v>
      </c>
      <c r="B121" s="78">
        <f>SUM(B107:B120)</f>
        <v>898776.55905718741</v>
      </c>
      <c r="C121" s="78">
        <f t="shared" ref="C121:G121" si="31">SUM(C107:C120)</f>
        <v>60000</v>
      </c>
      <c r="D121" s="78">
        <f t="shared" si="31"/>
        <v>0</v>
      </c>
      <c r="E121" s="78">
        <f t="shared" si="31"/>
        <v>0</v>
      </c>
      <c r="F121" s="78">
        <f t="shared" si="31"/>
        <v>85588.356722399956</v>
      </c>
      <c r="G121" s="78">
        <f t="shared" si="31"/>
        <v>0</v>
      </c>
      <c r="H121" s="78">
        <f>SUM(H107:H120)</f>
        <v>1044364.9157795873</v>
      </c>
      <c r="I121" s="10"/>
      <c r="J121" s="10"/>
      <c r="K121" s="78">
        <v>1010845.9314999999</v>
      </c>
      <c r="L121" s="10"/>
      <c r="M121" s="78">
        <f>SUM(M107:M120)</f>
        <v>33518.984279587363</v>
      </c>
      <c r="N121" s="10"/>
    </row>
    <row r="122" spans="1:14" x14ac:dyDescent="0.25">
      <c r="A122" s="79" t="s">
        <v>115</v>
      </c>
      <c r="B122" s="60"/>
      <c r="C122" s="60"/>
      <c r="D122" s="60"/>
      <c r="E122" s="60"/>
      <c r="F122" s="60"/>
      <c r="G122" s="60"/>
      <c r="H122" s="61"/>
      <c r="I122" s="10"/>
      <c r="J122" s="10"/>
      <c r="K122" s="61"/>
      <c r="L122" s="10"/>
      <c r="M122" s="61">
        <f t="shared" si="16"/>
        <v>0</v>
      </c>
      <c r="N122" s="10"/>
    </row>
    <row r="123" spans="1:14" x14ac:dyDescent="0.25">
      <c r="A123" s="39" t="s">
        <v>62</v>
      </c>
      <c r="B123" s="7">
        <v>0</v>
      </c>
      <c r="C123" s="7"/>
      <c r="D123" s="7"/>
      <c r="E123" s="7"/>
      <c r="F123" s="7"/>
      <c r="G123" s="7"/>
      <c r="H123" s="34">
        <f t="shared" ref="H123:H130" si="32">SUM(B123:G123)</f>
        <v>0</v>
      </c>
      <c r="I123" s="19"/>
      <c r="K123" s="34">
        <v>0</v>
      </c>
      <c r="M123" s="7">
        <f t="shared" si="16"/>
        <v>0</v>
      </c>
    </row>
    <row r="124" spans="1:14" x14ac:dyDescent="0.25">
      <c r="A124" s="39" t="s">
        <v>63</v>
      </c>
      <c r="B124" s="7">
        <v>0</v>
      </c>
      <c r="C124" s="7"/>
      <c r="D124" s="7"/>
      <c r="E124" s="7"/>
      <c r="F124" s="7"/>
      <c r="G124" s="7"/>
      <c r="H124" s="34">
        <f t="shared" si="32"/>
        <v>0</v>
      </c>
      <c r="I124" s="19"/>
      <c r="K124" s="34">
        <v>0</v>
      </c>
      <c r="M124" s="34">
        <f t="shared" si="16"/>
        <v>0</v>
      </c>
    </row>
    <row r="125" spans="1:14" x14ac:dyDescent="0.25">
      <c r="A125" s="39" t="s">
        <v>64</v>
      </c>
      <c r="B125" s="7">
        <v>0</v>
      </c>
      <c r="C125" s="7"/>
      <c r="D125" s="7"/>
      <c r="E125" s="7"/>
      <c r="F125" s="7"/>
      <c r="G125" s="7"/>
      <c r="H125" s="7">
        <f t="shared" si="32"/>
        <v>0</v>
      </c>
      <c r="I125" s="19"/>
      <c r="K125" s="7">
        <v>0</v>
      </c>
      <c r="M125" s="7">
        <f t="shared" si="16"/>
        <v>0</v>
      </c>
    </row>
    <row r="126" spans="1:14" x14ac:dyDescent="0.25">
      <c r="A126" s="39" t="s">
        <v>116</v>
      </c>
      <c r="B126" s="7">
        <v>0</v>
      </c>
      <c r="C126" s="7"/>
      <c r="D126" s="7"/>
      <c r="E126" s="7"/>
      <c r="F126" s="7"/>
      <c r="G126" s="7"/>
      <c r="H126" s="34">
        <f t="shared" si="32"/>
        <v>0</v>
      </c>
      <c r="I126" s="19"/>
      <c r="K126" s="34">
        <v>0</v>
      </c>
      <c r="M126" s="34">
        <f t="shared" si="16"/>
        <v>0</v>
      </c>
    </row>
    <row r="127" spans="1:14" x14ac:dyDescent="0.25">
      <c r="A127" s="39" t="s">
        <v>66</v>
      </c>
      <c r="B127" s="7">
        <v>0</v>
      </c>
      <c r="C127" s="7"/>
      <c r="D127" s="7"/>
      <c r="E127" s="7"/>
      <c r="F127" s="7"/>
      <c r="G127" s="7"/>
      <c r="H127" s="34">
        <f t="shared" si="32"/>
        <v>0</v>
      </c>
      <c r="I127" s="19"/>
      <c r="K127" s="34">
        <v>0</v>
      </c>
      <c r="M127" s="34">
        <f t="shared" si="16"/>
        <v>0</v>
      </c>
    </row>
    <row r="128" spans="1:14" x14ac:dyDescent="0.25">
      <c r="A128" s="39" t="s">
        <v>117</v>
      </c>
      <c r="B128" s="7">
        <v>0</v>
      </c>
      <c r="C128" s="7"/>
      <c r="D128" s="7"/>
      <c r="E128" s="7"/>
      <c r="F128" s="7"/>
      <c r="G128" s="7"/>
      <c r="H128" s="34">
        <f t="shared" si="32"/>
        <v>0</v>
      </c>
      <c r="I128" s="19"/>
      <c r="K128" s="34">
        <v>0</v>
      </c>
      <c r="M128" s="34">
        <f t="shared" si="16"/>
        <v>0</v>
      </c>
    </row>
    <row r="129" spans="1:14" x14ac:dyDescent="0.25">
      <c r="A129" s="39" t="s">
        <v>118</v>
      </c>
      <c r="B129" s="7">
        <f>(12.5*6*185)*B52</f>
        <v>0</v>
      </c>
      <c r="C129" s="7">
        <f>(12.5*6*185)*C52</f>
        <v>0</v>
      </c>
      <c r="D129" s="7">
        <f>(26*8*200)*D52</f>
        <v>41600</v>
      </c>
      <c r="E129" s="7"/>
      <c r="F129" s="7"/>
      <c r="G129" s="7"/>
      <c r="H129" s="7">
        <f t="shared" si="32"/>
        <v>41600</v>
      </c>
      <c r="I129" s="19"/>
      <c r="K129" s="7">
        <v>40000</v>
      </c>
      <c r="M129" s="7">
        <f t="shared" si="16"/>
        <v>1600</v>
      </c>
    </row>
    <row r="130" spans="1:14" x14ac:dyDescent="0.25">
      <c r="A130" s="39" t="s">
        <v>67</v>
      </c>
      <c r="B130" s="46">
        <v>0</v>
      </c>
      <c r="C130" s="7"/>
      <c r="D130" s="7"/>
      <c r="E130" s="7"/>
      <c r="F130" s="7"/>
      <c r="G130" s="7">
        <v>0</v>
      </c>
      <c r="H130" s="34">
        <f t="shared" si="32"/>
        <v>0</v>
      </c>
      <c r="I130" s="19"/>
      <c r="K130" s="34">
        <v>0</v>
      </c>
      <c r="M130" s="7">
        <f t="shared" ref="M130:M140" si="33">H130-K130</f>
        <v>0</v>
      </c>
    </row>
    <row r="131" spans="1:14" x14ac:dyDescent="0.25">
      <c r="A131" s="80" t="s">
        <v>119</v>
      </c>
      <c r="B131" s="81">
        <f>SUM(B123:B130)</f>
        <v>0</v>
      </c>
      <c r="C131" s="81">
        <f>SUM(C123:C130)</f>
        <v>0</v>
      </c>
      <c r="D131" s="81">
        <f>SUM(D123:D130)</f>
        <v>41600</v>
      </c>
      <c r="E131" s="81">
        <f>SUM(E123:E130)</f>
        <v>0</v>
      </c>
      <c r="F131" s="81">
        <f t="shared" ref="F131" si="34">SUM(F123:F130)</f>
        <v>0</v>
      </c>
      <c r="G131" s="81"/>
      <c r="H131" s="81">
        <f>SUM(H123:H130)</f>
        <v>41600</v>
      </c>
      <c r="I131" s="25"/>
      <c r="J131" s="28"/>
      <c r="K131" s="81">
        <v>40000</v>
      </c>
      <c r="L131" s="10"/>
      <c r="M131" s="81">
        <f>SUM(M123:M130)</f>
        <v>1600</v>
      </c>
      <c r="N131" s="28"/>
    </row>
    <row r="132" spans="1:14" x14ac:dyDescent="0.25">
      <c r="A132" s="82" t="s">
        <v>120</v>
      </c>
      <c r="B132" s="83">
        <f>B121+B131</f>
        <v>898776.55905718741</v>
      </c>
      <c r="C132" s="83">
        <f>C121+C131</f>
        <v>60000</v>
      </c>
      <c r="D132" s="83">
        <f>D121+D131</f>
        <v>41600</v>
      </c>
      <c r="E132" s="83">
        <f>E121+E131</f>
        <v>0</v>
      </c>
      <c r="F132" s="83">
        <f t="shared" ref="F132:G132" si="35">F121+F131</f>
        <v>85588.356722399956</v>
      </c>
      <c r="G132" s="83">
        <f t="shared" si="35"/>
        <v>0</v>
      </c>
      <c r="H132" s="83">
        <f>H121+H131</f>
        <v>1085964.9157795873</v>
      </c>
      <c r="I132" s="28"/>
      <c r="J132" s="10"/>
      <c r="K132" s="83">
        <v>1050845.9314999999</v>
      </c>
      <c r="L132" s="10"/>
      <c r="M132" s="83">
        <f>M121+M131</f>
        <v>35118.984279587363</v>
      </c>
      <c r="N132" s="10"/>
    </row>
    <row r="133" spans="1:14" x14ac:dyDescent="0.25">
      <c r="A133" s="39" t="s">
        <v>121</v>
      </c>
      <c r="B133" s="63">
        <f>(B132-B109-58710)*0.3675</f>
        <v>308724.46045351634</v>
      </c>
      <c r="C133" s="63">
        <f>(C132-C109)*0.3675</f>
        <v>22050</v>
      </c>
      <c r="D133" s="63">
        <f>(D132-D109)*0.3675</f>
        <v>15288</v>
      </c>
      <c r="E133" s="63">
        <f>(E132-E109-E113)*0.3675</f>
        <v>0</v>
      </c>
      <c r="F133" s="63">
        <f>(F132-F109)*0.3675</f>
        <v>0</v>
      </c>
      <c r="G133" s="63">
        <f>G132*0.3675</f>
        <v>0</v>
      </c>
      <c r="H133" s="7">
        <f t="shared" ref="H133:H140" si="36">SUM(B133:G133)</f>
        <v>346062.46045351634</v>
      </c>
      <c r="I133" s="84">
        <f>H133/H132</f>
        <v>0.31866817741997372</v>
      </c>
      <c r="J133" s="85"/>
      <c r="K133" s="7">
        <v>334079.03090624994</v>
      </c>
      <c r="L133" s="85"/>
      <c r="M133" s="7">
        <f t="shared" si="33"/>
        <v>11983.429547266394</v>
      </c>
      <c r="N133" s="85"/>
    </row>
    <row r="134" spans="1:14" x14ac:dyDescent="0.25">
      <c r="A134" s="86" t="s">
        <v>122</v>
      </c>
      <c r="B134" s="14">
        <f>B132*0.13</f>
        <v>116840.95267743437</v>
      </c>
      <c r="C134" s="14">
        <f t="shared" ref="C134:G134" si="37">C132*0.13</f>
        <v>7800</v>
      </c>
      <c r="D134" s="14">
        <f t="shared" si="37"/>
        <v>5408</v>
      </c>
      <c r="E134" s="14">
        <f t="shared" si="37"/>
        <v>0</v>
      </c>
      <c r="F134" s="14">
        <f t="shared" si="37"/>
        <v>11126.486373911996</v>
      </c>
      <c r="G134" s="14">
        <f t="shared" si="37"/>
        <v>0</v>
      </c>
      <c r="H134" s="7">
        <f t="shared" si="36"/>
        <v>141175.43905134636</v>
      </c>
      <c r="I134" s="84">
        <f>H134/H132</f>
        <v>0.13</v>
      </c>
      <c r="J134" s="85"/>
      <c r="K134" s="7">
        <v>131355.74143749999</v>
      </c>
      <c r="L134" s="85"/>
      <c r="M134" s="7">
        <f t="shared" si="33"/>
        <v>9819.6976138463651</v>
      </c>
      <c r="N134" s="85"/>
    </row>
    <row r="135" spans="1:14" x14ac:dyDescent="0.25">
      <c r="A135" s="39" t="s">
        <v>123</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14000</v>
      </c>
      <c r="M135" s="7">
        <f t="shared" si="33"/>
        <v>0</v>
      </c>
    </row>
    <row r="136" spans="1:14" x14ac:dyDescent="0.25">
      <c r="A136" s="86" t="s">
        <v>124</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125</v>
      </c>
      <c r="B137" s="7">
        <v>0</v>
      </c>
      <c r="C137" s="14"/>
      <c r="D137" s="14"/>
      <c r="E137" s="14"/>
      <c r="F137" s="14">
        <v>0</v>
      </c>
      <c r="G137" s="14"/>
      <c r="H137" s="7">
        <f t="shared" si="36"/>
        <v>0</v>
      </c>
      <c r="I137" s="19"/>
      <c r="K137" s="7">
        <v>18240</v>
      </c>
      <c r="M137" s="7">
        <f t="shared" si="33"/>
        <v>-18240</v>
      </c>
    </row>
    <row r="138" spans="1:14" x14ac:dyDescent="0.25">
      <c r="A138" s="39" t="s">
        <v>126</v>
      </c>
      <c r="B138" s="7"/>
      <c r="C138" s="14"/>
      <c r="D138" s="14"/>
      <c r="E138" s="14"/>
      <c r="F138" s="14"/>
      <c r="G138" s="14"/>
      <c r="H138" s="7">
        <f t="shared" si="36"/>
        <v>0</v>
      </c>
      <c r="I138" s="19"/>
      <c r="K138" s="7">
        <v>0</v>
      </c>
      <c r="M138" s="7">
        <f t="shared" si="33"/>
        <v>0</v>
      </c>
    </row>
    <row r="139" spans="1:14" x14ac:dyDescent="0.25">
      <c r="A139" s="39" t="s">
        <v>127</v>
      </c>
      <c r="B139" s="14">
        <v>5000</v>
      </c>
      <c r="C139" s="14"/>
      <c r="D139" s="14"/>
      <c r="E139" s="14"/>
      <c r="F139" s="14"/>
      <c r="G139" s="14"/>
      <c r="H139" s="7">
        <f t="shared" si="36"/>
        <v>5000</v>
      </c>
      <c r="I139" s="19"/>
      <c r="K139" s="7">
        <v>5000</v>
      </c>
      <c r="M139" s="7">
        <f t="shared" si="33"/>
        <v>0</v>
      </c>
    </row>
    <row r="140" spans="1:14" x14ac:dyDescent="0.25">
      <c r="A140" s="39" t="s">
        <v>128</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129</v>
      </c>
      <c r="K140" s="7">
        <v>18315</v>
      </c>
      <c r="M140" s="7">
        <f t="shared" si="33"/>
        <v>0</v>
      </c>
    </row>
    <row r="141" spans="1:14" x14ac:dyDescent="0.25">
      <c r="A141" s="90" t="s">
        <v>130</v>
      </c>
      <c r="B141" s="91">
        <f>SUM(B133:B140)</f>
        <v>461470.41313095071</v>
      </c>
      <c r="C141" s="91">
        <f t="shared" ref="C141:G141" si="41">SUM(C133:C140)</f>
        <v>33260</v>
      </c>
      <c r="D141" s="91">
        <f t="shared" si="41"/>
        <v>21321</v>
      </c>
      <c r="E141" s="91">
        <f t="shared" si="41"/>
        <v>0</v>
      </c>
      <c r="F141" s="91">
        <f t="shared" si="41"/>
        <v>11126.486373911996</v>
      </c>
      <c r="G141" s="91">
        <f t="shared" si="41"/>
        <v>0</v>
      </c>
      <c r="H141" s="91">
        <f>SUM(H133:H140)</f>
        <v>527177.89950486273</v>
      </c>
      <c r="I141" s="10"/>
      <c r="J141" s="10"/>
      <c r="K141" s="91">
        <v>523614.77234374994</v>
      </c>
      <c r="L141" s="10"/>
      <c r="M141" s="91">
        <f>SUM(M133:M140)</f>
        <v>3563.1271611127595</v>
      </c>
      <c r="N141" s="10"/>
    </row>
    <row r="142" spans="1:14" x14ac:dyDescent="0.25">
      <c r="A142" s="82" t="s">
        <v>131</v>
      </c>
      <c r="B142" s="83">
        <f>B132+B141</f>
        <v>1360246.9721881382</v>
      </c>
      <c r="C142" s="83">
        <f>C132+C141</f>
        <v>93260</v>
      </c>
      <c r="D142" s="83">
        <f>D132+D141</f>
        <v>62921</v>
      </c>
      <c r="E142" s="83">
        <f>E132+E141</f>
        <v>0</v>
      </c>
      <c r="F142" s="83">
        <f t="shared" ref="F142:G142" si="42">F132+F141</f>
        <v>96714.843096311946</v>
      </c>
      <c r="G142" s="83">
        <f t="shared" si="42"/>
        <v>0</v>
      </c>
      <c r="H142" s="83">
        <f>H132+H141</f>
        <v>1613142.8152844501</v>
      </c>
      <c r="I142" s="10"/>
      <c r="J142" s="10"/>
      <c r="K142" s="83">
        <v>1574460.7038437498</v>
      </c>
      <c r="L142" s="10"/>
      <c r="M142" s="83">
        <f>M132+M141</f>
        <v>38682.111440700122</v>
      </c>
      <c r="N142" s="10"/>
    </row>
    <row r="143" spans="1:14" x14ac:dyDescent="0.25">
      <c r="A143" s="92" t="s">
        <v>132</v>
      </c>
      <c r="B143" s="24" t="str">
        <f>B1</f>
        <v>Operating</v>
      </c>
      <c r="C143" s="24" t="str">
        <f>C1</f>
        <v>SPED</v>
      </c>
      <c r="D143" s="24" t="str">
        <f>D1</f>
        <v>NSLP</v>
      </c>
      <c r="E143" s="24" t="str">
        <f>E1</f>
        <v>Other</v>
      </c>
      <c r="F143" s="24" t="str">
        <f t="shared" ref="F143:G143" si="43">F1</f>
        <v>Title I</v>
      </c>
      <c r="G143" s="24" t="str">
        <f t="shared" si="43"/>
        <v>Title II/III/IV</v>
      </c>
      <c r="H143" s="24" t="str">
        <f>H1</f>
        <v>Total (27-28)</v>
      </c>
      <c r="I143" s="10"/>
      <c r="J143" s="10"/>
      <c r="K143" s="24" t="s">
        <v>238</v>
      </c>
      <c r="L143" s="10"/>
      <c r="M143" s="24" t="str">
        <f>M1</f>
        <v>Variance</v>
      </c>
      <c r="N143" s="10"/>
    </row>
    <row r="144" spans="1:14" x14ac:dyDescent="0.25">
      <c r="A144" s="93" t="s">
        <v>133</v>
      </c>
      <c r="B144" s="14">
        <f>210*B17</f>
        <v>40950</v>
      </c>
      <c r="C144" s="14"/>
      <c r="D144" s="14"/>
      <c r="E144" s="14"/>
      <c r="F144" s="14"/>
      <c r="G144" s="14"/>
      <c r="H144" s="7">
        <f t="shared" ref="H144:H153" si="44">SUM(B144:G144)</f>
        <v>40950</v>
      </c>
      <c r="I144" s="8" t="s">
        <v>134</v>
      </c>
      <c r="K144" s="7">
        <v>34650</v>
      </c>
      <c r="M144" s="7">
        <f t="shared" ref="M144:M153" si="45">H144-K144</f>
        <v>6300</v>
      </c>
    </row>
    <row r="145" spans="1:14" x14ac:dyDescent="0.25">
      <c r="A145" s="94" t="s">
        <v>135</v>
      </c>
      <c r="B145" s="14">
        <v>0</v>
      </c>
      <c r="C145" s="14"/>
      <c r="D145" s="14"/>
      <c r="E145" s="14"/>
      <c r="F145" s="14"/>
      <c r="G145" s="14"/>
      <c r="H145" s="7">
        <f t="shared" si="44"/>
        <v>0</v>
      </c>
      <c r="I145" s="19"/>
      <c r="K145" s="7">
        <v>0</v>
      </c>
      <c r="M145" s="7">
        <f t="shared" si="45"/>
        <v>0</v>
      </c>
    </row>
    <row r="146" spans="1:14" x14ac:dyDescent="0.25">
      <c r="A146" s="39" t="s">
        <v>136</v>
      </c>
      <c r="B146" s="14">
        <v>0</v>
      </c>
      <c r="C146" s="14"/>
      <c r="D146" s="14"/>
      <c r="E146" s="14"/>
      <c r="F146" s="14"/>
      <c r="G146" s="14"/>
      <c r="H146" s="7">
        <f t="shared" si="44"/>
        <v>0</v>
      </c>
      <c r="I146" s="19"/>
      <c r="K146" s="7">
        <v>0</v>
      </c>
      <c r="M146" s="7">
        <f t="shared" si="45"/>
        <v>0</v>
      </c>
    </row>
    <row r="147" spans="1:14" x14ac:dyDescent="0.25">
      <c r="A147" s="39" t="s">
        <v>138</v>
      </c>
      <c r="B147" s="14">
        <f>30*B17</f>
        <v>5850</v>
      </c>
      <c r="C147" s="14"/>
      <c r="D147" s="14"/>
      <c r="E147" s="14"/>
      <c r="F147" s="14"/>
      <c r="G147" s="14"/>
      <c r="H147" s="7">
        <f t="shared" si="44"/>
        <v>5850</v>
      </c>
      <c r="I147" s="8" t="s">
        <v>139</v>
      </c>
      <c r="K147" s="7">
        <v>4950</v>
      </c>
      <c r="M147" s="7">
        <f t="shared" si="45"/>
        <v>900</v>
      </c>
    </row>
    <row r="148" spans="1:14" x14ac:dyDescent="0.25">
      <c r="A148" s="39" t="s">
        <v>140</v>
      </c>
      <c r="B148" s="14">
        <f>40*B17</f>
        <v>7800</v>
      </c>
      <c r="C148" s="14"/>
      <c r="D148" s="14"/>
      <c r="E148" s="14"/>
      <c r="F148" s="14"/>
      <c r="G148" s="14"/>
      <c r="H148" s="7">
        <f t="shared" si="44"/>
        <v>7800</v>
      </c>
      <c r="I148" s="8" t="s">
        <v>141</v>
      </c>
      <c r="K148" s="7">
        <v>6600</v>
      </c>
      <c r="M148" s="7">
        <f t="shared" si="45"/>
        <v>1200</v>
      </c>
    </row>
    <row r="149" spans="1:14" x14ac:dyDescent="0.25">
      <c r="A149" s="39" t="s">
        <v>142</v>
      </c>
      <c r="B149" s="14">
        <f>10*B17</f>
        <v>1950</v>
      </c>
      <c r="C149" s="14"/>
      <c r="D149" s="14"/>
      <c r="E149" s="14"/>
      <c r="F149" s="14"/>
      <c r="G149" s="14"/>
      <c r="H149" s="7">
        <f t="shared" si="44"/>
        <v>1950</v>
      </c>
      <c r="I149" s="8" t="s">
        <v>143</v>
      </c>
      <c r="K149" s="7">
        <v>1650</v>
      </c>
      <c r="M149" s="7">
        <f t="shared" si="45"/>
        <v>300</v>
      </c>
    </row>
    <row r="150" spans="1:14" x14ac:dyDescent="0.25">
      <c r="A150" s="39" t="s">
        <v>144</v>
      </c>
      <c r="B150" s="7">
        <f>8*B17</f>
        <v>1560</v>
      </c>
      <c r="C150" s="14"/>
      <c r="D150" s="14"/>
      <c r="E150" s="14"/>
      <c r="F150" s="14"/>
      <c r="G150" s="14"/>
      <c r="H150" s="7">
        <f t="shared" si="44"/>
        <v>1560</v>
      </c>
      <c r="I150" s="8" t="s">
        <v>145</v>
      </c>
      <c r="K150" s="7">
        <v>1320</v>
      </c>
      <c r="M150" s="7">
        <f t="shared" si="45"/>
        <v>240</v>
      </c>
    </row>
    <row r="151" spans="1:14" x14ac:dyDescent="0.25">
      <c r="A151" s="39" t="s">
        <v>146</v>
      </c>
      <c r="B151" s="7">
        <f>129*B20</f>
        <v>0</v>
      </c>
      <c r="C151" s="14">
        <f>150*(C20)</f>
        <v>4479.7297297297291</v>
      </c>
      <c r="D151" s="14"/>
      <c r="E151" s="14"/>
      <c r="F151" s="14"/>
      <c r="G151" s="14"/>
      <c r="H151" s="7">
        <f t="shared" si="44"/>
        <v>4479.7297297297291</v>
      </c>
      <c r="I151" s="8" t="s">
        <v>147</v>
      </c>
      <c r="K151" s="7">
        <v>2550</v>
      </c>
      <c r="M151" s="7">
        <f t="shared" si="45"/>
        <v>1929.7297297297291</v>
      </c>
    </row>
    <row r="152" spans="1:14" x14ac:dyDescent="0.25">
      <c r="A152" s="39" t="s">
        <v>148</v>
      </c>
      <c r="B152" s="7">
        <v>7500</v>
      </c>
      <c r="C152" s="7"/>
      <c r="D152" s="7"/>
      <c r="E152" s="7"/>
      <c r="F152" s="7"/>
      <c r="G152" s="7"/>
      <c r="H152" s="7">
        <f t="shared" si="44"/>
        <v>7500</v>
      </c>
      <c r="I152" s="19"/>
      <c r="K152" s="7">
        <v>7500</v>
      </c>
      <c r="M152" s="7">
        <f t="shared" si="45"/>
        <v>0</v>
      </c>
    </row>
    <row r="153" spans="1:14" x14ac:dyDescent="0.25">
      <c r="A153" s="95" t="s">
        <v>149</v>
      </c>
      <c r="B153" s="96">
        <f>45*B17</f>
        <v>8775</v>
      </c>
      <c r="C153" s="7"/>
      <c r="D153" s="7"/>
      <c r="E153" s="7"/>
      <c r="F153" s="7"/>
      <c r="G153" s="7"/>
      <c r="H153" s="7">
        <f t="shared" si="44"/>
        <v>8775</v>
      </c>
      <c r="I153" s="19" t="s">
        <v>150</v>
      </c>
      <c r="K153" s="7">
        <v>7425</v>
      </c>
      <c r="M153" s="7">
        <f t="shared" si="45"/>
        <v>1350</v>
      </c>
    </row>
    <row r="154" spans="1:14" x14ac:dyDescent="0.25">
      <c r="A154" s="82" t="s">
        <v>151</v>
      </c>
      <c r="B154" s="83">
        <f>SUM(B144:B153)</f>
        <v>74385</v>
      </c>
      <c r="C154" s="83">
        <f t="shared" ref="C154:G154" si="46">SUM(C144:C153)</f>
        <v>4479.7297297297291</v>
      </c>
      <c r="D154" s="83">
        <f t="shared" si="46"/>
        <v>0</v>
      </c>
      <c r="E154" s="83">
        <f t="shared" si="46"/>
        <v>0</v>
      </c>
      <c r="F154" s="83">
        <f t="shared" si="46"/>
        <v>0</v>
      </c>
      <c r="G154" s="83">
        <f t="shared" si="46"/>
        <v>0</v>
      </c>
      <c r="H154" s="83">
        <f>SUM(H144:H153)</f>
        <v>78864.729729729734</v>
      </c>
      <c r="I154" s="10"/>
      <c r="J154" s="10"/>
      <c r="K154" s="83">
        <v>66645</v>
      </c>
      <c r="L154" s="10"/>
      <c r="M154" s="83">
        <f>SUM(M144:M153)</f>
        <v>12219.72972972973</v>
      </c>
      <c r="N154" s="10"/>
    </row>
    <row r="155" spans="1:14" x14ac:dyDescent="0.25">
      <c r="A155" s="92" t="s">
        <v>152</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(27-28)</v>
      </c>
      <c r="I155" s="10"/>
      <c r="J155" s="10"/>
      <c r="K155" s="24" t="s">
        <v>238</v>
      </c>
      <c r="L155" s="10"/>
      <c r="M155" s="24" t="str">
        <f>M1</f>
        <v>Variance</v>
      </c>
      <c r="N155" s="10"/>
    </row>
    <row r="156" spans="1:14" x14ac:dyDescent="0.25">
      <c r="A156" s="39" t="s">
        <v>153</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154</v>
      </c>
      <c r="B157" s="14">
        <v>0</v>
      </c>
      <c r="C157" s="14">
        <f>425*B17</f>
        <v>82875</v>
      </c>
      <c r="D157" s="7"/>
      <c r="E157" s="7"/>
      <c r="F157" s="7"/>
      <c r="G157" s="7"/>
      <c r="H157" s="7">
        <f t="shared" si="48"/>
        <v>82875</v>
      </c>
      <c r="I157" s="19" t="s">
        <v>155</v>
      </c>
      <c r="K157" s="7">
        <v>70125</v>
      </c>
      <c r="M157" s="7">
        <f t="shared" si="49"/>
        <v>12750</v>
      </c>
    </row>
    <row r="158" spans="1:14" x14ac:dyDescent="0.25">
      <c r="A158" s="39" t="s">
        <v>156</v>
      </c>
      <c r="B158" s="14">
        <f>7500*10</f>
        <v>75000</v>
      </c>
      <c r="C158" s="7"/>
      <c r="D158" s="7"/>
      <c r="E158" s="7"/>
      <c r="F158" s="7"/>
      <c r="G158" s="7"/>
      <c r="H158" s="7">
        <f t="shared" si="48"/>
        <v>75000</v>
      </c>
      <c r="I158" s="19" t="s">
        <v>157</v>
      </c>
      <c r="K158" s="7">
        <v>75000</v>
      </c>
      <c r="M158" s="7">
        <f t="shared" si="49"/>
        <v>0</v>
      </c>
    </row>
    <row r="159" spans="1:14" x14ac:dyDescent="0.25">
      <c r="A159" s="39" t="s">
        <v>158</v>
      </c>
      <c r="B159" s="14">
        <v>50000</v>
      </c>
      <c r="C159" s="7"/>
      <c r="D159" s="7"/>
      <c r="E159" s="7"/>
      <c r="F159" s="7"/>
      <c r="G159" s="7"/>
      <c r="H159" s="7">
        <f t="shared" si="48"/>
        <v>50000</v>
      </c>
      <c r="I159" s="19"/>
      <c r="K159" s="7">
        <v>50000</v>
      </c>
      <c r="M159" s="7">
        <f t="shared" si="49"/>
        <v>0</v>
      </c>
    </row>
    <row r="160" spans="1:14" x14ac:dyDescent="0.25">
      <c r="A160" s="39" t="s">
        <v>159</v>
      </c>
      <c r="B160" s="14">
        <f>(495*1.03*1.015*1.015*1.015)*B17</f>
        <v>103962.12830128123</v>
      </c>
      <c r="C160" s="7"/>
      <c r="D160" s="7"/>
      <c r="E160" s="7"/>
      <c r="F160" s="7"/>
      <c r="G160" s="7"/>
      <c r="H160" s="7">
        <f t="shared" si="48"/>
        <v>103962.12830128123</v>
      </c>
      <c r="I160" s="19" t="s">
        <v>160</v>
      </c>
      <c r="K160" s="7">
        <v>81675</v>
      </c>
      <c r="M160" s="7">
        <f t="shared" si="49"/>
        <v>22287.128301281235</v>
      </c>
    </row>
    <row r="161" spans="1:14" x14ac:dyDescent="0.25">
      <c r="A161" s="39" t="s">
        <v>161</v>
      </c>
      <c r="B161" s="14">
        <f>'26-27'!B161*1.05</f>
        <v>7886.8991250000008</v>
      </c>
      <c r="C161" s="14"/>
      <c r="D161" s="14"/>
      <c r="E161" s="14"/>
      <c r="F161" s="14"/>
      <c r="G161" s="14">
        <f>(240*G65)</f>
        <v>0</v>
      </c>
      <c r="H161" s="7">
        <f t="shared" si="48"/>
        <v>7886.8991250000008</v>
      </c>
      <c r="I161" s="19" t="s">
        <v>162</v>
      </c>
      <c r="K161" s="7">
        <v>7511.3325000000004</v>
      </c>
      <c r="M161" s="7">
        <f t="shared" si="49"/>
        <v>375.56662500000039</v>
      </c>
    </row>
    <row r="162" spans="1:14" x14ac:dyDescent="0.25">
      <c r="A162" s="39" t="s">
        <v>163</v>
      </c>
      <c r="B162" s="14">
        <f>'27-28'!B162*1.05</f>
        <v>36465.1875</v>
      </c>
      <c r="C162" s="7"/>
      <c r="D162" s="7"/>
      <c r="E162" s="7"/>
      <c r="F162" s="7"/>
      <c r="G162" s="7"/>
      <c r="H162" s="7">
        <f t="shared" si="48"/>
        <v>36465.1875</v>
      </c>
      <c r="I162" s="19" t="s">
        <v>164</v>
      </c>
      <c r="K162" s="7">
        <v>33075</v>
      </c>
      <c r="M162" s="7">
        <f t="shared" si="49"/>
        <v>3390.1875</v>
      </c>
    </row>
    <row r="163" spans="1:14" x14ac:dyDescent="0.25">
      <c r="A163" s="39" t="s">
        <v>165</v>
      </c>
      <c r="B163" s="7">
        <f>20000</f>
        <v>20000</v>
      </c>
      <c r="C163" s="7"/>
      <c r="D163" s="7"/>
      <c r="E163" s="7"/>
      <c r="F163" s="7"/>
      <c r="G163" s="7"/>
      <c r="H163" s="7">
        <f t="shared" si="48"/>
        <v>20000</v>
      </c>
      <c r="I163" s="19"/>
      <c r="K163" s="7">
        <v>20000</v>
      </c>
      <c r="M163" s="7">
        <f t="shared" si="49"/>
        <v>0</v>
      </c>
    </row>
    <row r="164" spans="1:14" x14ac:dyDescent="0.25">
      <c r="A164" s="39" t="s">
        <v>166</v>
      </c>
      <c r="B164" s="14">
        <f>48*B17+(60*12)</f>
        <v>10080</v>
      </c>
      <c r="C164" s="7"/>
      <c r="D164" s="7"/>
      <c r="E164" s="7"/>
      <c r="F164" s="7"/>
      <c r="G164" s="7"/>
      <c r="H164" s="7">
        <f t="shared" si="48"/>
        <v>10080</v>
      </c>
      <c r="I164" s="19" t="s">
        <v>167</v>
      </c>
      <c r="K164" s="7">
        <v>8640</v>
      </c>
      <c r="M164" s="7">
        <f t="shared" si="49"/>
        <v>1440</v>
      </c>
    </row>
    <row r="165" spans="1:14" x14ac:dyDescent="0.25">
      <c r="A165" s="39" t="s">
        <v>168</v>
      </c>
      <c r="B165" s="14">
        <v>15000</v>
      </c>
      <c r="C165" s="7"/>
      <c r="D165" s="7"/>
      <c r="E165" s="7"/>
      <c r="F165" s="7"/>
      <c r="G165" s="7"/>
      <c r="H165" s="7">
        <f t="shared" si="48"/>
        <v>15000</v>
      </c>
      <c r="I165" s="19"/>
      <c r="K165" s="7">
        <v>15000</v>
      </c>
      <c r="M165" s="7">
        <f t="shared" si="49"/>
        <v>0</v>
      </c>
    </row>
    <row r="166" spans="1:14" x14ac:dyDescent="0.25">
      <c r="A166" s="39" t="s">
        <v>169</v>
      </c>
      <c r="B166" s="14">
        <f>(B74+B75+B76+B77)*0.0125</f>
        <v>28646.551314843826</v>
      </c>
      <c r="C166" s="7"/>
      <c r="D166" s="7"/>
      <c r="E166" s="7"/>
      <c r="F166" s="7"/>
      <c r="G166" s="7"/>
      <c r="H166" s="7">
        <f t="shared" si="48"/>
        <v>28646.551314843826</v>
      </c>
      <c r="I166" s="97">
        <v>1.2500000000000001E-2</v>
      </c>
      <c r="J166" s="98"/>
      <c r="K166" s="7">
        <v>22870.325353749995</v>
      </c>
      <c r="L166" s="98"/>
      <c r="M166" s="7">
        <f t="shared" si="49"/>
        <v>5776.2259610938308</v>
      </c>
      <c r="N166" s="98"/>
    </row>
    <row r="167" spans="1:14" x14ac:dyDescent="0.25">
      <c r="A167" s="39" t="s">
        <v>170</v>
      </c>
      <c r="B167" s="14">
        <v>0</v>
      </c>
      <c r="C167" s="7"/>
      <c r="D167" s="7"/>
      <c r="E167" s="7"/>
      <c r="F167" s="7"/>
      <c r="G167" s="7"/>
      <c r="H167" s="7">
        <f t="shared" si="48"/>
        <v>0</v>
      </c>
      <c r="I167" s="97" t="s">
        <v>171</v>
      </c>
      <c r="J167" s="98"/>
      <c r="K167" s="7">
        <v>0</v>
      </c>
      <c r="L167" s="98"/>
      <c r="M167" s="7">
        <f t="shared" si="49"/>
        <v>0</v>
      </c>
      <c r="N167" s="98"/>
    </row>
    <row r="168" spans="1:14" x14ac:dyDescent="0.25">
      <c r="A168" s="39" t="s">
        <v>172</v>
      </c>
      <c r="B168" s="14">
        <v>0</v>
      </c>
      <c r="C168" s="7"/>
      <c r="D168" s="7"/>
      <c r="E168" s="7"/>
      <c r="F168" s="7"/>
      <c r="G168" s="7"/>
      <c r="H168" s="7">
        <f t="shared" si="48"/>
        <v>0</v>
      </c>
      <c r="I168" s="97" t="s">
        <v>173</v>
      </c>
      <c r="J168" s="98"/>
      <c r="K168" s="7">
        <v>0</v>
      </c>
      <c r="L168" s="98"/>
      <c r="M168" s="7">
        <f t="shared" si="49"/>
        <v>0</v>
      </c>
      <c r="N168" s="98"/>
    </row>
    <row r="169" spans="1:14" x14ac:dyDescent="0.25">
      <c r="A169" s="95" t="s">
        <v>174</v>
      </c>
      <c r="B169" s="14">
        <f>B74*0.005</f>
        <v>9885.8532911945604</v>
      </c>
      <c r="C169" s="7"/>
      <c r="D169" s="7"/>
      <c r="E169" s="7"/>
      <c r="F169" s="7"/>
      <c r="G169" s="7">
        <f>G86+G87</f>
        <v>11120.71</v>
      </c>
      <c r="H169" s="7">
        <f t="shared" si="48"/>
        <v>21006.563291194558</v>
      </c>
      <c r="I169" s="97"/>
      <c r="J169" s="98"/>
      <c r="K169" s="7">
        <v>19122.003973749997</v>
      </c>
      <c r="L169" s="98"/>
      <c r="M169" s="7">
        <f t="shared" si="49"/>
        <v>1884.5593174445603</v>
      </c>
      <c r="N169" s="98"/>
    </row>
    <row r="170" spans="1:14" x14ac:dyDescent="0.25">
      <c r="A170" s="82" t="s">
        <v>175</v>
      </c>
      <c r="B170" s="83">
        <f>SUM(B156:B169)</f>
        <v>366926.6195323196</v>
      </c>
      <c r="C170" s="83">
        <f t="shared" ref="C170:G170" si="50">SUM(C156:C169)</f>
        <v>82875</v>
      </c>
      <c r="D170" s="83">
        <f t="shared" si="50"/>
        <v>0</v>
      </c>
      <c r="E170" s="83">
        <f t="shared" si="50"/>
        <v>0</v>
      </c>
      <c r="F170" s="83">
        <f t="shared" si="50"/>
        <v>0</v>
      </c>
      <c r="G170" s="83">
        <f t="shared" si="50"/>
        <v>11120.71</v>
      </c>
      <c r="H170" s="83">
        <f>SUM(H156:H169)</f>
        <v>460922.32953231962</v>
      </c>
      <c r="I170" s="10"/>
      <c r="J170" s="10"/>
      <c r="K170" s="83">
        <v>413018.66182749998</v>
      </c>
      <c r="L170" s="10"/>
      <c r="M170" s="83">
        <f>SUM(M156:M169)</f>
        <v>47903.667704819622</v>
      </c>
      <c r="N170" s="10"/>
    </row>
    <row r="171" spans="1:14" x14ac:dyDescent="0.25">
      <c r="A171" s="92" t="s">
        <v>176</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(27-28)</v>
      </c>
      <c r="I171" s="10"/>
      <c r="J171" s="10"/>
      <c r="K171" s="24" t="s">
        <v>238</v>
      </c>
      <c r="L171" s="10"/>
      <c r="M171" s="24" t="str">
        <f t="shared" ref="M171" si="52">M1</f>
        <v>Variance</v>
      </c>
      <c r="N171" s="10"/>
    </row>
    <row r="172" spans="1:14" x14ac:dyDescent="0.25">
      <c r="A172" s="99" t="s">
        <v>177</v>
      </c>
      <c r="B172" s="14">
        <f>'27-28'!B172*1.05</f>
        <v>3476.3478750000004</v>
      </c>
      <c r="C172" s="7"/>
      <c r="D172" s="7"/>
      <c r="E172" s="7"/>
      <c r="F172" s="7"/>
      <c r="G172" s="7"/>
      <c r="H172" s="7">
        <f t="shared" ref="H172:H196" si="53">SUM(B172:G172)</f>
        <v>3476.3478750000004</v>
      </c>
      <c r="I172" s="19" t="s">
        <v>178</v>
      </c>
      <c r="K172" s="7">
        <v>3153.15</v>
      </c>
      <c r="M172" s="7">
        <f t="shared" si="49"/>
        <v>323.19787500000029</v>
      </c>
    </row>
    <row r="173" spans="1:14" x14ac:dyDescent="0.25">
      <c r="A173" s="39" t="s">
        <v>179</v>
      </c>
      <c r="B173" s="14">
        <f>'27-28'!B173*1.05</f>
        <v>4740.4743750000007</v>
      </c>
      <c r="C173" s="7"/>
      <c r="D173" s="7"/>
      <c r="E173" s="7"/>
      <c r="F173" s="7"/>
      <c r="G173" s="7"/>
      <c r="H173" s="7">
        <f t="shared" si="53"/>
        <v>4740.4743750000007</v>
      </c>
      <c r="I173" s="19" t="s">
        <v>178</v>
      </c>
      <c r="K173" s="7">
        <v>4299.75</v>
      </c>
      <c r="M173" s="7">
        <f t="shared" si="49"/>
        <v>440.72437500000069</v>
      </c>
    </row>
    <row r="174" spans="1:14" x14ac:dyDescent="0.25">
      <c r="A174" s="39" t="s">
        <v>180</v>
      </c>
      <c r="B174" s="96"/>
      <c r="C174" s="7"/>
      <c r="D174" s="7"/>
      <c r="E174" s="7"/>
      <c r="F174" s="7"/>
      <c r="G174" s="7"/>
      <c r="H174" s="7">
        <f t="shared" si="53"/>
        <v>0</v>
      </c>
      <c r="I174" s="19"/>
      <c r="K174" s="7">
        <v>0</v>
      </c>
      <c r="M174" s="7">
        <f t="shared" si="49"/>
        <v>0</v>
      </c>
    </row>
    <row r="175" spans="1:14" x14ac:dyDescent="0.25">
      <c r="A175" s="39" t="s">
        <v>181</v>
      </c>
      <c r="B175" s="96">
        <v>2000</v>
      </c>
      <c r="C175" s="7"/>
      <c r="D175" s="7"/>
      <c r="E175" s="7"/>
      <c r="F175" s="7"/>
      <c r="G175" s="7"/>
      <c r="H175" s="7">
        <f t="shared" si="53"/>
        <v>2000</v>
      </c>
      <c r="I175" s="19"/>
      <c r="K175" s="7">
        <v>2000</v>
      </c>
      <c r="M175" s="7">
        <f t="shared" si="49"/>
        <v>0</v>
      </c>
    </row>
    <row r="176" spans="1:14" x14ac:dyDescent="0.25">
      <c r="A176" s="39" t="s">
        <v>182</v>
      </c>
      <c r="B176" s="14">
        <f>'27-28'!B176*1.05</f>
        <v>6685.2843750000002</v>
      </c>
      <c r="C176" s="7"/>
      <c r="D176" s="7"/>
      <c r="E176" s="7"/>
      <c r="F176" s="7"/>
      <c r="G176" s="7"/>
      <c r="H176" s="7">
        <f t="shared" si="53"/>
        <v>6685.2843750000002</v>
      </c>
      <c r="I176" s="19"/>
      <c r="K176" s="7">
        <v>6063.75</v>
      </c>
      <c r="M176" s="7">
        <f t="shared" si="49"/>
        <v>621.53437500000018</v>
      </c>
    </row>
    <row r="177" spans="1:14" x14ac:dyDescent="0.25">
      <c r="A177" s="39" t="s">
        <v>183</v>
      </c>
      <c r="B177" s="14">
        <f>'27-28'!B177*1.05</f>
        <v>18232.59375</v>
      </c>
      <c r="C177" s="7"/>
      <c r="D177" s="7"/>
      <c r="E177" s="7"/>
      <c r="F177" s="7"/>
      <c r="G177" s="7"/>
      <c r="H177" s="7">
        <f t="shared" si="53"/>
        <v>18232.59375</v>
      </c>
      <c r="I177" s="19"/>
      <c r="K177" s="7">
        <v>16537.5</v>
      </c>
      <c r="M177" s="7">
        <f t="shared" si="49"/>
        <v>1695.09375</v>
      </c>
    </row>
    <row r="178" spans="1:14" x14ac:dyDescent="0.25">
      <c r="A178" s="39" t="s">
        <v>184</v>
      </c>
      <c r="B178" s="87">
        <f>8500+(B17*2.4)</f>
        <v>8968</v>
      </c>
      <c r="C178" s="7"/>
      <c r="D178" s="7"/>
      <c r="E178" s="7"/>
      <c r="F178" s="7"/>
      <c r="G178" s="7"/>
      <c r="H178" s="7">
        <f t="shared" si="53"/>
        <v>8968</v>
      </c>
      <c r="I178" s="19"/>
      <c r="K178" s="7">
        <v>8896</v>
      </c>
      <c r="M178" s="7">
        <f t="shared" si="49"/>
        <v>72</v>
      </c>
    </row>
    <row r="179" spans="1:14" x14ac:dyDescent="0.25">
      <c r="A179" s="39" t="s">
        <v>185</v>
      </c>
      <c r="B179" s="14">
        <f>'27-28'!B179*1.1</f>
        <v>16775.072160000007</v>
      </c>
      <c r="C179" s="7"/>
      <c r="D179" s="7"/>
      <c r="E179" s="7"/>
      <c r="F179" s="7"/>
      <c r="G179" s="7"/>
      <c r="H179" s="7">
        <f t="shared" si="53"/>
        <v>16775.072160000007</v>
      </c>
      <c r="I179" s="19"/>
      <c r="K179" s="7">
        <v>13863.696000000002</v>
      </c>
      <c r="M179" s="7">
        <f t="shared" si="49"/>
        <v>2911.3761600000053</v>
      </c>
    </row>
    <row r="180" spans="1:14" x14ac:dyDescent="0.25">
      <c r="A180" s="39" t="s">
        <v>186</v>
      </c>
      <c r="B180" s="14">
        <f>'27-28'!B180*1.1</f>
        <v>14678.188140000007</v>
      </c>
      <c r="C180" s="7"/>
      <c r="D180" s="7"/>
      <c r="E180" s="7"/>
      <c r="F180" s="7"/>
      <c r="G180" s="7"/>
      <c r="H180" s="7">
        <f t="shared" si="53"/>
        <v>14678.188140000007</v>
      </c>
      <c r="I180" s="19"/>
      <c r="K180" s="7">
        <v>12130.734000000004</v>
      </c>
      <c r="M180" s="7">
        <f t="shared" si="49"/>
        <v>2547.4541400000035</v>
      </c>
    </row>
    <row r="181" spans="1:14" x14ac:dyDescent="0.25">
      <c r="A181" s="39" t="s">
        <v>187</v>
      </c>
      <c r="B181" s="14">
        <f>'27-28'!B181*1.1</f>
        <v>20968.84020000001</v>
      </c>
      <c r="C181" s="7"/>
      <c r="D181" s="7"/>
      <c r="E181" s="7"/>
      <c r="F181" s="7"/>
      <c r="G181" s="7"/>
      <c r="H181" s="7">
        <f t="shared" si="53"/>
        <v>20968.84020000001</v>
      </c>
      <c r="I181" s="19"/>
      <c r="K181" s="7">
        <v>17329.620000000003</v>
      </c>
      <c r="M181" s="7">
        <f t="shared" si="49"/>
        <v>3639.220200000007</v>
      </c>
    </row>
    <row r="182" spans="1:14" x14ac:dyDescent="0.25">
      <c r="A182" s="39" t="s">
        <v>188</v>
      </c>
      <c r="B182" s="14"/>
      <c r="C182" s="14"/>
      <c r="D182" s="14">
        <f>((B17*D23)*2.4*180)</f>
        <v>84240</v>
      </c>
      <c r="E182" s="7"/>
      <c r="F182" s="7"/>
      <c r="G182" s="7"/>
      <c r="H182" s="7">
        <f t="shared" si="53"/>
        <v>84240</v>
      </c>
      <c r="I182" s="69">
        <v>2.4</v>
      </c>
      <c r="J182" s="100"/>
      <c r="K182" s="7">
        <v>71280</v>
      </c>
      <c r="L182" s="100"/>
      <c r="M182" s="7">
        <f t="shared" si="49"/>
        <v>12960</v>
      </c>
      <c r="N182" s="100"/>
    </row>
    <row r="183" spans="1:14" x14ac:dyDescent="0.25">
      <c r="A183" s="39" t="s">
        <v>189</v>
      </c>
      <c r="B183" s="14"/>
      <c r="C183" s="14"/>
      <c r="D183" s="14">
        <f>((B17*D23)*3.75*180)</f>
        <v>131625</v>
      </c>
      <c r="E183" s="7"/>
      <c r="F183" s="7"/>
      <c r="G183" s="7"/>
      <c r="H183" s="7">
        <f t="shared" si="53"/>
        <v>131625</v>
      </c>
      <c r="I183" s="69">
        <v>3.75</v>
      </c>
      <c r="J183" s="100"/>
      <c r="K183" s="7">
        <v>111375</v>
      </c>
      <c r="L183" s="100"/>
      <c r="M183" s="7">
        <f t="shared" si="49"/>
        <v>20250</v>
      </c>
      <c r="N183" s="100"/>
    </row>
    <row r="184" spans="1:14" x14ac:dyDescent="0.25">
      <c r="A184" s="39" t="s">
        <v>190</v>
      </c>
      <c r="B184" s="14">
        <v>5000</v>
      </c>
      <c r="C184" s="14"/>
      <c r="D184" s="14"/>
      <c r="E184" s="7"/>
      <c r="F184" s="7"/>
      <c r="G184" s="7"/>
      <c r="H184" s="7">
        <f t="shared" si="53"/>
        <v>5000</v>
      </c>
      <c r="I184" s="19"/>
      <c r="K184" s="7">
        <v>5000</v>
      </c>
      <c r="M184" s="7">
        <f t="shared" si="49"/>
        <v>0</v>
      </c>
    </row>
    <row r="185" spans="1:14" x14ac:dyDescent="0.25">
      <c r="A185" s="39" t="s">
        <v>191</v>
      </c>
      <c r="B185" s="7">
        <v>5500</v>
      </c>
      <c r="C185" s="7"/>
      <c r="D185" s="7"/>
      <c r="E185" s="7"/>
      <c r="F185" s="7"/>
      <c r="G185" s="7">
        <f>G88</f>
        <v>5400.25</v>
      </c>
      <c r="H185" s="7">
        <f t="shared" si="53"/>
        <v>10900.25</v>
      </c>
      <c r="I185" s="19"/>
      <c r="K185" s="7">
        <v>10900.25</v>
      </c>
      <c r="M185" s="7">
        <f t="shared" si="49"/>
        <v>0</v>
      </c>
    </row>
    <row r="186" spans="1:14" x14ac:dyDescent="0.25">
      <c r="A186" s="39" t="s">
        <v>192</v>
      </c>
      <c r="B186" s="7">
        <f>60*15</f>
        <v>900</v>
      </c>
      <c r="C186" s="7">
        <v>0</v>
      </c>
      <c r="D186" s="7">
        <v>0</v>
      </c>
      <c r="E186" s="7"/>
      <c r="F186" s="7"/>
      <c r="G186" s="7"/>
      <c r="H186" s="7">
        <f t="shared" si="53"/>
        <v>900</v>
      </c>
      <c r="I186" s="19"/>
      <c r="K186" s="7">
        <v>900</v>
      </c>
      <c r="M186" s="7">
        <f t="shared" si="49"/>
        <v>0</v>
      </c>
    </row>
    <row r="187" spans="1:14" x14ac:dyDescent="0.25">
      <c r="A187" s="39" t="s">
        <v>193</v>
      </c>
      <c r="B187" s="14">
        <v>6500</v>
      </c>
      <c r="C187" s="7"/>
      <c r="D187" s="7"/>
      <c r="E187" s="7"/>
      <c r="F187" s="7"/>
      <c r="G187" s="7"/>
      <c r="H187" s="7">
        <f t="shared" si="53"/>
        <v>6500</v>
      </c>
      <c r="I187" s="19"/>
      <c r="K187" s="7">
        <v>6500</v>
      </c>
      <c r="M187" s="7">
        <f t="shared" si="49"/>
        <v>0</v>
      </c>
    </row>
    <row r="188" spans="1:14" x14ac:dyDescent="0.25">
      <c r="A188" s="39" t="s">
        <v>194</v>
      </c>
      <c r="B188" s="14">
        <v>0</v>
      </c>
      <c r="C188" s="7"/>
      <c r="D188" s="7"/>
      <c r="E188" s="7"/>
      <c r="F188" s="7"/>
      <c r="G188" s="7"/>
      <c r="H188" s="7">
        <f t="shared" si="53"/>
        <v>0</v>
      </c>
      <c r="I188" s="19"/>
      <c r="K188" s="7">
        <v>0</v>
      </c>
      <c r="M188" s="7">
        <f t="shared" si="49"/>
        <v>0</v>
      </c>
    </row>
    <row r="189" spans="1:14" x14ac:dyDescent="0.25">
      <c r="A189" s="39" t="s">
        <v>195</v>
      </c>
      <c r="B189" s="14">
        <v>0</v>
      </c>
      <c r="C189" s="7"/>
      <c r="D189" s="7"/>
      <c r="E189" s="7"/>
      <c r="F189" s="7"/>
      <c r="G189" s="7"/>
      <c r="H189" s="7">
        <f t="shared" si="53"/>
        <v>0</v>
      </c>
      <c r="I189" s="19"/>
      <c r="K189" s="7">
        <v>0</v>
      </c>
      <c r="M189" s="7">
        <f t="shared" si="49"/>
        <v>0</v>
      </c>
    </row>
    <row r="190" spans="1:14" x14ac:dyDescent="0.25">
      <c r="A190" s="39" t="s">
        <v>196</v>
      </c>
      <c r="B190" s="14">
        <v>0</v>
      </c>
      <c r="C190" s="7"/>
      <c r="D190" s="7"/>
      <c r="E190" s="7"/>
      <c r="F190" s="7"/>
      <c r="G190" s="7"/>
      <c r="H190" s="7">
        <f t="shared" si="53"/>
        <v>0</v>
      </c>
      <c r="I190" s="19"/>
      <c r="K190" s="7">
        <v>0</v>
      </c>
      <c r="M190" s="7">
        <f t="shared" si="49"/>
        <v>0</v>
      </c>
    </row>
    <row r="191" spans="1:14" x14ac:dyDescent="0.25">
      <c r="A191" s="39" t="s">
        <v>197</v>
      </c>
      <c r="B191" s="14">
        <v>0</v>
      </c>
      <c r="C191" s="14"/>
      <c r="D191" s="14"/>
      <c r="E191" s="14"/>
      <c r="F191" s="14"/>
      <c r="G191" s="14"/>
      <c r="H191" s="7">
        <f t="shared" si="53"/>
        <v>0</v>
      </c>
      <c r="I191" s="19"/>
      <c r="K191" s="7">
        <v>0</v>
      </c>
      <c r="M191" s="7">
        <f t="shared" si="49"/>
        <v>0</v>
      </c>
    </row>
    <row r="192" spans="1:14" x14ac:dyDescent="0.25">
      <c r="A192" s="39" t="s">
        <v>198</v>
      </c>
      <c r="B192" s="14"/>
      <c r="C192" s="14"/>
      <c r="D192" s="14"/>
      <c r="E192" s="14"/>
      <c r="F192" s="14"/>
      <c r="G192" s="14"/>
      <c r="H192" s="7">
        <f t="shared" si="53"/>
        <v>0</v>
      </c>
      <c r="I192" s="19"/>
      <c r="K192" s="7">
        <v>0</v>
      </c>
      <c r="M192" s="7">
        <f t="shared" si="49"/>
        <v>0</v>
      </c>
    </row>
    <row r="193" spans="1:14" x14ac:dyDescent="0.25">
      <c r="A193" s="39" t="s">
        <v>199</v>
      </c>
      <c r="B193" s="14"/>
      <c r="C193" s="14"/>
      <c r="D193" s="14"/>
      <c r="E193" s="14"/>
      <c r="F193" s="14"/>
      <c r="G193" s="14"/>
      <c r="H193" s="7">
        <f t="shared" si="53"/>
        <v>0</v>
      </c>
      <c r="I193" s="19"/>
      <c r="K193" s="7">
        <v>0</v>
      </c>
      <c r="M193" s="7">
        <f t="shared" si="49"/>
        <v>0</v>
      </c>
    </row>
    <row r="194" spans="1:14" x14ac:dyDescent="0.25">
      <c r="A194" s="39" t="s">
        <v>200</v>
      </c>
      <c r="B194" s="14"/>
      <c r="C194" s="14"/>
      <c r="D194" s="14"/>
      <c r="E194" s="14"/>
      <c r="F194" s="14"/>
      <c r="G194" s="14"/>
      <c r="H194" s="7">
        <f t="shared" si="53"/>
        <v>0</v>
      </c>
      <c r="I194" s="19"/>
      <c r="K194" s="7">
        <v>0</v>
      </c>
      <c r="M194" s="7"/>
    </row>
    <row r="195" spans="1:14" x14ac:dyDescent="0.25">
      <c r="A195" s="39" t="s">
        <v>201</v>
      </c>
      <c r="B195" s="14">
        <v>5000</v>
      </c>
      <c r="C195" s="14"/>
      <c r="D195" s="14"/>
      <c r="E195" s="14"/>
      <c r="F195" s="14"/>
      <c r="G195" s="14"/>
      <c r="H195" s="7">
        <f t="shared" si="53"/>
        <v>5000</v>
      </c>
      <c r="I195" s="19"/>
      <c r="K195" s="7">
        <v>5000</v>
      </c>
      <c r="M195" s="7">
        <f t="shared" si="49"/>
        <v>0</v>
      </c>
    </row>
    <row r="196" spans="1:14" x14ac:dyDescent="0.25">
      <c r="A196" s="95" t="s">
        <v>202</v>
      </c>
      <c r="B196" s="7">
        <f>((B2*B3)*0)+0</f>
        <v>0</v>
      </c>
      <c r="C196" s="7"/>
      <c r="D196" s="7"/>
      <c r="E196" s="7"/>
      <c r="F196" s="7"/>
      <c r="G196" s="7"/>
      <c r="H196" s="7">
        <f t="shared" si="53"/>
        <v>0</v>
      </c>
      <c r="I196" s="102" t="s">
        <v>203</v>
      </c>
      <c r="J196" s="65"/>
      <c r="K196" s="7">
        <v>0</v>
      </c>
      <c r="L196" s="65"/>
      <c r="M196" s="7">
        <f t="shared" si="49"/>
        <v>0</v>
      </c>
      <c r="N196" s="65"/>
    </row>
    <row r="197" spans="1:14" x14ac:dyDescent="0.25">
      <c r="A197" s="82" t="s">
        <v>204</v>
      </c>
      <c r="B197" s="83">
        <f>SUM(B172:B196)</f>
        <v>119424.80087500003</v>
      </c>
      <c r="C197" s="83">
        <f t="shared" ref="C197:H197" si="54">SUM(C172:C196)</f>
        <v>0</v>
      </c>
      <c r="D197" s="83">
        <f t="shared" si="54"/>
        <v>215865</v>
      </c>
      <c r="E197" s="83">
        <f t="shared" si="54"/>
        <v>0</v>
      </c>
      <c r="F197" s="83">
        <f t="shared" si="54"/>
        <v>0</v>
      </c>
      <c r="G197" s="83">
        <f t="shared" si="54"/>
        <v>5400.25</v>
      </c>
      <c r="H197" s="83">
        <f t="shared" si="54"/>
        <v>340690.05087500002</v>
      </c>
      <c r="I197" s="10"/>
      <c r="J197" s="10"/>
      <c r="K197" s="83">
        <v>295229.45</v>
      </c>
      <c r="L197" s="10"/>
      <c r="M197" s="83">
        <f t="shared" ref="M197" si="55">SUM(M172:M196)</f>
        <v>45460.600875000018</v>
      </c>
      <c r="N197" s="10"/>
    </row>
    <row r="198" spans="1:14" x14ac:dyDescent="0.25">
      <c r="A198" s="92" t="s">
        <v>205</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(27-28)</v>
      </c>
      <c r="I198" s="10"/>
      <c r="J198" s="10"/>
      <c r="K198" s="24" t="s">
        <v>238</v>
      </c>
      <c r="L198" s="10"/>
      <c r="M198" s="24" t="str">
        <f t="shared" ref="M198" si="57">M1</f>
        <v>Variance</v>
      </c>
      <c r="N198" s="10"/>
    </row>
    <row r="199" spans="1:14" x14ac:dyDescent="0.25">
      <c r="A199" s="99" t="s">
        <v>206</v>
      </c>
      <c r="B199" s="14">
        <f>'27-28'!B199*1.03</f>
        <v>50197.692925999996</v>
      </c>
      <c r="C199" s="7"/>
      <c r="D199" s="7"/>
      <c r="E199" s="7"/>
      <c r="F199" s="7"/>
      <c r="G199" s="7"/>
      <c r="H199" s="7">
        <f t="shared" ref="H199:H208" si="58">SUM(B199:G199)</f>
        <v>50197.692925999996</v>
      </c>
      <c r="I199" s="8"/>
      <c r="J199" s="9"/>
      <c r="K199" s="7">
        <v>47316.14</v>
      </c>
      <c r="L199" s="9"/>
      <c r="M199" s="7">
        <f t="shared" ref="M199:M220" si="59">H199-K199</f>
        <v>2881.5529259999967</v>
      </c>
      <c r="N199" s="9"/>
    </row>
    <row r="200" spans="1:14" x14ac:dyDescent="0.25">
      <c r="A200" s="39" t="s">
        <v>207</v>
      </c>
      <c r="B200" s="14">
        <f>'27-28'!B200*1.03</f>
        <v>2025.9158580000003</v>
      </c>
      <c r="C200" s="7"/>
      <c r="D200" s="7"/>
      <c r="E200" s="7"/>
      <c r="F200" s="7"/>
      <c r="G200" s="7"/>
      <c r="H200" s="7">
        <f t="shared" si="58"/>
        <v>2025.9158580000003</v>
      </c>
      <c r="I200" s="8" t="s">
        <v>208</v>
      </c>
      <c r="K200" s="7">
        <v>1909.6200000000001</v>
      </c>
      <c r="M200" s="7">
        <f t="shared" si="59"/>
        <v>116.29585800000018</v>
      </c>
    </row>
    <row r="201" spans="1:14" x14ac:dyDescent="0.25">
      <c r="A201" s="39" t="s">
        <v>209</v>
      </c>
      <c r="B201" s="14">
        <f>'27-28'!B201*1.03</f>
        <v>11930.393386000002</v>
      </c>
      <c r="C201" s="7"/>
      <c r="D201" s="7"/>
      <c r="E201" s="7"/>
      <c r="F201" s="7"/>
      <c r="G201" s="7"/>
      <c r="H201" s="7">
        <f t="shared" si="58"/>
        <v>11930.393386000002</v>
      </c>
      <c r="I201" s="19"/>
      <c r="K201" s="7">
        <v>11245.54</v>
      </c>
      <c r="M201" s="7">
        <f t="shared" si="59"/>
        <v>684.85338600000068</v>
      </c>
    </row>
    <row r="202" spans="1:14" x14ac:dyDescent="0.25">
      <c r="A202" s="39" t="s">
        <v>210</v>
      </c>
      <c r="B202" s="14">
        <f>'27-28'!B202*1.03</f>
        <v>4502.0352400000002</v>
      </c>
      <c r="C202" s="7"/>
      <c r="D202" s="7"/>
      <c r="E202" s="7"/>
      <c r="F202" s="7"/>
      <c r="G202" s="7"/>
      <c r="H202" s="7">
        <f t="shared" si="58"/>
        <v>4502.0352400000002</v>
      </c>
      <c r="I202" s="19"/>
      <c r="K202" s="7">
        <v>4243.6000000000004</v>
      </c>
      <c r="M202" s="7">
        <f t="shared" si="59"/>
        <v>258.43523999999979</v>
      </c>
    </row>
    <row r="203" spans="1:14" x14ac:dyDescent="0.25">
      <c r="A203" s="39" t="s">
        <v>211</v>
      </c>
      <c r="B203" s="14">
        <f>'27-28'!B203*1.03</f>
        <v>1125.50881</v>
      </c>
      <c r="C203" s="7"/>
      <c r="D203" s="7"/>
      <c r="E203" s="7"/>
      <c r="F203" s="7"/>
      <c r="G203" s="7"/>
      <c r="H203" s="7">
        <f t="shared" si="58"/>
        <v>1125.50881</v>
      </c>
      <c r="I203" s="19"/>
      <c r="K203" s="7">
        <v>1060.9000000000001</v>
      </c>
      <c r="M203" s="7">
        <f t="shared" si="59"/>
        <v>64.608809999999949</v>
      </c>
    </row>
    <row r="204" spans="1:14" x14ac:dyDescent="0.25">
      <c r="A204" s="39" t="s">
        <v>212</v>
      </c>
      <c r="B204" s="14">
        <f>'27-28'!B204*1.03</f>
        <v>14641.744109290003</v>
      </c>
      <c r="C204" s="7"/>
      <c r="D204" s="7"/>
      <c r="E204" s="7"/>
      <c r="F204" s="7"/>
      <c r="G204" s="7"/>
      <c r="H204" s="7">
        <f t="shared" si="58"/>
        <v>14641.744109290003</v>
      </c>
      <c r="I204" s="19" t="s">
        <v>213</v>
      </c>
      <c r="K204" s="7">
        <v>13801.248100000001</v>
      </c>
      <c r="M204" s="7">
        <f t="shared" si="59"/>
        <v>840.49600929000189</v>
      </c>
    </row>
    <row r="205" spans="1:14" x14ac:dyDescent="0.25">
      <c r="A205" s="39" t="s">
        <v>214</v>
      </c>
      <c r="B205" s="14">
        <f>17000+3000</f>
        <v>20000</v>
      </c>
      <c r="C205" s="7"/>
      <c r="D205" s="7"/>
      <c r="E205" s="7"/>
      <c r="F205" s="7"/>
      <c r="G205" s="7"/>
      <c r="H205" s="7">
        <f t="shared" si="58"/>
        <v>20000</v>
      </c>
      <c r="I205" s="19"/>
      <c r="K205" s="7">
        <v>20000</v>
      </c>
      <c r="M205" s="7">
        <f t="shared" si="59"/>
        <v>0</v>
      </c>
    </row>
    <row r="206" spans="1:14" x14ac:dyDescent="0.25">
      <c r="A206" s="39" t="s">
        <v>215</v>
      </c>
      <c r="B206" s="7">
        <v>0</v>
      </c>
      <c r="C206" s="7"/>
      <c r="D206" s="7"/>
      <c r="E206" s="7"/>
      <c r="F206" s="7"/>
      <c r="G206" s="7"/>
      <c r="H206" s="7">
        <f t="shared" si="58"/>
        <v>0</v>
      </c>
      <c r="I206" s="19"/>
      <c r="K206" s="7">
        <v>0</v>
      </c>
      <c r="M206" s="7">
        <f t="shared" si="59"/>
        <v>0</v>
      </c>
    </row>
    <row r="207" spans="1:14" x14ac:dyDescent="0.25">
      <c r="A207" s="39" t="s">
        <v>216</v>
      </c>
      <c r="B207" s="7">
        <v>0</v>
      </c>
      <c r="C207" s="7"/>
      <c r="D207" s="7"/>
      <c r="E207" s="7"/>
      <c r="F207" s="7"/>
      <c r="G207" s="7"/>
      <c r="H207" s="7">
        <f t="shared" si="58"/>
        <v>0</v>
      </c>
      <c r="I207" s="19"/>
      <c r="K207" s="7">
        <v>0</v>
      </c>
      <c r="M207" s="7">
        <f t="shared" si="59"/>
        <v>0</v>
      </c>
    </row>
    <row r="208" spans="1:14" x14ac:dyDescent="0.25">
      <c r="A208" s="95" t="s">
        <v>217</v>
      </c>
      <c r="B208" s="7">
        <f>4696+590+714</f>
        <v>6000</v>
      </c>
      <c r="C208" s="7"/>
      <c r="D208" s="7"/>
      <c r="E208" s="7"/>
      <c r="F208" s="7"/>
      <c r="G208" s="7"/>
      <c r="H208" s="7">
        <f t="shared" si="58"/>
        <v>6000</v>
      </c>
      <c r="I208" s="19"/>
      <c r="K208" s="7">
        <v>6000</v>
      </c>
      <c r="M208" s="7">
        <f t="shared" si="59"/>
        <v>0</v>
      </c>
    </row>
    <row r="209" spans="1:14" x14ac:dyDescent="0.25">
      <c r="A209" s="82" t="s">
        <v>218</v>
      </c>
      <c r="B209" s="83">
        <f t="shared" ref="B209:H209" si="60">SUM(B199:B208)</f>
        <v>110423.29032929</v>
      </c>
      <c r="C209" s="83">
        <f t="shared" si="60"/>
        <v>0</v>
      </c>
      <c r="D209" s="83">
        <f t="shared" si="60"/>
        <v>0</v>
      </c>
      <c r="E209" s="83">
        <f t="shared" si="60"/>
        <v>0</v>
      </c>
      <c r="F209" s="83">
        <f t="shared" si="60"/>
        <v>0</v>
      </c>
      <c r="G209" s="83">
        <f t="shared" si="60"/>
        <v>0</v>
      </c>
      <c r="H209" s="83">
        <f t="shared" si="60"/>
        <v>110423.29032929</v>
      </c>
      <c r="I209" s="10"/>
      <c r="J209" s="10"/>
      <c r="K209" s="83">
        <v>105577.0481</v>
      </c>
      <c r="L209" s="10"/>
      <c r="M209" s="83">
        <f t="shared" ref="M209" si="61">SUM(M199:M208)</f>
        <v>4846.2422292899992</v>
      </c>
      <c r="N209" s="10"/>
    </row>
    <row r="210" spans="1:14" x14ac:dyDescent="0.25">
      <c r="A210" s="104"/>
      <c r="B210" s="7"/>
      <c r="C210" s="7"/>
      <c r="D210" s="7"/>
      <c r="E210" s="7"/>
      <c r="F210" s="7"/>
      <c r="G210" s="7"/>
      <c r="H210" s="7"/>
      <c r="I210" s="10"/>
      <c r="J210" s="10"/>
      <c r="K210" s="7"/>
      <c r="L210" s="10"/>
      <c r="M210" s="7"/>
      <c r="N210" s="10"/>
    </row>
    <row r="211" spans="1:14" x14ac:dyDescent="0.25">
      <c r="A211" s="82" t="s">
        <v>219</v>
      </c>
      <c r="B211" s="83">
        <f>B142+B154+B170+B197+B209</f>
        <v>2031406.6829247477</v>
      </c>
      <c r="C211" s="83">
        <f t="shared" ref="C211:H211" si="62">C142+C154+C170+C197+C209</f>
        <v>180614.72972972973</v>
      </c>
      <c r="D211" s="83">
        <f t="shared" si="62"/>
        <v>278786</v>
      </c>
      <c r="E211" s="83">
        <f t="shared" si="62"/>
        <v>0</v>
      </c>
      <c r="F211" s="83">
        <f t="shared" si="62"/>
        <v>96714.843096311946</v>
      </c>
      <c r="G211" s="83">
        <f t="shared" si="62"/>
        <v>16520.96</v>
      </c>
      <c r="H211" s="83">
        <f t="shared" si="62"/>
        <v>2604043.2157507897</v>
      </c>
      <c r="I211" s="10"/>
      <c r="J211" s="10"/>
      <c r="K211" s="83">
        <v>2454930.8637712495</v>
      </c>
      <c r="L211" s="10"/>
      <c r="M211" s="83">
        <f t="shared" ref="M211" si="63">M142+M154+M170+M197+M209</f>
        <v>149112.35197953947</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220</v>
      </c>
      <c r="B213" s="12">
        <f>605*B17</f>
        <v>117975</v>
      </c>
      <c r="C213" s="12"/>
      <c r="D213" s="12"/>
      <c r="E213" s="12"/>
      <c r="F213" s="12"/>
      <c r="G213" s="12"/>
      <c r="H213" s="12">
        <f t="shared" ref="H213:H218" si="64">SUM(B213:G213)</f>
        <v>117975</v>
      </c>
      <c r="I213" s="19"/>
      <c r="K213" s="12">
        <v>82500</v>
      </c>
      <c r="M213" s="12">
        <f t="shared" si="59"/>
        <v>35475</v>
      </c>
    </row>
    <row r="214" spans="1:14" x14ac:dyDescent="0.25">
      <c r="A214" s="54" t="s">
        <v>221</v>
      </c>
      <c r="B214" s="12">
        <v>0</v>
      </c>
      <c r="C214" s="12"/>
      <c r="D214" s="12"/>
      <c r="E214" s="12"/>
      <c r="F214" s="12"/>
      <c r="G214" s="12"/>
      <c r="H214" s="12">
        <f t="shared" si="64"/>
        <v>0</v>
      </c>
      <c r="I214" s="19"/>
      <c r="K214" s="12">
        <v>0</v>
      </c>
      <c r="M214" s="12">
        <f t="shared" si="59"/>
        <v>0</v>
      </c>
    </row>
    <row r="215" spans="1:14" x14ac:dyDescent="0.25">
      <c r="A215" s="54" t="s">
        <v>222</v>
      </c>
      <c r="B215" s="12">
        <v>0</v>
      </c>
      <c r="C215" s="12"/>
      <c r="D215" s="12"/>
      <c r="E215" s="12"/>
      <c r="F215" s="12"/>
      <c r="G215" s="12"/>
      <c r="H215" s="12">
        <f t="shared" si="64"/>
        <v>0</v>
      </c>
      <c r="I215" s="19"/>
      <c r="K215" s="12">
        <v>0</v>
      </c>
      <c r="M215" s="12">
        <f t="shared" si="59"/>
        <v>0</v>
      </c>
    </row>
    <row r="216" spans="1:14" x14ac:dyDescent="0.25">
      <c r="A216" s="54" t="s">
        <v>223</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224</v>
      </c>
      <c r="B219" s="107">
        <f t="shared" ref="B219:G219" si="65">B97-B211-B213-B214-B216-B215</f>
        <v>202742.42226275825</v>
      </c>
      <c r="C219" s="107">
        <f t="shared" si="65"/>
        <v>-30991.756756756775</v>
      </c>
      <c r="D219" s="107">
        <f t="shared" si="65"/>
        <v>-46775</v>
      </c>
      <c r="E219" s="107">
        <f t="shared" si="65"/>
        <v>0</v>
      </c>
      <c r="F219" s="107">
        <f t="shared" si="65"/>
        <v>-43594.843096311946</v>
      </c>
      <c r="G219" s="107">
        <f t="shared" si="65"/>
        <v>0</v>
      </c>
      <c r="H219" s="107">
        <f>H97-H211-H213-H214-H216-H215</f>
        <v>81380.822409689426</v>
      </c>
      <c r="I219" s="10"/>
      <c r="J219" s="10"/>
      <c r="K219" s="107">
        <v>0.12452874984592199</v>
      </c>
      <c r="L219" s="10"/>
      <c r="M219" s="107">
        <f>M97-M211-M213-M214-M216-M215</f>
        <v>81380.697880940192</v>
      </c>
      <c r="N219" s="10"/>
    </row>
    <row r="220" spans="1:14" x14ac:dyDescent="0.25">
      <c r="A220" s="108"/>
      <c r="B220" s="109">
        <f t="shared" ref="B220:H220" si="66">B219/(B97)</f>
        <v>8.6195461292037603E-2</v>
      </c>
      <c r="C220" s="109">
        <f t="shared" si="66"/>
        <v>-0.20713234165153868</v>
      </c>
      <c r="D220" s="109">
        <f t="shared" si="66"/>
        <v>-0.20160682036627572</v>
      </c>
      <c r="E220" s="109" t="e">
        <f t="shared" si="66"/>
        <v>#DIV/0!</v>
      </c>
      <c r="F220" s="109">
        <f t="shared" si="66"/>
        <v>-0.82068605226490865</v>
      </c>
      <c r="G220" s="109">
        <f t="shared" si="66"/>
        <v>0</v>
      </c>
      <c r="H220" s="109">
        <f t="shared" si="66"/>
        <v>2.9029339491779771E-2</v>
      </c>
      <c r="I220" s="28"/>
      <c r="J220" s="10"/>
      <c r="K220" s="109">
        <v>4.9076704123233091E-8</v>
      </c>
      <c r="L220" s="10"/>
      <c r="M220" s="109">
        <f t="shared" si="59"/>
        <v>2.9029290415075647E-2</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FY28</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(27-28)</v>
      </c>
      <c r="I222" s="2"/>
      <c r="J222" s="2"/>
      <c r="K222" s="1" t="s">
        <v>238</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225</v>
      </c>
      <c r="B225" s="113"/>
      <c r="C225" s="113"/>
      <c r="D225" s="113"/>
      <c r="E225" s="113"/>
      <c r="F225" s="113"/>
      <c r="G225" s="113"/>
      <c r="H225" s="113">
        <f>H97-H211</f>
        <v>199355.82240968943</v>
      </c>
      <c r="K225" s="113">
        <v>82500.124528749846</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117975</v>
      </c>
      <c r="I227" s="10"/>
      <c r="J227" s="10"/>
      <c r="K227" s="115">
        <v>82500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226</v>
      </c>
      <c r="B231" s="116"/>
      <c r="C231" s="116"/>
      <c r="D231" s="116"/>
      <c r="E231" s="116"/>
      <c r="F231" s="116"/>
      <c r="G231" s="116"/>
      <c r="H231" s="116">
        <f>SUM(H227:H229)</f>
        <v>117975</v>
      </c>
      <c r="I231" s="10"/>
      <c r="J231" s="10"/>
      <c r="K231" s="116">
        <v>82500</v>
      </c>
      <c r="L231" s="10"/>
      <c r="N231" s="10"/>
    </row>
    <row r="232" spans="1:14" x14ac:dyDescent="0.25">
      <c r="A232" s="117" t="s">
        <v>227</v>
      </c>
      <c r="B232" s="118"/>
      <c r="C232" s="118"/>
      <c r="D232" s="118"/>
      <c r="E232" s="118"/>
      <c r="F232" s="118"/>
      <c r="G232" s="118"/>
      <c r="H232" s="118">
        <f>H225/H231</f>
        <v>1.6898141335849919</v>
      </c>
      <c r="I232" s="119"/>
      <c r="J232" s="119"/>
      <c r="K232" s="118">
        <v>1.0000015094393921</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228</v>
      </c>
      <c r="B234" s="121"/>
      <c r="C234" s="121"/>
      <c r="D234" s="121"/>
      <c r="E234" s="121"/>
      <c r="F234" s="121"/>
      <c r="G234" s="121"/>
      <c r="H234" s="121"/>
      <c r="I234" s="10"/>
      <c r="J234" s="10"/>
      <c r="K234" s="121"/>
      <c r="L234" s="10"/>
      <c r="N234" s="10"/>
    </row>
    <row r="235" spans="1:14" x14ac:dyDescent="0.25">
      <c r="A235" t="s">
        <v>229</v>
      </c>
      <c r="B235" s="122"/>
      <c r="C235" s="122"/>
      <c r="D235" s="122"/>
      <c r="E235" s="122"/>
      <c r="F235" s="122"/>
      <c r="G235" s="122"/>
      <c r="H235" s="123"/>
      <c r="I235" s="10"/>
      <c r="J235" s="10"/>
      <c r="K235" s="123"/>
      <c r="L235" s="10"/>
      <c r="N235" s="10"/>
    </row>
    <row r="236" spans="1:14" x14ac:dyDescent="0.25">
      <c r="A236" s="10" t="s">
        <v>230</v>
      </c>
      <c r="B236" s="122"/>
      <c r="C236" s="122"/>
      <c r="D236" s="122"/>
      <c r="E236" s="122"/>
      <c r="F236" s="122"/>
      <c r="G236" s="122"/>
      <c r="H236" s="122"/>
      <c r="I236" s="10"/>
      <c r="J236" s="10"/>
      <c r="K236" s="122"/>
      <c r="L236" s="10"/>
      <c r="N236" s="10"/>
    </row>
    <row r="237" spans="1:14" x14ac:dyDescent="0.25">
      <c r="A237" s="10" t="s">
        <v>231</v>
      </c>
      <c r="B237" s="122"/>
      <c r="C237" s="122"/>
      <c r="D237" s="122"/>
      <c r="E237" s="122"/>
      <c r="F237" s="122"/>
      <c r="G237" s="122"/>
      <c r="H237" s="122"/>
      <c r="I237" s="119"/>
      <c r="J237" s="119"/>
      <c r="K237" s="122"/>
      <c r="L237" s="119"/>
      <c r="N237" s="119"/>
    </row>
    <row r="238" spans="1:14" x14ac:dyDescent="0.25">
      <c r="A238" s="124" t="s">
        <v>232</v>
      </c>
      <c r="B238" s="125"/>
      <c r="C238" s="125"/>
      <c r="D238" s="125"/>
      <c r="E238" s="125"/>
      <c r="F238" s="125"/>
      <c r="G238" s="125"/>
      <c r="H238" s="125">
        <f>SUM(H235:H237)</f>
        <v>0</v>
      </c>
      <c r="I238" s="10"/>
      <c r="J238" s="10"/>
      <c r="K238" s="125">
        <v>0</v>
      </c>
      <c r="L238" s="10"/>
      <c r="N238" s="10"/>
    </row>
    <row r="239" spans="1:14" x14ac:dyDescent="0.25">
      <c r="A239" s="126" t="s">
        <v>233</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BEFD-7DA2-4E43-B3BB-9DB8E89F705E}">
  <sheetPr>
    <tabColor rgb="FFFFFF00"/>
    <pageSetUpPr fitToPage="1"/>
  </sheetPr>
  <dimension ref="A1:L262"/>
  <sheetViews>
    <sheetView tabSelected="1" zoomScale="85" zoomScaleNormal="85" workbookViewId="0">
      <selection sqref="A1:E17"/>
    </sheetView>
  </sheetViews>
  <sheetFormatPr defaultColWidth="8.7109375" defaultRowHeight="15" x14ac:dyDescent="0.25"/>
  <cols>
    <col min="1" max="1" width="56.5703125" style="10" customWidth="1"/>
    <col min="2" max="6" width="15.7109375" style="111" customWidth="1"/>
    <col min="7" max="16384" width="8.7109375" style="10"/>
  </cols>
  <sheetData>
    <row r="1" spans="1:11" s="5" customFormat="1" x14ac:dyDescent="0.25">
      <c r="A1" s="1" t="s">
        <v>241</v>
      </c>
      <c r="B1" s="1" t="s">
        <v>242</v>
      </c>
      <c r="C1" s="1" t="s">
        <v>243</v>
      </c>
      <c r="D1" s="1" t="s">
        <v>244</v>
      </c>
      <c r="E1" s="1" t="s">
        <v>245</v>
      </c>
      <c r="F1" s="1" t="s">
        <v>246</v>
      </c>
    </row>
    <row r="2" spans="1:11" x14ac:dyDescent="0.25">
      <c r="A2" s="6" t="s">
        <v>13</v>
      </c>
      <c r="B2" s="7">
        <f>'24-25'!H2</f>
        <v>9414</v>
      </c>
      <c r="C2" s="7">
        <f>'25-26'!H2</f>
        <v>9696.42</v>
      </c>
      <c r="D2" s="7">
        <f>'26-27'!H2</f>
        <v>9841.8662999999997</v>
      </c>
      <c r="E2" s="7">
        <f>'27-28'!H2</f>
        <v>9989.4942944999984</v>
      </c>
      <c r="F2" s="7">
        <f>'28-29'!H2</f>
        <v>10139.336708917497</v>
      </c>
      <c r="H2" s="135">
        <f>(C2-B2)/B2</f>
        <v>3.0000000000000009E-2</v>
      </c>
      <c r="I2" s="135">
        <f t="shared" ref="I2:K2" si="0">(D2-C2)/C2</f>
        <v>1.499999999999996E-2</v>
      </c>
      <c r="J2" s="135">
        <f t="shared" si="0"/>
        <v>1.4999999999999873E-2</v>
      </c>
      <c r="K2" s="135">
        <f t="shared" si="0"/>
        <v>1.4999999999999875E-2</v>
      </c>
    </row>
    <row r="3" spans="1:11" x14ac:dyDescent="0.25">
      <c r="A3" s="11" t="s">
        <v>14</v>
      </c>
      <c r="B3" s="12">
        <f t="shared" ref="B3:F3" si="1">B4+B5+B6+B7+B8+B9+B10+B11+B12+B13+B14+B15+B16</f>
        <v>111</v>
      </c>
      <c r="C3" s="12">
        <f t="shared" si="1"/>
        <v>150</v>
      </c>
      <c r="D3" s="12">
        <f t="shared" si="1"/>
        <v>165</v>
      </c>
      <c r="E3" s="12">
        <f t="shared" si="1"/>
        <v>180</v>
      </c>
      <c r="F3" s="12">
        <f t="shared" si="1"/>
        <v>195</v>
      </c>
    </row>
    <row r="4" spans="1:11" x14ac:dyDescent="0.25">
      <c r="A4" s="13" t="s">
        <v>15</v>
      </c>
      <c r="B4" s="7">
        <f>'24-25'!H4</f>
        <v>0</v>
      </c>
      <c r="C4" s="7">
        <f>'25-26'!H4</f>
        <v>0</v>
      </c>
      <c r="D4" s="7">
        <f>'26-27'!H4</f>
        <v>0</v>
      </c>
      <c r="E4" s="7">
        <f>'27-28'!H4</f>
        <v>0</v>
      </c>
      <c r="F4" s="7">
        <f>'28-29'!H4</f>
        <v>0</v>
      </c>
    </row>
    <row r="5" spans="1:11" x14ac:dyDescent="0.25">
      <c r="A5" s="11" t="s">
        <v>16</v>
      </c>
      <c r="B5" s="7">
        <f>'24-25'!H5</f>
        <v>0</v>
      </c>
      <c r="C5" s="7">
        <f>'25-26'!H5</f>
        <v>0</v>
      </c>
      <c r="D5" s="7">
        <f>'26-27'!H5</f>
        <v>0</v>
      </c>
      <c r="E5" s="7">
        <f>'27-28'!H5</f>
        <v>0</v>
      </c>
      <c r="F5" s="7">
        <f>'28-29'!H5</f>
        <v>0</v>
      </c>
    </row>
    <row r="6" spans="1:11" x14ac:dyDescent="0.25">
      <c r="A6" s="11" t="s">
        <v>17</v>
      </c>
      <c r="B6" s="7">
        <f>'24-25'!H6</f>
        <v>0</v>
      </c>
      <c r="C6" s="7">
        <f>'25-26'!H6</f>
        <v>0</v>
      </c>
      <c r="D6" s="7">
        <f>'26-27'!H6</f>
        <v>0</v>
      </c>
      <c r="E6" s="7">
        <f>'27-28'!H6</f>
        <v>0</v>
      </c>
      <c r="F6" s="7">
        <f>'28-29'!H6</f>
        <v>0</v>
      </c>
    </row>
    <row r="7" spans="1:11" x14ac:dyDescent="0.25">
      <c r="A7" s="17" t="s">
        <v>18</v>
      </c>
      <c r="B7" s="7">
        <f>'24-25'!H7</f>
        <v>0</v>
      </c>
      <c r="C7" s="7">
        <f>'25-26'!H7</f>
        <v>0</v>
      </c>
      <c r="D7" s="7">
        <f>'26-27'!H7</f>
        <v>0</v>
      </c>
      <c r="E7" s="7">
        <f>'27-28'!H7</f>
        <v>0</v>
      </c>
      <c r="F7" s="7">
        <f>'28-29'!H7</f>
        <v>0</v>
      </c>
    </row>
    <row r="8" spans="1:11" x14ac:dyDescent="0.25">
      <c r="A8" s="17" t="s">
        <v>19</v>
      </c>
      <c r="B8" s="7">
        <f>'24-25'!H8</f>
        <v>0</v>
      </c>
      <c r="C8" s="7">
        <f>'25-26'!H8</f>
        <v>0</v>
      </c>
      <c r="D8" s="7">
        <f>'26-27'!H8</f>
        <v>0</v>
      </c>
      <c r="E8" s="7">
        <f>'27-28'!H8</f>
        <v>0</v>
      </c>
      <c r="F8" s="7">
        <f>'28-29'!H8</f>
        <v>0</v>
      </c>
    </row>
    <row r="9" spans="1:11" x14ac:dyDescent="0.25">
      <c r="A9" s="17" t="s">
        <v>20</v>
      </c>
      <c r="B9" s="7">
        <f>'24-25'!H9</f>
        <v>0</v>
      </c>
      <c r="C9" s="7">
        <f>'25-26'!H9</f>
        <v>0</v>
      </c>
      <c r="D9" s="7">
        <f>'26-27'!H9</f>
        <v>0</v>
      </c>
      <c r="E9" s="7">
        <f>'27-28'!H9</f>
        <v>0</v>
      </c>
      <c r="F9" s="7">
        <f>'28-29'!H9</f>
        <v>0</v>
      </c>
    </row>
    <row r="10" spans="1:11" x14ac:dyDescent="0.25">
      <c r="A10" s="17" t="s">
        <v>21</v>
      </c>
      <c r="B10" s="7">
        <f>'24-25'!H10</f>
        <v>35</v>
      </c>
      <c r="C10" s="7">
        <f>'25-26'!H10</f>
        <v>35</v>
      </c>
      <c r="D10" s="7">
        <f>'26-27'!H10</f>
        <v>35</v>
      </c>
      <c r="E10" s="7">
        <f>'27-28'!H10</f>
        <v>35</v>
      </c>
      <c r="F10" s="7">
        <f>'28-29'!H10</f>
        <v>35</v>
      </c>
    </row>
    <row r="11" spans="1:11" x14ac:dyDescent="0.25">
      <c r="A11" s="17" t="s">
        <v>22</v>
      </c>
      <c r="B11" s="7">
        <f>'24-25'!H11</f>
        <v>29</v>
      </c>
      <c r="C11" s="7">
        <f>'25-26'!H11</f>
        <v>35</v>
      </c>
      <c r="D11" s="7">
        <f>'26-27'!H11</f>
        <v>35</v>
      </c>
      <c r="E11" s="7">
        <f>'27-28'!H11</f>
        <v>35</v>
      </c>
      <c r="F11" s="7">
        <f>'28-29'!H11</f>
        <v>35</v>
      </c>
    </row>
    <row r="12" spans="1:11" x14ac:dyDescent="0.25">
      <c r="A12" s="17" t="s">
        <v>23</v>
      </c>
      <c r="B12" s="7">
        <f>'24-25'!H12</f>
        <v>29</v>
      </c>
      <c r="C12" s="7">
        <f>'25-26'!H12</f>
        <v>29</v>
      </c>
      <c r="D12" s="7">
        <f>'26-27'!H12</f>
        <v>30</v>
      </c>
      <c r="E12" s="7">
        <f>'27-28'!H12</f>
        <v>35</v>
      </c>
      <c r="F12" s="7">
        <f>'28-29'!H12</f>
        <v>35</v>
      </c>
    </row>
    <row r="13" spans="1:11" x14ac:dyDescent="0.25">
      <c r="A13" s="17" t="s">
        <v>24</v>
      </c>
      <c r="B13" s="7">
        <f>'24-25'!H13</f>
        <v>18</v>
      </c>
      <c r="C13" s="7">
        <f>'25-26'!H13</f>
        <v>29</v>
      </c>
      <c r="D13" s="7">
        <f>'26-27'!H13</f>
        <v>29</v>
      </c>
      <c r="E13" s="7">
        <f>'27-28'!H13</f>
        <v>30</v>
      </c>
      <c r="F13" s="7">
        <f>'28-29'!H13</f>
        <v>30</v>
      </c>
    </row>
    <row r="14" spans="1:11" x14ac:dyDescent="0.25">
      <c r="A14" s="17" t="s">
        <v>25</v>
      </c>
      <c r="B14" s="7">
        <f>'24-25'!H14</f>
        <v>0</v>
      </c>
      <c r="C14" s="7">
        <f>'25-26'!H14</f>
        <v>22</v>
      </c>
      <c r="D14" s="7">
        <f>'26-27'!H14</f>
        <v>18</v>
      </c>
      <c r="E14" s="7">
        <f>'27-28'!H14</f>
        <v>15</v>
      </c>
      <c r="F14" s="7">
        <f>'28-29'!H14</f>
        <v>25</v>
      </c>
    </row>
    <row r="15" spans="1:11" x14ac:dyDescent="0.25">
      <c r="A15" s="17" t="s">
        <v>26</v>
      </c>
      <c r="B15" s="7">
        <f>'24-25'!H15</f>
        <v>0</v>
      </c>
      <c r="C15" s="7">
        <f>'25-26'!H15</f>
        <v>0</v>
      </c>
      <c r="D15" s="7">
        <f>'26-27'!H15</f>
        <v>18</v>
      </c>
      <c r="E15" s="7">
        <f>'27-28'!H15</f>
        <v>15</v>
      </c>
      <c r="F15" s="7">
        <f>'28-29'!H15</f>
        <v>20</v>
      </c>
    </row>
    <row r="16" spans="1:11" x14ac:dyDescent="0.25">
      <c r="A16" s="17" t="s">
        <v>27</v>
      </c>
      <c r="B16" s="7">
        <f>'24-25'!H16</f>
        <v>0</v>
      </c>
      <c r="C16" s="7">
        <f>'25-26'!H16</f>
        <v>0</v>
      </c>
      <c r="D16" s="7">
        <f>'26-27'!H16</f>
        <v>0</v>
      </c>
      <c r="E16" s="7">
        <f>'27-28'!H16</f>
        <v>15</v>
      </c>
      <c r="F16" s="7">
        <f>'28-29'!H16</f>
        <v>15</v>
      </c>
    </row>
    <row r="17" spans="1:6" x14ac:dyDescent="0.25">
      <c r="A17" s="20" t="s">
        <v>14</v>
      </c>
      <c r="B17" s="12">
        <f t="shared" ref="B17:F17" si="2">SUM(B4:B16)</f>
        <v>111</v>
      </c>
      <c r="C17" s="12">
        <f t="shared" si="2"/>
        <v>150</v>
      </c>
      <c r="D17" s="12">
        <f t="shared" si="2"/>
        <v>165</v>
      </c>
      <c r="E17" s="12">
        <f t="shared" si="2"/>
        <v>180</v>
      </c>
      <c r="F17" s="12">
        <f t="shared" si="2"/>
        <v>195</v>
      </c>
    </row>
    <row r="18" spans="1:6" x14ac:dyDescent="0.25">
      <c r="A18" s="17"/>
      <c r="B18" s="7"/>
      <c r="C18" s="7"/>
      <c r="D18" s="7"/>
      <c r="E18" s="7"/>
      <c r="F18" s="7"/>
    </row>
    <row r="19" spans="1:6" x14ac:dyDescent="0.25">
      <c r="A19" s="23" t="s">
        <v>28</v>
      </c>
      <c r="B19" s="24" t="str">
        <f>B1</f>
        <v>24-25</v>
      </c>
      <c r="C19" s="24" t="str">
        <f t="shared" ref="C19:F19" si="3">C1</f>
        <v>25-26</v>
      </c>
      <c r="D19" s="24" t="str">
        <f t="shared" si="3"/>
        <v>26-27</v>
      </c>
      <c r="E19" s="24" t="str">
        <f t="shared" si="3"/>
        <v>27-28</v>
      </c>
      <c r="F19" s="24" t="str">
        <f t="shared" si="3"/>
        <v>28-29</v>
      </c>
    </row>
    <row r="20" spans="1:6" x14ac:dyDescent="0.25">
      <c r="A20" s="17" t="s">
        <v>29</v>
      </c>
      <c r="B20" s="7">
        <f>'24-25'!H20</f>
        <v>17</v>
      </c>
      <c r="C20" s="7">
        <f>'25-26'!H20</f>
        <v>22.972972972972972</v>
      </c>
      <c r="D20" s="7">
        <f>'26-27'!H20</f>
        <v>25.27027027027027</v>
      </c>
      <c r="E20" s="7">
        <f>'27-28'!H20</f>
        <v>27.567567567567565</v>
      </c>
      <c r="F20" s="7">
        <f>'28-29'!H20</f>
        <v>29.864864864864863</v>
      </c>
    </row>
    <row r="21" spans="1:6" x14ac:dyDescent="0.25">
      <c r="A21" s="17" t="s">
        <v>31</v>
      </c>
      <c r="B21" s="7">
        <f>'24-25'!H21</f>
        <v>23</v>
      </c>
      <c r="C21" s="7">
        <f>'25-26'!H21</f>
        <v>31.081081081081081</v>
      </c>
      <c r="D21" s="7">
        <f>'26-27'!H21</f>
        <v>34.189189189189186</v>
      </c>
      <c r="E21" s="7">
        <f>'27-28'!H21</f>
        <v>37.297297297297298</v>
      </c>
      <c r="F21" s="7">
        <f>'28-29'!H21</f>
        <v>40.405405405405403</v>
      </c>
    </row>
    <row r="22" spans="1:6" x14ac:dyDescent="0.25">
      <c r="A22" s="17" t="s">
        <v>32</v>
      </c>
      <c r="B22" s="7">
        <f>'24-25'!H22</f>
        <v>0</v>
      </c>
      <c r="C22" s="7">
        <f>'25-26'!H22</f>
        <v>0</v>
      </c>
      <c r="D22" s="7">
        <f>'26-27'!H22</f>
        <v>0</v>
      </c>
      <c r="E22" s="7">
        <f>'27-28'!H22</f>
        <v>0</v>
      </c>
      <c r="F22" s="7">
        <f>'28-29'!H22</f>
        <v>0</v>
      </c>
    </row>
    <row r="23" spans="1:6" x14ac:dyDescent="0.25">
      <c r="A23" s="17" t="s">
        <v>33</v>
      </c>
      <c r="B23" s="131">
        <f>'24-25'!H23</f>
        <v>1</v>
      </c>
      <c r="C23" s="131">
        <f>'25-26'!H23</f>
        <v>1</v>
      </c>
      <c r="D23" s="131">
        <f>'26-27'!H23</f>
        <v>1</v>
      </c>
      <c r="E23" s="131">
        <f>'27-28'!H23</f>
        <v>1</v>
      </c>
      <c r="F23" s="131">
        <f>'28-29'!H23</f>
        <v>1</v>
      </c>
    </row>
    <row r="24" spans="1:6" x14ac:dyDescent="0.25">
      <c r="A24" s="17" t="s">
        <v>34</v>
      </c>
      <c r="B24" s="7">
        <f>'24-25'!H24</f>
        <v>38</v>
      </c>
      <c r="C24" s="7">
        <f>'25-26'!H24</f>
        <v>38</v>
      </c>
      <c r="D24" s="7">
        <f>'26-27'!H24</f>
        <v>38</v>
      </c>
      <c r="E24" s="7">
        <f>'27-28'!H24</f>
        <v>38</v>
      </c>
      <c r="F24" s="7">
        <f>'28-29'!H24</f>
        <v>38</v>
      </c>
    </row>
    <row r="25" spans="1:6" x14ac:dyDescent="0.25">
      <c r="A25" s="17"/>
      <c r="B25" s="7"/>
      <c r="C25" s="7"/>
      <c r="D25" s="7"/>
      <c r="E25" s="7"/>
      <c r="F25" s="7"/>
    </row>
    <row r="26" spans="1:6" x14ac:dyDescent="0.25">
      <c r="A26" s="32" t="s">
        <v>35</v>
      </c>
      <c r="B26" s="24" t="str">
        <f>B1</f>
        <v>24-25</v>
      </c>
      <c r="C26" s="24" t="str">
        <f t="shared" ref="C26:F26" si="4">C1</f>
        <v>25-26</v>
      </c>
      <c r="D26" s="24" t="str">
        <f t="shared" si="4"/>
        <v>26-27</v>
      </c>
      <c r="E26" s="24" t="str">
        <f t="shared" si="4"/>
        <v>27-28</v>
      </c>
      <c r="F26" s="24" t="str">
        <f t="shared" si="4"/>
        <v>28-29</v>
      </c>
    </row>
    <row r="27" spans="1:6" x14ac:dyDescent="0.25">
      <c r="A27" s="33" t="s">
        <v>36</v>
      </c>
      <c r="B27" s="34">
        <f>'24-25'!H27</f>
        <v>4</v>
      </c>
      <c r="C27" s="34">
        <f>'25-26'!H27</f>
        <v>5</v>
      </c>
      <c r="D27" s="34">
        <f>'26-27'!H27</f>
        <v>6</v>
      </c>
      <c r="E27" s="34">
        <f>'27-28'!H27</f>
        <v>7</v>
      </c>
      <c r="F27" s="34">
        <f>'28-29'!H27</f>
        <v>7</v>
      </c>
    </row>
    <row r="28" spans="1:6" x14ac:dyDescent="0.25">
      <c r="A28" s="33" t="s">
        <v>37</v>
      </c>
      <c r="B28" s="34">
        <f>'24-25'!H28</f>
        <v>1</v>
      </c>
      <c r="C28" s="34">
        <f>'25-26'!H28</f>
        <v>1</v>
      </c>
      <c r="D28" s="34">
        <f>'26-27'!H28</f>
        <v>1</v>
      </c>
      <c r="E28" s="34">
        <f>'27-28'!H28</f>
        <v>1</v>
      </c>
      <c r="F28" s="34">
        <f>'28-29'!H28</f>
        <v>1</v>
      </c>
    </row>
    <row r="29" spans="1:6" x14ac:dyDescent="0.25">
      <c r="A29" s="33" t="s">
        <v>38</v>
      </c>
      <c r="B29" s="34">
        <f>'24-25'!H29</f>
        <v>0</v>
      </c>
      <c r="C29" s="34">
        <f>'25-26'!H29</f>
        <v>0</v>
      </c>
      <c r="D29" s="34">
        <f>'26-27'!H29</f>
        <v>0</v>
      </c>
      <c r="E29" s="34">
        <f>'27-28'!H29</f>
        <v>0</v>
      </c>
      <c r="F29" s="34">
        <f>'28-29'!H29</f>
        <v>0</v>
      </c>
    </row>
    <row r="30" spans="1:6" x14ac:dyDescent="0.25">
      <c r="A30" s="33" t="s">
        <v>39</v>
      </c>
      <c r="B30" s="34">
        <f>'24-25'!H30</f>
        <v>0</v>
      </c>
      <c r="C30" s="34">
        <f>'25-26'!H30</f>
        <v>0</v>
      </c>
      <c r="D30" s="34">
        <f>'26-27'!H30</f>
        <v>0</v>
      </c>
      <c r="E30" s="34">
        <f>'27-28'!H30</f>
        <v>0</v>
      </c>
      <c r="F30" s="34">
        <f>'28-29'!H30</f>
        <v>0</v>
      </c>
    </row>
    <row r="31" spans="1:6" x14ac:dyDescent="0.25">
      <c r="A31" s="33" t="s">
        <v>40</v>
      </c>
      <c r="B31" s="34">
        <f>'24-25'!H31</f>
        <v>0</v>
      </c>
      <c r="C31" s="34">
        <f>'25-26'!H31</f>
        <v>0</v>
      </c>
      <c r="D31" s="34">
        <f>'26-27'!H31</f>
        <v>0</v>
      </c>
      <c r="E31" s="34">
        <f>'27-28'!H31</f>
        <v>0</v>
      </c>
      <c r="F31" s="34">
        <f>'28-29'!H31</f>
        <v>0</v>
      </c>
    </row>
    <row r="32" spans="1:6" x14ac:dyDescent="0.25">
      <c r="A32" s="38" t="s">
        <v>41</v>
      </c>
      <c r="B32" s="34">
        <f>'24-25'!H32</f>
        <v>0</v>
      </c>
      <c r="C32" s="34">
        <f>'25-26'!H32</f>
        <v>0</v>
      </c>
      <c r="D32" s="34">
        <f>'26-27'!H32</f>
        <v>0</v>
      </c>
      <c r="E32" s="34">
        <f>'27-28'!H32</f>
        <v>0</v>
      </c>
      <c r="F32" s="34">
        <f>'28-29'!H32</f>
        <v>0</v>
      </c>
    </row>
    <row r="33" spans="1:6" x14ac:dyDescent="0.25">
      <c r="A33" s="38" t="s">
        <v>42</v>
      </c>
      <c r="B33" s="34">
        <f>'24-25'!H33</f>
        <v>0</v>
      </c>
      <c r="C33" s="34">
        <f>'25-26'!H33</f>
        <v>0</v>
      </c>
      <c r="D33" s="34">
        <f>'26-27'!H33</f>
        <v>0</v>
      </c>
      <c r="E33" s="34">
        <f>'27-28'!H33</f>
        <v>0</v>
      </c>
      <c r="F33" s="34">
        <f>'28-29'!H33</f>
        <v>0</v>
      </c>
    </row>
    <row r="34" spans="1:6" x14ac:dyDescent="0.25">
      <c r="A34" s="38" t="s">
        <v>43</v>
      </c>
      <c r="B34" s="34">
        <f>'24-25'!H34</f>
        <v>4</v>
      </c>
      <c r="C34" s="34">
        <f>'25-26'!H34</f>
        <v>3</v>
      </c>
      <c r="D34" s="34">
        <f>'26-27'!H34</f>
        <v>2</v>
      </c>
      <c r="E34" s="34">
        <f>'27-28'!H34</f>
        <v>1</v>
      </c>
      <c r="F34" s="34">
        <f>'28-29'!H34</f>
        <v>1</v>
      </c>
    </row>
    <row r="35" spans="1:6" x14ac:dyDescent="0.25">
      <c r="A35" s="39" t="s">
        <v>44</v>
      </c>
      <c r="B35" s="34">
        <f>'24-25'!H35</f>
        <v>0</v>
      </c>
      <c r="C35" s="34">
        <f>'25-26'!H35</f>
        <v>0</v>
      </c>
      <c r="D35" s="34">
        <f>'26-27'!H35</f>
        <v>0</v>
      </c>
      <c r="E35" s="34">
        <f>'27-28'!H35</f>
        <v>0</v>
      </c>
      <c r="F35" s="34">
        <f>'28-29'!H35</f>
        <v>0</v>
      </c>
    </row>
    <row r="36" spans="1:6" x14ac:dyDescent="0.25">
      <c r="A36" s="32" t="s">
        <v>45</v>
      </c>
      <c r="B36" s="40">
        <f>SUM(B27:B35)</f>
        <v>9</v>
      </c>
      <c r="C36" s="40">
        <f t="shared" ref="C36:F36" si="5">SUM(C27:C35)</f>
        <v>9</v>
      </c>
      <c r="D36" s="40">
        <f t="shared" si="5"/>
        <v>9</v>
      </c>
      <c r="E36" s="40">
        <f t="shared" si="5"/>
        <v>9</v>
      </c>
      <c r="F36" s="40">
        <f t="shared" si="5"/>
        <v>9</v>
      </c>
    </row>
    <row r="37" spans="1:6" x14ac:dyDescent="0.25">
      <c r="A37" s="41"/>
      <c r="B37" s="7"/>
      <c r="C37" s="7"/>
      <c r="D37" s="7"/>
      <c r="E37" s="7"/>
      <c r="F37" s="7"/>
    </row>
    <row r="38" spans="1:6" x14ac:dyDescent="0.25">
      <c r="A38" s="32" t="s">
        <v>46</v>
      </c>
      <c r="B38" s="24" t="str">
        <f>B1</f>
        <v>24-25</v>
      </c>
      <c r="C38" s="24" t="str">
        <f t="shared" ref="C38:F38" si="6">C1</f>
        <v>25-26</v>
      </c>
      <c r="D38" s="24" t="str">
        <f t="shared" si="6"/>
        <v>26-27</v>
      </c>
      <c r="E38" s="24" t="str">
        <f t="shared" si="6"/>
        <v>27-28</v>
      </c>
      <c r="F38" s="24" t="str">
        <f t="shared" si="6"/>
        <v>28-29</v>
      </c>
    </row>
    <row r="39" spans="1:6" x14ac:dyDescent="0.25">
      <c r="A39" s="33" t="s">
        <v>47</v>
      </c>
      <c r="B39" s="34">
        <f>'24-25'!H39</f>
        <v>1</v>
      </c>
      <c r="C39" s="34">
        <f>'25-26'!H39</f>
        <v>1</v>
      </c>
      <c r="D39" s="34">
        <f>'26-27'!H39</f>
        <v>1</v>
      </c>
      <c r="E39" s="34">
        <f>'27-28'!H39</f>
        <v>1</v>
      </c>
      <c r="F39" s="34">
        <f>'28-29'!H39</f>
        <v>1</v>
      </c>
    </row>
    <row r="40" spans="1:6" x14ac:dyDescent="0.25">
      <c r="A40" s="33" t="s">
        <v>48</v>
      </c>
      <c r="B40" s="34">
        <f>'24-25'!H40</f>
        <v>1</v>
      </c>
      <c r="C40" s="34">
        <f>'25-26'!H40</f>
        <v>1</v>
      </c>
      <c r="D40" s="34">
        <f>'26-27'!H40</f>
        <v>1</v>
      </c>
      <c r="E40" s="34">
        <f>'27-28'!H40</f>
        <v>1</v>
      </c>
      <c r="F40" s="34">
        <f>'28-29'!H40</f>
        <v>1</v>
      </c>
    </row>
    <row r="41" spans="1:6" x14ac:dyDescent="0.25">
      <c r="A41" s="39" t="s">
        <v>49</v>
      </c>
      <c r="B41" s="34">
        <f>'24-25'!H41</f>
        <v>1</v>
      </c>
      <c r="C41" s="34">
        <f>'25-26'!H41</f>
        <v>1</v>
      </c>
      <c r="D41" s="34">
        <f>'26-27'!H41</f>
        <v>1</v>
      </c>
      <c r="E41" s="34">
        <f>'27-28'!H41</f>
        <v>1</v>
      </c>
      <c r="F41" s="34">
        <f>'28-29'!H41</f>
        <v>1</v>
      </c>
    </row>
    <row r="42" spans="1:6" x14ac:dyDescent="0.25">
      <c r="A42" s="42" t="s">
        <v>50</v>
      </c>
      <c r="B42" s="34">
        <f>'24-25'!H42</f>
        <v>0</v>
      </c>
      <c r="C42" s="34">
        <f>'25-26'!H42</f>
        <v>0</v>
      </c>
      <c r="D42" s="34">
        <f>'26-27'!H42</f>
        <v>0</v>
      </c>
      <c r="E42" s="34">
        <f>'27-28'!H42</f>
        <v>0</v>
      </c>
      <c r="F42" s="34">
        <f>'28-29'!H42</f>
        <v>0</v>
      </c>
    </row>
    <row r="43" spans="1:6" x14ac:dyDescent="0.25">
      <c r="A43" s="42" t="s">
        <v>51</v>
      </c>
      <c r="B43" s="34">
        <f>'24-25'!H43</f>
        <v>0</v>
      </c>
      <c r="C43" s="34">
        <f>'25-26'!H43</f>
        <v>0</v>
      </c>
      <c r="D43" s="34">
        <f>'26-27'!H43</f>
        <v>0</v>
      </c>
      <c r="E43" s="34">
        <f>'27-28'!H43</f>
        <v>0</v>
      </c>
      <c r="F43" s="34">
        <f>'28-29'!H43</f>
        <v>0</v>
      </c>
    </row>
    <row r="44" spans="1:6" x14ac:dyDescent="0.25">
      <c r="A44" s="42" t="s">
        <v>52</v>
      </c>
      <c r="B44" s="34">
        <f>'24-25'!H44</f>
        <v>1</v>
      </c>
      <c r="C44" s="34">
        <f>'25-26'!H44</f>
        <v>1</v>
      </c>
      <c r="D44" s="34">
        <f>'26-27'!H44</f>
        <v>1</v>
      </c>
      <c r="E44" s="34">
        <f>'27-28'!H44</f>
        <v>1</v>
      </c>
      <c r="F44" s="34">
        <f>'28-29'!H44</f>
        <v>1</v>
      </c>
    </row>
    <row r="45" spans="1:6" x14ac:dyDescent="0.25">
      <c r="A45" s="42" t="s">
        <v>53</v>
      </c>
      <c r="B45" s="34">
        <f>'24-25'!H45</f>
        <v>1</v>
      </c>
      <c r="C45" s="34">
        <f>'25-26'!H45</f>
        <v>0</v>
      </c>
      <c r="D45" s="34">
        <f>'26-27'!H45</f>
        <v>0</v>
      </c>
      <c r="E45" s="34">
        <f>'27-28'!H45</f>
        <v>0</v>
      </c>
      <c r="F45" s="34">
        <f>'28-29'!H45</f>
        <v>0</v>
      </c>
    </row>
    <row r="46" spans="1:6" x14ac:dyDescent="0.25">
      <c r="A46" s="33" t="s">
        <v>54</v>
      </c>
      <c r="B46" s="34">
        <f>'24-25'!H46</f>
        <v>1</v>
      </c>
      <c r="C46" s="34">
        <f>'25-26'!H46</f>
        <v>1</v>
      </c>
      <c r="D46" s="34">
        <f>'26-27'!H46</f>
        <v>1</v>
      </c>
      <c r="E46" s="34">
        <f>'27-28'!H46</f>
        <v>1</v>
      </c>
      <c r="F46" s="34">
        <f>'28-29'!H46</f>
        <v>1</v>
      </c>
    </row>
    <row r="47" spans="1:6" x14ac:dyDescent="0.25">
      <c r="A47" s="33" t="s">
        <v>55</v>
      </c>
      <c r="B47" s="34">
        <f>'24-25'!H47</f>
        <v>0</v>
      </c>
      <c r="C47" s="34">
        <f>'25-26'!H47</f>
        <v>0</v>
      </c>
      <c r="D47" s="34">
        <f>'26-27'!H47</f>
        <v>0</v>
      </c>
      <c r="E47" s="34">
        <f>'27-28'!H47</f>
        <v>0</v>
      </c>
      <c r="F47" s="34">
        <f>'28-29'!H47</f>
        <v>0</v>
      </c>
    </row>
    <row r="48" spans="1:6" x14ac:dyDescent="0.25">
      <c r="A48" s="33" t="s">
        <v>56</v>
      </c>
      <c r="B48" s="34">
        <f>'24-25'!H48</f>
        <v>0</v>
      </c>
      <c r="C48" s="34">
        <f>'25-26'!H48</f>
        <v>0</v>
      </c>
      <c r="D48" s="34">
        <f>'26-27'!H48</f>
        <v>0</v>
      </c>
      <c r="E48" s="34">
        <f>'27-28'!H48</f>
        <v>0</v>
      </c>
      <c r="F48" s="34">
        <f>'28-29'!H48</f>
        <v>0</v>
      </c>
    </row>
    <row r="49" spans="1:6" x14ac:dyDescent="0.25">
      <c r="A49" s="33" t="s">
        <v>57</v>
      </c>
      <c r="B49" s="34">
        <f>'24-25'!H49</f>
        <v>0</v>
      </c>
      <c r="C49" s="34">
        <f>'25-26'!H49</f>
        <v>0</v>
      </c>
      <c r="D49" s="34">
        <f>'26-27'!H49</f>
        <v>0</v>
      </c>
      <c r="E49" s="34">
        <f>'27-28'!H49</f>
        <v>0</v>
      </c>
      <c r="F49" s="34">
        <f>'28-29'!H49</f>
        <v>0</v>
      </c>
    </row>
    <row r="50" spans="1:6" x14ac:dyDescent="0.25">
      <c r="A50" s="33" t="s">
        <v>58</v>
      </c>
      <c r="B50" s="34">
        <f>'24-25'!H50</f>
        <v>1</v>
      </c>
      <c r="C50" s="34">
        <f>'25-26'!H50</f>
        <v>1</v>
      </c>
      <c r="D50" s="34">
        <f>'26-27'!H50</f>
        <v>1</v>
      </c>
      <c r="E50" s="34">
        <f>'27-28'!H50</f>
        <v>1</v>
      </c>
      <c r="F50" s="34">
        <f>'28-29'!H50</f>
        <v>1</v>
      </c>
    </row>
    <row r="51" spans="1:6" x14ac:dyDescent="0.25">
      <c r="A51" s="33" t="s">
        <v>59</v>
      </c>
      <c r="B51" s="34">
        <f>'24-25'!H51</f>
        <v>0</v>
      </c>
      <c r="C51" s="34">
        <f>'25-26'!H51</f>
        <v>0</v>
      </c>
      <c r="D51" s="34">
        <f>'26-27'!H51</f>
        <v>0</v>
      </c>
      <c r="E51" s="34">
        <f>'27-28'!H51</f>
        <v>0</v>
      </c>
      <c r="F51" s="34">
        <f>'28-29'!H51</f>
        <v>0</v>
      </c>
    </row>
    <row r="52" spans="1:6" x14ac:dyDescent="0.25">
      <c r="A52" s="33" t="s">
        <v>60</v>
      </c>
      <c r="B52" s="34">
        <f>'24-25'!H52</f>
        <v>1</v>
      </c>
      <c r="C52" s="34">
        <f>'25-26'!H52</f>
        <v>1</v>
      </c>
      <c r="D52" s="34">
        <f>'26-27'!H52</f>
        <v>1</v>
      </c>
      <c r="E52" s="34">
        <f>'27-28'!H52</f>
        <v>1</v>
      </c>
      <c r="F52" s="34">
        <f>'28-29'!H52</f>
        <v>1</v>
      </c>
    </row>
    <row r="53" spans="1:6" x14ac:dyDescent="0.25">
      <c r="A53" s="33" t="s">
        <v>61</v>
      </c>
      <c r="B53" s="34">
        <f>'24-25'!H53</f>
        <v>0</v>
      </c>
      <c r="C53" s="34">
        <f>'25-26'!H53</f>
        <v>0</v>
      </c>
      <c r="D53" s="34">
        <f>'26-27'!H53</f>
        <v>0</v>
      </c>
      <c r="E53" s="34">
        <f>'27-28'!H53</f>
        <v>0</v>
      </c>
      <c r="F53" s="34">
        <f>'28-29'!H53</f>
        <v>0</v>
      </c>
    </row>
    <row r="54" spans="1:6" x14ac:dyDescent="0.25">
      <c r="A54" s="39" t="s">
        <v>62</v>
      </c>
      <c r="B54" s="34">
        <f>'24-25'!H54</f>
        <v>0</v>
      </c>
      <c r="C54" s="34">
        <f>'25-26'!H54</f>
        <v>0</v>
      </c>
      <c r="D54" s="34">
        <f>'26-27'!H54</f>
        <v>0</v>
      </c>
      <c r="E54" s="34">
        <f>'27-28'!H54</f>
        <v>0</v>
      </c>
      <c r="F54" s="34">
        <f>'28-29'!H54</f>
        <v>0</v>
      </c>
    </row>
    <row r="55" spans="1:6" x14ac:dyDescent="0.25">
      <c r="A55" s="39" t="s">
        <v>63</v>
      </c>
      <c r="B55" s="34">
        <f>'24-25'!H55</f>
        <v>0</v>
      </c>
      <c r="C55" s="34">
        <f>'25-26'!H55</f>
        <v>0</v>
      </c>
      <c r="D55" s="34">
        <f>'26-27'!H55</f>
        <v>0</v>
      </c>
      <c r="E55" s="34">
        <f>'27-28'!H55</f>
        <v>0</v>
      </c>
      <c r="F55" s="34">
        <f>'28-29'!H55</f>
        <v>0</v>
      </c>
    </row>
    <row r="56" spans="1:6" x14ac:dyDescent="0.25">
      <c r="A56" s="39" t="s">
        <v>64</v>
      </c>
      <c r="B56" s="34">
        <f>'24-25'!H56</f>
        <v>0</v>
      </c>
      <c r="C56" s="34">
        <f>'25-26'!H56</f>
        <v>0</v>
      </c>
      <c r="D56" s="34">
        <f>'26-27'!H56</f>
        <v>0</v>
      </c>
      <c r="E56" s="34">
        <f>'27-28'!H56</f>
        <v>0</v>
      </c>
      <c r="F56" s="34">
        <f>'28-29'!H56</f>
        <v>0</v>
      </c>
    </row>
    <row r="57" spans="1:6" x14ac:dyDescent="0.25">
      <c r="A57" s="39" t="s">
        <v>65</v>
      </c>
      <c r="B57" s="34">
        <f>'24-25'!H57</f>
        <v>0</v>
      </c>
      <c r="C57" s="34">
        <f>'25-26'!H57</f>
        <v>0</v>
      </c>
      <c r="D57" s="34">
        <f>'26-27'!H57</f>
        <v>0</v>
      </c>
      <c r="E57" s="34">
        <f>'27-28'!H57</f>
        <v>0</v>
      </c>
      <c r="F57" s="34">
        <f>'28-29'!H57</f>
        <v>0</v>
      </c>
    </row>
    <row r="58" spans="1:6" x14ac:dyDescent="0.25">
      <c r="A58" s="39" t="s">
        <v>66</v>
      </c>
      <c r="B58" s="34">
        <f>'24-25'!H58</f>
        <v>0</v>
      </c>
      <c r="C58" s="34">
        <f>'25-26'!H58</f>
        <v>0</v>
      </c>
      <c r="D58" s="34">
        <f>'26-27'!H58</f>
        <v>0</v>
      </c>
      <c r="E58" s="34">
        <f>'27-28'!H58</f>
        <v>0</v>
      </c>
      <c r="F58" s="34">
        <f>'28-29'!H58</f>
        <v>0</v>
      </c>
    </row>
    <row r="59" spans="1:6" x14ac:dyDescent="0.25">
      <c r="A59" s="39" t="s">
        <v>67</v>
      </c>
      <c r="B59" s="34">
        <f>'24-25'!H59</f>
        <v>0</v>
      </c>
      <c r="C59" s="34">
        <f>'25-26'!H59</f>
        <v>0</v>
      </c>
      <c r="D59" s="34">
        <f>'26-27'!H59</f>
        <v>0</v>
      </c>
      <c r="E59" s="34">
        <f>'27-28'!H59</f>
        <v>0</v>
      </c>
      <c r="F59" s="34">
        <f>'28-29'!H59</f>
        <v>0</v>
      </c>
    </row>
    <row r="60" spans="1:6" x14ac:dyDescent="0.25">
      <c r="A60" s="33" t="s">
        <v>68</v>
      </c>
      <c r="B60" s="34">
        <f>'24-25'!H60</f>
        <v>0</v>
      </c>
      <c r="C60" s="34">
        <f>'25-26'!H60</f>
        <v>0</v>
      </c>
      <c r="D60" s="34">
        <f>'26-27'!H60</f>
        <v>0</v>
      </c>
      <c r="E60" s="34">
        <f>'27-28'!H60</f>
        <v>0</v>
      </c>
      <c r="F60" s="34">
        <f>'28-29'!H60</f>
        <v>0</v>
      </c>
    </row>
    <row r="61" spans="1:6" x14ac:dyDescent="0.25">
      <c r="A61" s="32" t="s">
        <v>69</v>
      </c>
      <c r="B61" s="44">
        <f>SUM(B39:B60)</f>
        <v>8</v>
      </c>
      <c r="C61" s="44">
        <f t="shared" ref="C61:F61" si="7">SUM(C39:C60)</f>
        <v>7</v>
      </c>
      <c r="D61" s="44">
        <f t="shared" si="7"/>
        <v>7</v>
      </c>
      <c r="E61" s="44">
        <f t="shared" si="7"/>
        <v>7</v>
      </c>
      <c r="F61" s="44">
        <f t="shared" si="7"/>
        <v>7</v>
      </c>
    </row>
    <row r="62" spans="1:6" ht="15.75" thickBot="1" x14ac:dyDescent="0.3">
      <c r="A62" s="45"/>
      <c r="B62" s="46"/>
      <c r="C62" s="46"/>
      <c r="D62" s="46"/>
      <c r="E62" s="46"/>
      <c r="F62" s="46"/>
    </row>
    <row r="63" spans="1:6" x14ac:dyDescent="0.25">
      <c r="A63" s="47" t="s">
        <v>70</v>
      </c>
      <c r="B63" s="48">
        <f>B36</f>
        <v>9</v>
      </c>
      <c r="C63" s="48">
        <f t="shared" ref="C63:F63" si="8">C36</f>
        <v>9</v>
      </c>
      <c r="D63" s="48">
        <f t="shared" si="8"/>
        <v>9</v>
      </c>
      <c r="E63" s="48">
        <f t="shared" si="8"/>
        <v>9</v>
      </c>
      <c r="F63" s="48">
        <f t="shared" si="8"/>
        <v>9</v>
      </c>
    </row>
    <row r="64" spans="1:6" x14ac:dyDescent="0.25">
      <c r="A64" s="49" t="s">
        <v>71</v>
      </c>
      <c r="B64" s="50">
        <f>B61</f>
        <v>8</v>
      </c>
      <c r="C64" s="50">
        <f t="shared" ref="C64:F64" si="9">C61</f>
        <v>7</v>
      </c>
      <c r="D64" s="50">
        <f t="shared" si="9"/>
        <v>7</v>
      </c>
      <c r="E64" s="50">
        <f t="shared" si="9"/>
        <v>7</v>
      </c>
      <c r="F64" s="50">
        <f t="shared" si="9"/>
        <v>7</v>
      </c>
    </row>
    <row r="65" spans="1:6" ht="15.75" thickBot="1" x14ac:dyDescent="0.3">
      <c r="A65" s="51" t="s">
        <v>72</v>
      </c>
      <c r="B65" s="52">
        <f>SUM(B63:B64)</f>
        <v>17</v>
      </c>
      <c r="C65" s="52">
        <f t="shared" ref="C65:F65" si="10">SUM(C63:C64)</f>
        <v>16</v>
      </c>
      <c r="D65" s="52">
        <f t="shared" si="10"/>
        <v>16</v>
      </c>
      <c r="E65" s="52">
        <f t="shared" si="10"/>
        <v>16</v>
      </c>
      <c r="F65" s="52">
        <f t="shared" si="10"/>
        <v>16</v>
      </c>
    </row>
    <row r="66" spans="1:6" x14ac:dyDescent="0.25">
      <c r="A66" s="39"/>
      <c r="B66" s="53"/>
      <c r="C66" s="53"/>
      <c r="D66" s="53"/>
      <c r="E66" s="53"/>
      <c r="F66" s="53"/>
    </row>
    <row r="67" spans="1:6" x14ac:dyDescent="0.25">
      <c r="A67" s="54" t="s">
        <v>73</v>
      </c>
      <c r="B67" s="56">
        <f>B142/(B211+B213+B214+B215+B216+B217)</f>
        <v>0.65549666194915179</v>
      </c>
      <c r="C67" s="56">
        <f t="shared" ref="C67:F67" si="11">C142/(C211+C213+C214+C215+C216+C217)</f>
        <v>0.62431188969388729</v>
      </c>
      <c r="D67" s="56">
        <f t="shared" si="11"/>
        <v>0.61427717272053084</v>
      </c>
      <c r="E67" s="56">
        <f t="shared" si="11"/>
        <v>0.60475480053015807</v>
      </c>
      <c r="F67" s="56">
        <f t="shared" si="11"/>
        <v>0.59262748718950486</v>
      </c>
    </row>
    <row r="68" spans="1:6" x14ac:dyDescent="0.25">
      <c r="A68" s="54" t="s">
        <v>74</v>
      </c>
      <c r="B68" s="56">
        <f>(B114+B115+B118+B128)/B132</f>
        <v>0.4927187803779311</v>
      </c>
      <c r="C68" s="56">
        <f t="shared" ref="C68:F68" si="12">(C114+C115+C118+C128)/C132</f>
        <v>0.51799708953215673</v>
      </c>
      <c r="D68" s="56">
        <f t="shared" si="12"/>
        <v>0.51866785002631</v>
      </c>
      <c r="E68" s="56">
        <f t="shared" si="12"/>
        <v>0.51926656205328703</v>
      </c>
      <c r="F68" s="56">
        <f t="shared" si="12"/>
        <v>0.5197957980021608</v>
      </c>
    </row>
    <row r="69" spans="1:6" x14ac:dyDescent="0.25">
      <c r="A69" s="54" t="s">
        <v>75</v>
      </c>
      <c r="B69" s="56">
        <f>(B107+B108+B109+B112+B116+B117+B119+B120++B123+B124+B125+B126+B127+B129+B130)/B132</f>
        <v>0.46522038077625244</v>
      </c>
      <c r="C69" s="56">
        <f t="shared" ref="C69:F69" si="13">(C107+C108+C109+C112+C116+C117+C119+C120++C123+C124+C125+C126+C127+C129+C130)/C132</f>
        <v>0.48200291046784333</v>
      </c>
      <c r="D69" s="56">
        <f t="shared" si="13"/>
        <v>0.48133214997369</v>
      </c>
      <c r="E69" s="56">
        <f t="shared" si="13"/>
        <v>0.48073343794671286</v>
      </c>
      <c r="F69" s="56">
        <f t="shared" si="13"/>
        <v>0.48020420199783909</v>
      </c>
    </row>
    <row r="70" spans="1:6" x14ac:dyDescent="0.25">
      <c r="A70" s="54" t="s">
        <v>76</v>
      </c>
      <c r="B70" s="56">
        <f>(B213+B214+B215+B216)/(B97)</f>
        <v>2.3996739556510851E-2</v>
      </c>
      <c r="C70" s="56">
        <f t="shared" ref="C70:F70" si="14">(C213+C214+C215+C216)/(C97)</f>
        <v>3.3762532800249462E-2</v>
      </c>
      <c r="D70" s="56">
        <f t="shared" si="14"/>
        <v>3.5821168707597544E-2</v>
      </c>
      <c r="E70" s="56">
        <f t="shared" si="14"/>
        <v>3.7720163228413706E-2</v>
      </c>
      <c r="F70" s="56">
        <f t="shared" si="14"/>
        <v>4.2082842433095881E-2</v>
      </c>
    </row>
    <row r="71" spans="1:6" ht="15.75" thickBot="1" x14ac:dyDescent="0.3">
      <c r="B71" s="53"/>
      <c r="C71" s="53"/>
      <c r="D71" s="53"/>
      <c r="E71" s="53"/>
      <c r="F71" s="53"/>
    </row>
    <row r="72" spans="1:6" ht="15.75" thickBot="1" x14ac:dyDescent="0.3">
      <c r="A72" s="57" t="s">
        <v>77</v>
      </c>
      <c r="B72" s="58" t="str">
        <f>B1</f>
        <v>24-25</v>
      </c>
      <c r="C72" s="58" t="str">
        <f t="shared" ref="C72:F72" si="15">C1</f>
        <v>25-26</v>
      </c>
      <c r="D72" s="58" t="str">
        <f t="shared" si="15"/>
        <v>26-27</v>
      </c>
      <c r="E72" s="58" t="str">
        <f t="shared" si="15"/>
        <v>27-28</v>
      </c>
      <c r="F72" s="58" t="str">
        <f t="shared" si="15"/>
        <v>28-29</v>
      </c>
    </row>
    <row r="73" spans="1:6" hidden="1" x14ac:dyDescent="0.25">
      <c r="A73" s="59" t="s">
        <v>78</v>
      </c>
      <c r="B73" s="60"/>
      <c r="C73" s="60"/>
      <c r="D73" s="60"/>
      <c r="E73" s="60"/>
      <c r="F73" s="60"/>
    </row>
    <row r="74" spans="1:6" hidden="1" x14ac:dyDescent="0.25">
      <c r="A74" s="39" t="s">
        <v>79</v>
      </c>
      <c r="B74" s="7">
        <f>'24-25'!H74</f>
        <v>1044954</v>
      </c>
      <c r="C74" s="7">
        <f>'25-26'!H74</f>
        <v>1454463</v>
      </c>
      <c r="D74" s="7">
        <f>'26-27'!H74</f>
        <v>1623907.9394999999</v>
      </c>
      <c r="E74" s="7">
        <f>'27-28'!H74</f>
        <v>1798108.9730099996</v>
      </c>
      <c r="F74" s="7">
        <f>'28-29'!H74</f>
        <v>1977170.658238912</v>
      </c>
    </row>
    <row r="75" spans="1:6" hidden="1" x14ac:dyDescent="0.25">
      <c r="A75" s="39" t="s">
        <v>80</v>
      </c>
      <c r="B75" s="7">
        <f>'24-25'!H75</f>
        <v>97435</v>
      </c>
      <c r="C75" s="7">
        <f>'25-26'!H75</f>
        <v>133634.35135135136</v>
      </c>
      <c r="D75" s="7">
        <f>'26-27'!H75</f>
        <v>149202.75328378376</v>
      </c>
      <c r="E75" s="7">
        <f>'27-28'!H75</f>
        <v>165208.13954513511</v>
      </c>
      <c r="F75" s="7">
        <f>'28-29'!H75</f>
        <v>181660.11677483813</v>
      </c>
    </row>
    <row r="76" spans="1:6" hidden="1" x14ac:dyDescent="0.25">
      <c r="A76" s="39" t="s">
        <v>81</v>
      </c>
      <c r="B76" s="7">
        <f>'24-25'!H76</f>
        <v>0</v>
      </c>
      <c r="C76" s="7">
        <f>'25-26'!H76</f>
        <v>0</v>
      </c>
      <c r="D76" s="7">
        <f>'26-27'!H76</f>
        <v>0</v>
      </c>
      <c r="E76" s="7">
        <f>'27-28'!H76</f>
        <v>0</v>
      </c>
      <c r="F76" s="7">
        <f>'28-29'!H76</f>
        <v>0</v>
      </c>
    </row>
    <row r="77" spans="1:6" hidden="1" x14ac:dyDescent="0.25">
      <c r="A77" s="39" t="s">
        <v>82</v>
      </c>
      <c r="B77" s="7">
        <f>'24-25'!H77</f>
        <v>125206</v>
      </c>
      <c r="C77" s="7">
        <f>'25-26'!H77</f>
        <v>127088.15</v>
      </c>
      <c r="D77" s="7">
        <f>'26-27'!H77</f>
        <v>128994.47224999998</v>
      </c>
      <c r="E77" s="7">
        <f>'27-28'!H77</f>
        <v>130929.38933374998</v>
      </c>
      <c r="F77" s="7">
        <f>'28-29'!H77</f>
        <v>132893.3301737562</v>
      </c>
    </row>
    <row r="78" spans="1:6" hidden="1" x14ac:dyDescent="0.25">
      <c r="A78" s="39" t="s">
        <v>83</v>
      </c>
      <c r="B78" s="7">
        <f>'24-25'!H78</f>
        <v>0</v>
      </c>
      <c r="C78" s="7">
        <f>'25-26'!H78</f>
        <v>0</v>
      </c>
      <c r="D78" s="7">
        <f>'26-27'!H78</f>
        <v>0</v>
      </c>
      <c r="E78" s="7">
        <f>'27-28'!H78</f>
        <v>0</v>
      </c>
      <c r="F78" s="7">
        <f>'28-29'!H78</f>
        <v>0</v>
      </c>
    </row>
    <row r="79" spans="1:6" hidden="1" x14ac:dyDescent="0.25">
      <c r="A79" s="39" t="s">
        <v>84</v>
      </c>
      <c r="B79" s="7">
        <f>'24-25'!H79</f>
        <v>66131.69</v>
      </c>
      <c r="C79" s="7">
        <f>'25-26'!H79</f>
        <v>88216.216216216213</v>
      </c>
      <c r="D79" s="7">
        <f>'26-27'!H79</f>
        <v>97037.83783783784</v>
      </c>
      <c r="E79" s="7">
        <f>'27-28'!H79</f>
        <v>105859.45945945945</v>
      </c>
      <c r="F79" s="7">
        <f>'28-29'!H79</f>
        <v>114681.08108108108</v>
      </c>
    </row>
    <row r="80" spans="1:6" hidden="1" x14ac:dyDescent="0.25">
      <c r="A80" s="66" t="s">
        <v>85</v>
      </c>
      <c r="B80" s="67">
        <f>SUM(B74:B79)</f>
        <v>1333726.69</v>
      </c>
      <c r="C80" s="67">
        <f t="shared" ref="C80:F80" si="16">SUM(C74:C79)</f>
        <v>1803401.7175675677</v>
      </c>
      <c r="D80" s="67">
        <f t="shared" si="16"/>
        <v>1999143.0028716214</v>
      </c>
      <c r="E80" s="67">
        <f t="shared" si="16"/>
        <v>2200105.9613483441</v>
      </c>
      <c r="F80" s="67">
        <f t="shared" si="16"/>
        <v>2406405.1862685871</v>
      </c>
    </row>
    <row r="81" spans="1:6" hidden="1" x14ac:dyDescent="0.25">
      <c r="A81" s="68" t="s">
        <v>86</v>
      </c>
      <c r="B81" s="60"/>
      <c r="C81" s="60"/>
      <c r="D81" s="60"/>
      <c r="E81" s="60"/>
      <c r="F81" s="60"/>
    </row>
    <row r="82" spans="1:6" hidden="1" x14ac:dyDescent="0.25">
      <c r="A82" s="39" t="s">
        <v>87</v>
      </c>
      <c r="B82" s="7">
        <f>'24-25'!H82</f>
        <v>19905.75</v>
      </c>
      <c r="C82" s="7">
        <f>'25-26'!H82</f>
        <v>26878.378378378377</v>
      </c>
      <c r="D82" s="7">
        <f>'26-27'!H82</f>
        <v>29566.216216216217</v>
      </c>
      <c r="E82" s="7">
        <f>'27-28'!H82</f>
        <v>32254.05405405405</v>
      </c>
      <c r="F82" s="7">
        <f>'28-29'!H82</f>
        <v>34941.891891891893</v>
      </c>
    </row>
    <row r="83" spans="1:6" hidden="1" x14ac:dyDescent="0.25">
      <c r="A83" s="39" t="s">
        <v>88</v>
      </c>
      <c r="B83" s="7">
        <f>'24-25'!H83</f>
        <v>45554.399999999994</v>
      </c>
      <c r="C83" s="7">
        <f>'25-26'!H83</f>
        <v>61559.999999999993</v>
      </c>
      <c r="D83" s="7">
        <f>'26-27'!H83</f>
        <v>67716</v>
      </c>
      <c r="E83" s="7">
        <f>'27-28'!H83</f>
        <v>73872</v>
      </c>
      <c r="F83" s="7">
        <f>'28-29'!H83</f>
        <v>80028</v>
      </c>
    </row>
    <row r="84" spans="1:6" hidden="1" x14ac:dyDescent="0.25">
      <c r="A84" s="39" t="s">
        <v>89</v>
      </c>
      <c r="B84" s="7">
        <f>'24-25'!H84</f>
        <v>86513.4</v>
      </c>
      <c r="C84" s="7">
        <f>'25-26'!H84</f>
        <v>116910</v>
      </c>
      <c r="D84" s="7">
        <f>'26-27'!H84</f>
        <v>128601.00000000001</v>
      </c>
      <c r="E84" s="7">
        <f>'27-28'!H84</f>
        <v>140292</v>
      </c>
      <c r="F84" s="7">
        <f>'28-29'!H84</f>
        <v>151983</v>
      </c>
    </row>
    <row r="85" spans="1:6" hidden="1" x14ac:dyDescent="0.25">
      <c r="A85" s="39" t="s">
        <v>5</v>
      </c>
      <c r="B85" s="7">
        <f>'24-25'!H85</f>
        <v>53120</v>
      </c>
      <c r="C85" s="7">
        <f>'25-26'!H85</f>
        <v>53120</v>
      </c>
      <c r="D85" s="7">
        <f>'26-27'!H85</f>
        <v>53120</v>
      </c>
      <c r="E85" s="7">
        <f>'27-28'!H85</f>
        <v>53120</v>
      </c>
      <c r="F85" s="7">
        <f>'28-29'!H85</f>
        <v>53120</v>
      </c>
    </row>
    <row r="86" spans="1:6" hidden="1" x14ac:dyDescent="0.25">
      <c r="A86" s="39" t="s">
        <v>90</v>
      </c>
      <c r="B86" s="7">
        <f>'24-25'!H86</f>
        <v>6554.33</v>
      </c>
      <c r="C86" s="7">
        <f>'25-26'!H86</f>
        <v>6554.33</v>
      </c>
      <c r="D86" s="7">
        <f>'26-27'!H86</f>
        <v>6554.33</v>
      </c>
      <c r="E86" s="7">
        <f>'27-28'!H86</f>
        <v>6554.33</v>
      </c>
      <c r="F86" s="7">
        <f>'28-29'!H86</f>
        <v>6554.33</v>
      </c>
    </row>
    <row r="87" spans="1:6" hidden="1" x14ac:dyDescent="0.25">
      <c r="A87" s="39" t="s">
        <v>91</v>
      </c>
      <c r="B87" s="7">
        <f>'24-25'!H87</f>
        <v>4566.38</v>
      </c>
      <c r="C87" s="7">
        <f>'25-26'!H87</f>
        <v>4566.38</v>
      </c>
      <c r="D87" s="7">
        <f>'26-27'!H87</f>
        <v>4566.38</v>
      </c>
      <c r="E87" s="7">
        <f>'27-28'!H87</f>
        <v>4566.38</v>
      </c>
      <c r="F87" s="7">
        <f>'28-29'!H87</f>
        <v>4566.38</v>
      </c>
    </row>
    <row r="88" spans="1:6" hidden="1" x14ac:dyDescent="0.25">
      <c r="A88" s="39" t="s">
        <v>92</v>
      </c>
      <c r="B88" s="7">
        <f>'24-25'!H88</f>
        <v>5400.25</v>
      </c>
      <c r="C88" s="7">
        <f>'25-26'!H88</f>
        <v>5400.25</v>
      </c>
      <c r="D88" s="7">
        <f>'26-27'!H88</f>
        <v>5400.25</v>
      </c>
      <c r="E88" s="7">
        <f>'27-28'!H88</f>
        <v>5400.25</v>
      </c>
      <c r="F88" s="7">
        <f>'28-29'!H88</f>
        <v>5400.25</v>
      </c>
    </row>
    <row r="89" spans="1:6" hidden="1" x14ac:dyDescent="0.25">
      <c r="A89" s="39" t="s">
        <v>93</v>
      </c>
      <c r="B89" s="132">
        <f>'24-25'!H89</f>
        <v>104750</v>
      </c>
      <c r="C89" s="132">
        <f>'25-26'!H89</f>
        <v>60400</v>
      </c>
      <c r="D89" s="132">
        <f>'26-27'!H89</f>
        <v>60400</v>
      </c>
      <c r="E89" s="132">
        <f>'27-28'!H89</f>
        <v>60400</v>
      </c>
      <c r="F89" s="132">
        <f>'28-29'!H89</f>
        <v>60400</v>
      </c>
    </row>
    <row r="90" spans="1:6" hidden="1" x14ac:dyDescent="0.25">
      <c r="A90" s="66" t="s">
        <v>94</v>
      </c>
      <c r="B90" s="67">
        <f t="shared" ref="B90:F90" si="17">SUM(B82:B89)</f>
        <v>326364.51</v>
      </c>
      <c r="C90" s="67">
        <f t="shared" si="17"/>
        <v>335389.33837837836</v>
      </c>
      <c r="D90" s="67">
        <f t="shared" si="17"/>
        <v>355924.17621621623</v>
      </c>
      <c r="E90" s="67">
        <f t="shared" si="17"/>
        <v>376459.0140540541</v>
      </c>
      <c r="F90" s="67">
        <f t="shared" si="17"/>
        <v>396993.85189189191</v>
      </c>
    </row>
    <row r="91" spans="1:6" hidden="1" x14ac:dyDescent="0.25">
      <c r="A91" s="68" t="s">
        <v>95</v>
      </c>
      <c r="B91" s="60"/>
      <c r="C91" s="60"/>
      <c r="D91" s="60"/>
      <c r="E91" s="60"/>
      <c r="F91" s="60"/>
    </row>
    <row r="92" spans="1:6" hidden="1" x14ac:dyDescent="0.25">
      <c r="A92" s="39" t="s">
        <v>96</v>
      </c>
      <c r="B92" s="7">
        <f>'24-25'!H92</f>
        <v>0</v>
      </c>
      <c r="C92" s="7">
        <f>'25-26'!H92</f>
        <v>0</v>
      </c>
      <c r="D92" s="7">
        <f>'26-27'!H92</f>
        <v>0</v>
      </c>
      <c r="E92" s="7">
        <f>'27-28'!H92</f>
        <v>0</v>
      </c>
      <c r="F92" s="7">
        <f>'28-29'!H92</f>
        <v>0</v>
      </c>
    </row>
    <row r="93" spans="1:6" hidden="1" x14ac:dyDescent="0.25">
      <c r="A93" s="39" t="s">
        <v>97</v>
      </c>
      <c r="B93" s="7">
        <f>'24-25'!H93</f>
        <v>0</v>
      </c>
      <c r="C93" s="7">
        <f>'25-26'!H93</f>
        <v>0</v>
      </c>
      <c r="D93" s="7">
        <f>'26-27'!H93</f>
        <v>0</v>
      </c>
      <c r="E93" s="7">
        <f>'27-28'!H93</f>
        <v>0</v>
      </c>
      <c r="F93" s="7">
        <f>'28-29'!H93</f>
        <v>0</v>
      </c>
    </row>
    <row r="94" spans="1:6" x14ac:dyDescent="0.25">
      <c r="A94" s="133" t="s">
        <v>247</v>
      </c>
      <c r="B94" s="134">
        <f>'24-25'!H94</f>
        <v>652723</v>
      </c>
      <c r="C94" s="134">
        <f>'25-26'!H94</f>
        <v>304746</v>
      </c>
      <c r="D94" s="134">
        <f>'26-27'!H94</f>
        <v>178351</v>
      </c>
      <c r="E94" s="134">
        <f>'27-28'!H94</f>
        <v>48026</v>
      </c>
      <c r="F94" s="7">
        <f>'28-29'!H94</f>
        <v>0</v>
      </c>
    </row>
    <row r="95" spans="1:6" x14ac:dyDescent="0.25">
      <c r="A95" s="39" t="s">
        <v>99</v>
      </c>
      <c r="B95" s="7">
        <f>'24-25'!H95</f>
        <v>0</v>
      </c>
      <c r="C95" s="7">
        <f>'25-26'!H95</f>
        <v>0</v>
      </c>
      <c r="D95" s="7">
        <f>'26-27'!H95</f>
        <v>0</v>
      </c>
      <c r="E95" s="7">
        <f>'27-28'!H95</f>
        <v>0</v>
      </c>
      <c r="F95" s="7">
        <f>'28-29'!H95</f>
        <v>0</v>
      </c>
    </row>
    <row r="96" spans="1:6" x14ac:dyDescent="0.25">
      <c r="A96" s="66" t="s">
        <v>100</v>
      </c>
      <c r="B96" s="67">
        <f>SUM(B92:B95)</f>
        <v>652723</v>
      </c>
      <c r="C96" s="67">
        <f t="shared" ref="C96:F96" si="18">SUM(C92:C95)</f>
        <v>304746</v>
      </c>
      <c r="D96" s="67">
        <f t="shared" si="18"/>
        <v>178351</v>
      </c>
      <c r="E96" s="67">
        <f t="shared" si="18"/>
        <v>48026</v>
      </c>
      <c r="F96" s="67">
        <f t="shared" si="18"/>
        <v>0</v>
      </c>
    </row>
    <row r="97" spans="1:6" x14ac:dyDescent="0.25">
      <c r="A97" s="73" t="s">
        <v>101</v>
      </c>
      <c r="B97" s="74">
        <f>B80+B90+B96</f>
        <v>2312814.2000000002</v>
      </c>
      <c r="C97" s="74">
        <f t="shared" ref="C97:F97" si="19">C80+C90+C96</f>
        <v>2443537.0559459459</v>
      </c>
      <c r="D97" s="74">
        <f t="shared" si="19"/>
        <v>2533418.1790878377</v>
      </c>
      <c r="E97" s="74">
        <f t="shared" si="19"/>
        <v>2624590.975402398</v>
      </c>
      <c r="F97" s="74">
        <f t="shared" si="19"/>
        <v>2803399.0381604792</v>
      </c>
    </row>
    <row r="98" spans="1:6" x14ac:dyDescent="0.25">
      <c r="A98" s="68" t="s">
        <v>102</v>
      </c>
      <c r="B98" s="60"/>
      <c r="C98" s="60"/>
      <c r="D98" s="60"/>
      <c r="E98" s="60"/>
      <c r="F98" s="60"/>
    </row>
    <row r="99" spans="1:6" x14ac:dyDescent="0.25">
      <c r="A99" s="39" t="s">
        <v>103</v>
      </c>
      <c r="B99" s="7">
        <f>'24-25'!H99</f>
        <v>0</v>
      </c>
      <c r="C99" s="7">
        <f>'25-26'!H99</f>
        <v>0</v>
      </c>
      <c r="D99" s="7">
        <f>'26-27'!H99</f>
        <v>0</v>
      </c>
      <c r="E99" s="7">
        <f>'27-28'!H99</f>
        <v>0</v>
      </c>
      <c r="F99" s="7">
        <f>'28-29'!H99</f>
        <v>0</v>
      </c>
    </row>
    <row r="100" spans="1:6" x14ac:dyDescent="0.25">
      <c r="A100" s="39" t="s">
        <v>104</v>
      </c>
      <c r="B100" s="7">
        <f>'24-25'!H100</f>
        <v>0</v>
      </c>
      <c r="C100" s="7">
        <f>'25-26'!H100</f>
        <v>0</v>
      </c>
      <c r="D100" s="7">
        <f>'26-27'!H100</f>
        <v>0</v>
      </c>
      <c r="E100" s="7">
        <f>'27-28'!H100</f>
        <v>0</v>
      </c>
      <c r="F100" s="7">
        <f>'28-29'!H100</f>
        <v>0</v>
      </c>
    </row>
    <row r="101" spans="1:6" x14ac:dyDescent="0.25">
      <c r="A101" s="39"/>
      <c r="B101" s="7">
        <f>'24-25'!H101</f>
        <v>0</v>
      </c>
      <c r="C101" s="7">
        <f>'25-26'!H101</f>
        <v>0</v>
      </c>
      <c r="D101" s="7">
        <f>'26-27'!H101</f>
        <v>0</v>
      </c>
      <c r="E101" s="7">
        <f>'27-28'!H101</f>
        <v>0</v>
      </c>
      <c r="F101" s="7">
        <f>'28-29'!H101</f>
        <v>0</v>
      </c>
    </row>
    <row r="102" spans="1:6" x14ac:dyDescent="0.25">
      <c r="A102" s="39"/>
      <c r="B102" s="7">
        <f>'24-25'!H102</f>
        <v>0</v>
      </c>
      <c r="C102" s="7">
        <f>'25-26'!H102</f>
        <v>0</v>
      </c>
      <c r="D102" s="7">
        <f>'26-27'!H102</f>
        <v>0</v>
      </c>
      <c r="E102" s="7">
        <f>'27-28'!H102</f>
        <v>0</v>
      </c>
      <c r="F102" s="7">
        <f>'28-29'!H102</f>
        <v>0</v>
      </c>
    </row>
    <row r="103" spans="1:6" x14ac:dyDescent="0.25">
      <c r="A103" s="66" t="s">
        <v>105</v>
      </c>
      <c r="B103" s="67">
        <f>SUM(B99:B102)</f>
        <v>0</v>
      </c>
      <c r="C103" s="67">
        <f t="shared" ref="C103:F103" si="20">SUM(C99:C102)</f>
        <v>0</v>
      </c>
      <c r="D103" s="67">
        <f t="shared" si="20"/>
        <v>0</v>
      </c>
      <c r="E103" s="67">
        <f t="shared" si="20"/>
        <v>0</v>
      </c>
      <c r="F103" s="67">
        <f t="shared" si="20"/>
        <v>0</v>
      </c>
    </row>
    <row r="104" spans="1:6" ht="15.75" thickBot="1" x14ac:dyDescent="0.3">
      <c r="A104" s="39"/>
      <c r="B104" s="53"/>
      <c r="C104" s="53"/>
      <c r="D104" s="53"/>
      <c r="E104" s="53"/>
      <c r="F104" s="53"/>
    </row>
    <row r="105" spans="1:6" ht="15.75" thickBot="1" x14ac:dyDescent="0.3">
      <c r="A105" s="75" t="s">
        <v>106</v>
      </c>
      <c r="B105" s="76" t="str">
        <f>B1</f>
        <v>24-25</v>
      </c>
      <c r="C105" s="76" t="str">
        <f t="shared" ref="C105:F105" si="21">C1</f>
        <v>25-26</v>
      </c>
      <c r="D105" s="76" t="str">
        <f t="shared" si="21"/>
        <v>26-27</v>
      </c>
      <c r="E105" s="76" t="str">
        <f t="shared" si="21"/>
        <v>27-28</v>
      </c>
      <c r="F105" s="76" t="str">
        <f t="shared" si="21"/>
        <v>28-29</v>
      </c>
    </row>
    <row r="106" spans="1:6" x14ac:dyDescent="0.25">
      <c r="A106" s="59" t="s">
        <v>107</v>
      </c>
      <c r="B106" s="60"/>
      <c r="C106" s="60"/>
      <c r="D106" s="60"/>
      <c r="E106" s="60"/>
      <c r="F106" s="60"/>
    </row>
    <row r="107" spans="1:6" x14ac:dyDescent="0.25">
      <c r="A107" s="39" t="s">
        <v>47</v>
      </c>
      <c r="B107" s="7">
        <f>'24-25'!H107</f>
        <v>135000</v>
      </c>
      <c r="C107" s="7">
        <f>'25-26'!H107</f>
        <v>137025</v>
      </c>
      <c r="D107" s="7">
        <f>'26-27'!H107</f>
        <v>139080.375</v>
      </c>
      <c r="E107" s="7">
        <f>'27-28'!H107</f>
        <v>141166.58062499997</v>
      </c>
      <c r="F107" s="7">
        <f>'28-29'!H107</f>
        <v>143284.07933437495</v>
      </c>
    </row>
    <row r="108" spans="1:6" x14ac:dyDescent="0.25">
      <c r="A108" s="39" t="s">
        <v>48</v>
      </c>
      <c r="B108" s="7">
        <f>'24-25'!H108</f>
        <v>125000</v>
      </c>
      <c r="C108" s="7">
        <f>'25-26'!H108</f>
        <v>126874.99999999999</v>
      </c>
      <c r="D108" s="7">
        <f>'26-27'!H108</f>
        <v>128778.12499999997</v>
      </c>
      <c r="E108" s="7">
        <f>'27-28'!H108</f>
        <v>130709.79687499996</v>
      </c>
      <c r="F108" s="7">
        <f>'28-29'!H108</f>
        <v>132670.44382812493</v>
      </c>
    </row>
    <row r="109" spans="1:6" x14ac:dyDescent="0.25">
      <c r="A109" s="39" t="s">
        <v>49</v>
      </c>
      <c r="B109" s="7">
        <f>'24-25'!H109</f>
        <v>80640</v>
      </c>
      <c r="C109" s="7">
        <f>'25-26'!H109</f>
        <v>81849.599999999991</v>
      </c>
      <c r="D109" s="7">
        <f>'26-27'!H109</f>
        <v>83077.343999999983</v>
      </c>
      <c r="E109" s="7">
        <f>'27-28'!H109</f>
        <v>84323.504159999968</v>
      </c>
      <c r="F109" s="7">
        <f>'28-29'!H109</f>
        <v>85588.356722399956</v>
      </c>
    </row>
    <row r="110" spans="1:6" x14ac:dyDescent="0.25">
      <c r="A110" s="42" t="s">
        <v>50</v>
      </c>
      <c r="B110" s="7">
        <f>'24-25'!H110</f>
        <v>0</v>
      </c>
      <c r="C110" s="7">
        <f>'25-26'!H110</f>
        <v>0</v>
      </c>
      <c r="D110" s="7">
        <f>'26-27'!H110</f>
        <v>0</v>
      </c>
      <c r="E110" s="7">
        <f>'27-28'!H110</f>
        <v>0</v>
      </c>
      <c r="F110" s="7">
        <f>'28-29'!H110</f>
        <v>0</v>
      </c>
    </row>
    <row r="111" spans="1:6" x14ac:dyDescent="0.25">
      <c r="A111" s="42" t="s">
        <v>51</v>
      </c>
      <c r="B111" s="7">
        <f>'24-25'!H111</f>
        <v>0</v>
      </c>
      <c r="C111" s="7">
        <f>'25-26'!H111</f>
        <v>0</v>
      </c>
      <c r="D111" s="7">
        <f>'26-27'!H111</f>
        <v>0</v>
      </c>
      <c r="E111" s="7">
        <f>'27-28'!H111</f>
        <v>0</v>
      </c>
      <c r="F111" s="7">
        <f>'28-29'!H111</f>
        <v>0</v>
      </c>
    </row>
    <row r="112" spans="1:6" x14ac:dyDescent="0.25">
      <c r="A112" s="42" t="s">
        <v>52</v>
      </c>
      <c r="B112" s="7">
        <f>'24-25'!H112</f>
        <v>51500</v>
      </c>
      <c r="C112" s="7">
        <f>'25-26'!H112</f>
        <v>52272.499999999993</v>
      </c>
      <c r="D112" s="7">
        <f>'26-27'!H112</f>
        <v>53056.587499999987</v>
      </c>
      <c r="E112" s="7">
        <f>'27-28'!H112</f>
        <v>53852.43631249998</v>
      </c>
      <c r="F112" s="7">
        <f>'28-29'!H112</f>
        <v>54660.222857187473</v>
      </c>
    </row>
    <row r="113" spans="1:6" x14ac:dyDescent="0.25">
      <c r="A113" s="39" t="s">
        <v>108</v>
      </c>
      <c r="B113" s="7">
        <f>'24-25'!H113</f>
        <v>44350</v>
      </c>
      <c r="C113" s="7">
        <f>'25-26'!H113</f>
        <v>0</v>
      </c>
      <c r="D113" s="7">
        <f>'26-27'!H113</f>
        <v>0</v>
      </c>
      <c r="E113" s="7">
        <f>'27-28'!H113</f>
        <v>0</v>
      </c>
      <c r="F113" s="7">
        <f>'28-29'!H113</f>
        <v>0</v>
      </c>
    </row>
    <row r="114" spans="1:6" x14ac:dyDescent="0.25">
      <c r="A114" s="39" t="s">
        <v>109</v>
      </c>
      <c r="B114" s="7">
        <f>'24-25'!H114</f>
        <v>447935</v>
      </c>
      <c r="C114" s="7">
        <f>'25-26'!H114</f>
        <v>456000</v>
      </c>
      <c r="D114" s="7">
        <f>'26-27'!H114</f>
        <v>464000</v>
      </c>
      <c r="E114" s="7">
        <f>'27-28'!H114</f>
        <v>472000</v>
      </c>
      <c r="F114" s="7">
        <f>'28-29'!H114</f>
        <v>480000</v>
      </c>
    </row>
    <row r="115" spans="1:6" x14ac:dyDescent="0.25">
      <c r="A115" s="39" t="s">
        <v>37</v>
      </c>
      <c r="B115" s="7">
        <f>'24-25'!H115</f>
        <v>50000</v>
      </c>
      <c r="C115" s="7">
        <f>'25-26'!H115</f>
        <v>57000</v>
      </c>
      <c r="D115" s="7">
        <f>'26-27'!H115</f>
        <v>58000</v>
      </c>
      <c r="E115" s="7">
        <f>'27-28'!H115</f>
        <v>59000</v>
      </c>
      <c r="F115" s="7">
        <f>'28-29'!H115</f>
        <v>60000</v>
      </c>
    </row>
    <row r="116" spans="1:6" x14ac:dyDescent="0.25">
      <c r="A116" s="39" t="s">
        <v>110</v>
      </c>
      <c r="B116" s="7">
        <f>'24-25'!H116</f>
        <v>60000</v>
      </c>
      <c r="C116" s="7">
        <f>'25-26'!H116</f>
        <v>60899.999999999993</v>
      </c>
      <c r="D116" s="7">
        <f>'26-27'!H116</f>
        <v>61813.499999999985</v>
      </c>
      <c r="E116" s="7">
        <f>'27-28'!H116</f>
        <v>62740.702499999978</v>
      </c>
      <c r="F116" s="7">
        <f>'28-29'!H116</f>
        <v>63681.813037499975</v>
      </c>
    </row>
    <row r="117" spans="1:6" x14ac:dyDescent="0.25">
      <c r="A117" s="39" t="s">
        <v>111</v>
      </c>
      <c r="B117" s="7">
        <f>'24-25'!H117</f>
        <v>0</v>
      </c>
      <c r="C117" s="7">
        <f>'25-26'!H117</f>
        <v>0</v>
      </c>
      <c r="D117" s="7">
        <f>'26-27'!H117</f>
        <v>0</v>
      </c>
      <c r="E117" s="7">
        <f>'27-28'!H117</f>
        <v>0</v>
      </c>
      <c r="F117" s="7">
        <f>'28-29'!H117</f>
        <v>0</v>
      </c>
    </row>
    <row r="118" spans="1:6" x14ac:dyDescent="0.25">
      <c r="A118" s="39" t="s">
        <v>112</v>
      </c>
      <c r="B118" s="7">
        <f>'24-25'!H118</f>
        <v>21600</v>
      </c>
      <c r="C118" s="7">
        <f>'25-26'!H118</f>
        <v>22320</v>
      </c>
      <c r="D118" s="7">
        <f>'26-27'!H118</f>
        <v>23040</v>
      </c>
      <c r="E118" s="7">
        <f>'27-28'!H118</f>
        <v>23760</v>
      </c>
      <c r="F118" s="7">
        <f>'28-29'!H118</f>
        <v>24480</v>
      </c>
    </row>
    <row r="119" spans="1:6" x14ac:dyDescent="0.25">
      <c r="A119" s="39" t="s">
        <v>113</v>
      </c>
      <c r="B119" s="7">
        <f>'24-25'!H119</f>
        <v>0</v>
      </c>
      <c r="C119" s="7">
        <f>'25-26'!H119</f>
        <v>0</v>
      </c>
      <c r="D119" s="7">
        <f>'26-27'!H119</f>
        <v>0</v>
      </c>
      <c r="E119" s="7">
        <f>'27-28'!H119</f>
        <v>0</v>
      </c>
      <c r="F119" s="7">
        <f>'28-29'!H119</f>
        <v>0</v>
      </c>
    </row>
    <row r="120" spans="1:6" x14ac:dyDescent="0.25">
      <c r="A120" s="39" t="s">
        <v>60</v>
      </c>
      <c r="B120" s="7">
        <f>'24-25'!H120</f>
        <v>0</v>
      </c>
      <c r="C120" s="7">
        <f>'25-26'!H120</f>
        <v>0</v>
      </c>
      <c r="D120" s="7">
        <f>'26-27'!H120</f>
        <v>0</v>
      </c>
      <c r="E120" s="7">
        <f>'27-28'!H120</f>
        <v>0</v>
      </c>
      <c r="F120" s="7">
        <f>'28-29'!H120</f>
        <v>0</v>
      </c>
    </row>
    <row r="121" spans="1:6" x14ac:dyDescent="0.25">
      <c r="A121" s="77" t="s">
        <v>114</v>
      </c>
      <c r="B121" s="78">
        <f>SUM(B107:B120)</f>
        <v>1016025</v>
      </c>
      <c r="C121" s="78">
        <f t="shared" ref="C121:F121" si="22">SUM(C107:C120)</f>
        <v>994242.1</v>
      </c>
      <c r="D121" s="78">
        <f t="shared" si="22"/>
        <v>1010845.9314999999</v>
      </c>
      <c r="E121" s="78">
        <f t="shared" si="22"/>
        <v>1027553.0204724999</v>
      </c>
      <c r="F121" s="78">
        <f t="shared" si="22"/>
        <v>1044364.9157795873</v>
      </c>
    </row>
    <row r="122" spans="1:6" x14ac:dyDescent="0.25">
      <c r="A122" s="79" t="s">
        <v>115</v>
      </c>
      <c r="B122" s="60"/>
      <c r="C122" s="60"/>
      <c r="D122" s="60"/>
      <c r="E122" s="60"/>
      <c r="F122" s="60"/>
    </row>
    <row r="123" spans="1:6" x14ac:dyDescent="0.25">
      <c r="A123" s="39" t="s">
        <v>62</v>
      </c>
      <c r="B123" s="7">
        <f>'24-25'!H123</f>
        <v>0</v>
      </c>
      <c r="C123" s="7">
        <f>'25-26'!H123</f>
        <v>0</v>
      </c>
      <c r="D123" s="7">
        <f>'26-27'!H123</f>
        <v>0</v>
      </c>
      <c r="E123" s="7">
        <f>'27-28'!H123</f>
        <v>0</v>
      </c>
      <c r="F123" s="7">
        <f>'28-29'!H123</f>
        <v>0</v>
      </c>
    </row>
    <row r="124" spans="1:6" x14ac:dyDescent="0.25">
      <c r="A124" s="39" t="s">
        <v>63</v>
      </c>
      <c r="B124" s="7">
        <f>'24-25'!H124</f>
        <v>0</v>
      </c>
      <c r="C124" s="7">
        <f>'25-26'!H124</f>
        <v>0</v>
      </c>
      <c r="D124" s="7">
        <f>'26-27'!H124</f>
        <v>0</v>
      </c>
      <c r="E124" s="7">
        <f>'27-28'!H124</f>
        <v>0</v>
      </c>
      <c r="F124" s="7">
        <f>'28-29'!H124</f>
        <v>0</v>
      </c>
    </row>
    <row r="125" spans="1:6" x14ac:dyDescent="0.25">
      <c r="A125" s="39" t="s">
        <v>64</v>
      </c>
      <c r="B125" s="7">
        <f>'24-25'!H125</f>
        <v>0</v>
      </c>
      <c r="C125" s="7">
        <f>'25-26'!H125</f>
        <v>0</v>
      </c>
      <c r="D125" s="7">
        <f>'26-27'!H125</f>
        <v>0</v>
      </c>
      <c r="E125" s="7">
        <f>'27-28'!H125</f>
        <v>0</v>
      </c>
      <c r="F125" s="7">
        <f>'28-29'!H125</f>
        <v>0</v>
      </c>
    </row>
    <row r="126" spans="1:6" x14ac:dyDescent="0.25">
      <c r="A126" s="39" t="s">
        <v>116</v>
      </c>
      <c r="B126" s="7">
        <f>'24-25'!H126</f>
        <v>0</v>
      </c>
      <c r="C126" s="7">
        <f>'25-26'!H126</f>
        <v>0</v>
      </c>
      <c r="D126" s="7">
        <f>'26-27'!H126</f>
        <v>0</v>
      </c>
      <c r="E126" s="7">
        <f>'27-28'!H126</f>
        <v>0</v>
      </c>
      <c r="F126" s="7">
        <f>'28-29'!H126</f>
        <v>0</v>
      </c>
    </row>
    <row r="127" spans="1:6" x14ac:dyDescent="0.25">
      <c r="A127" s="39" t="s">
        <v>66</v>
      </c>
      <c r="B127" s="7">
        <f>'24-25'!H127</f>
        <v>0</v>
      </c>
      <c r="C127" s="7">
        <f>'25-26'!H127</f>
        <v>0</v>
      </c>
      <c r="D127" s="7">
        <f>'26-27'!H127</f>
        <v>0</v>
      </c>
      <c r="E127" s="7">
        <f>'27-28'!H127</f>
        <v>0</v>
      </c>
      <c r="F127" s="7">
        <f>'28-29'!H127</f>
        <v>0</v>
      </c>
    </row>
    <row r="128" spans="1:6" x14ac:dyDescent="0.25">
      <c r="A128" s="39" t="s">
        <v>117</v>
      </c>
      <c r="B128" s="7">
        <f>'24-25'!H128</f>
        <v>0</v>
      </c>
      <c r="C128" s="7">
        <f>'25-26'!H128</f>
        <v>0</v>
      </c>
      <c r="D128" s="7">
        <f>'26-27'!H128</f>
        <v>0</v>
      </c>
      <c r="E128" s="7">
        <f>'27-28'!H128</f>
        <v>0</v>
      </c>
      <c r="F128" s="7">
        <f>'28-29'!H128</f>
        <v>0</v>
      </c>
    </row>
    <row r="129" spans="1:12" x14ac:dyDescent="0.25">
      <c r="A129" s="39" t="s">
        <v>118</v>
      </c>
      <c r="B129" s="7">
        <f>'24-25'!H129</f>
        <v>38400</v>
      </c>
      <c r="C129" s="7">
        <f>'25-26'!H129</f>
        <v>39200</v>
      </c>
      <c r="D129" s="7">
        <f>'26-27'!H129</f>
        <v>40000</v>
      </c>
      <c r="E129" s="7">
        <f>'27-28'!H129</f>
        <v>40800</v>
      </c>
      <c r="F129" s="7">
        <f>'28-29'!H129</f>
        <v>41600</v>
      </c>
    </row>
    <row r="130" spans="1:12" x14ac:dyDescent="0.25">
      <c r="A130" s="39" t="s">
        <v>67</v>
      </c>
      <c r="B130" s="7">
        <f>'24-25'!H130</f>
        <v>0</v>
      </c>
      <c r="C130" s="7">
        <f>'25-26'!H130</f>
        <v>0</v>
      </c>
      <c r="D130" s="7">
        <f>'26-27'!H130</f>
        <v>0</v>
      </c>
      <c r="E130" s="7">
        <f>'27-28'!H130</f>
        <v>0</v>
      </c>
      <c r="F130" s="7">
        <f>'28-29'!H130</f>
        <v>0</v>
      </c>
    </row>
    <row r="131" spans="1:12" x14ac:dyDescent="0.25">
      <c r="A131" s="80" t="s">
        <v>119</v>
      </c>
      <c r="B131" s="81">
        <f>SUM(B123:B130)</f>
        <v>38400</v>
      </c>
      <c r="C131" s="81">
        <f t="shared" ref="C131:F131" si="23">SUM(C123:C130)</f>
        <v>39200</v>
      </c>
      <c r="D131" s="81">
        <f t="shared" si="23"/>
        <v>40000</v>
      </c>
      <c r="E131" s="81">
        <f t="shared" si="23"/>
        <v>40800</v>
      </c>
      <c r="F131" s="81">
        <f t="shared" si="23"/>
        <v>41600</v>
      </c>
    </row>
    <row r="132" spans="1:12" x14ac:dyDescent="0.25">
      <c r="A132" s="82" t="s">
        <v>120</v>
      </c>
      <c r="B132" s="83">
        <f>B121+B131</f>
        <v>1054425</v>
      </c>
      <c r="C132" s="83">
        <f t="shared" ref="C132:F132" si="24">C121+C131</f>
        <v>1033442.1</v>
      </c>
      <c r="D132" s="83">
        <f t="shared" si="24"/>
        <v>1050845.9314999999</v>
      </c>
      <c r="E132" s="83">
        <f t="shared" si="24"/>
        <v>1068353.0204725</v>
      </c>
      <c r="F132" s="83">
        <f t="shared" si="24"/>
        <v>1085964.9157795873</v>
      </c>
    </row>
    <row r="133" spans="1:12" x14ac:dyDescent="0.25">
      <c r="A133" s="39" t="s">
        <v>121</v>
      </c>
      <c r="B133" s="7">
        <f>'24-25'!H133</f>
        <v>291692.875</v>
      </c>
      <c r="C133" s="7">
        <f>'25-26'!H133</f>
        <v>328134.31874999998</v>
      </c>
      <c r="D133" s="7">
        <f>'26-27'!H133</f>
        <v>334079.03090624994</v>
      </c>
      <c r="E133" s="7">
        <f>'27-28'!H133</f>
        <v>340054.92224484368</v>
      </c>
      <c r="F133" s="7">
        <f>'28-29'!H133</f>
        <v>346062.46045351634</v>
      </c>
      <c r="H133" s="135">
        <f>B133/B132</f>
        <v>0.27663691111269173</v>
      </c>
      <c r="I133" s="135">
        <f t="shared" ref="I133:L133" si="25">C133/C132</f>
        <v>0.31751591961465475</v>
      </c>
      <c r="J133" s="135">
        <f t="shared" si="25"/>
        <v>0.3179143782089715</v>
      </c>
      <c r="K133" s="135">
        <f t="shared" si="25"/>
        <v>0.3182982738181877</v>
      </c>
      <c r="L133" s="135">
        <f t="shared" si="25"/>
        <v>0.31866817741997372</v>
      </c>
    </row>
    <row r="134" spans="1:12" x14ac:dyDescent="0.25">
      <c r="A134" s="86" t="s">
        <v>122</v>
      </c>
      <c r="B134" s="7">
        <f>'24-25'!H134</f>
        <v>110493.83749999999</v>
      </c>
      <c r="C134" s="7">
        <f>'25-26'!H134</f>
        <v>124013.052</v>
      </c>
      <c r="D134" s="7">
        <f>'26-27'!H134</f>
        <v>131355.74143749999</v>
      </c>
      <c r="E134" s="7">
        <f>'27-28'!H134</f>
        <v>138885.89266142499</v>
      </c>
      <c r="F134" s="7">
        <f>'28-29'!H134</f>
        <v>141175.43905134636</v>
      </c>
      <c r="H134" s="135">
        <f>B134/B132</f>
        <v>0.10479060862555421</v>
      </c>
      <c r="I134" s="135">
        <f t="shared" ref="I134:L134" si="26">C134/C132</f>
        <v>0.12</v>
      </c>
      <c r="J134" s="135">
        <f t="shared" si="26"/>
        <v>0.125</v>
      </c>
      <c r="K134" s="135">
        <f t="shared" si="26"/>
        <v>0.13</v>
      </c>
      <c r="L134" s="135">
        <f t="shared" si="26"/>
        <v>0.13</v>
      </c>
    </row>
    <row r="135" spans="1:12" x14ac:dyDescent="0.25">
      <c r="A135" s="39" t="s">
        <v>123</v>
      </c>
      <c r="B135" s="7">
        <f>'24-25'!H135</f>
        <v>15250</v>
      </c>
      <c r="C135" s="7">
        <f>'25-26'!H135</f>
        <v>14000</v>
      </c>
      <c r="D135" s="7">
        <f>'26-27'!H135</f>
        <v>14000</v>
      </c>
      <c r="E135" s="7">
        <f>'27-28'!H135</f>
        <v>14000</v>
      </c>
      <c r="F135" s="7">
        <f>'28-29'!H135</f>
        <v>14000</v>
      </c>
    </row>
    <row r="136" spans="1:12" x14ac:dyDescent="0.25">
      <c r="A136" s="86" t="s">
        <v>124</v>
      </c>
      <c r="B136" s="7">
        <f>'24-25'!H136</f>
        <v>2625</v>
      </c>
      <c r="C136" s="7">
        <f>'25-26'!H136</f>
        <v>2625</v>
      </c>
      <c r="D136" s="7">
        <f>'26-27'!H136</f>
        <v>2625</v>
      </c>
      <c r="E136" s="7">
        <f>'27-28'!H136</f>
        <v>2625</v>
      </c>
      <c r="F136" s="7">
        <f>'28-29'!H136</f>
        <v>2625</v>
      </c>
    </row>
    <row r="137" spans="1:12" x14ac:dyDescent="0.25">
      <c r="A137" s="39" t="s">
        <v>125</v>
      </c>
      <c r="B137" s="7">
        <f>'24-25'!H137</f>
        <v>18240</v>
      </c>
      <c r="C137" s="7">
        <f>'25-26'!H137</f>
        <v>0</v>
      </c>
      <c r="D137" s="7">
        <f>'26-27'!H137</f>
        <v>0</v>
      </c>
      <c r="E137" s="7">
        <f>'27-28'!H137</f>
        <v>0</v>
      </c>
      <c r="F137" s="7">
        <f>'28-29'!H137</f>
        <v>0</v>
      </c>
    </row>
    <row r="138" spans="1:12" x14ac:dyDescent="0.25">
      <c r="A138" s="39" t="s">
        <v>126</v>
      </c>
      <c r="B138" s="7">
        <f>'24-25'!H138</f>
        <v>0</v>
      </c>
      <c r="C138" s="7">
        <f>'25-26'!H138</f>
        <v>0</v>
      </c>
      <c r="D138" s="7">
        <f>'26-27'!H138</f>
        <v>0</v>
      </c>
      <c r="E138" s="7">
        <f>'27-28'!H138</f>
        <v>0</v>
      </c>
      <c r="F138" s="7">
        <f>'28-29'!H138</f>
        <v>0</v>
      </c>
    </row>
    <row r="139" spans="1:12" x14ac:dyDescent="0.25">
      <c r="A139" s="39" t="s">
        <v>127</v>
      </c>
      <c r="B139" s="7">
        <f>'24-25'!H139</f>
        <v>5000</v>
      </c>
      <c r="C139" s="7">
        <f>'25-26'!H139</f>
        <v>5000</v>
      </c>
      <c r="D139" s="7">
        <f>'26-27'!H139</f>
        <v>5000</v>
      </c>
      <c r="E139" s="7">
        <f>'27-28'!H139</f>
        <v>5000</v>
      </c>
      <c r="F139" s="7">
        <f>'28-29'!H139</f>
        <v>5000</v>
      </c>
    </row>
    <row r="140" spans="1:12" x14ac:dyDescent="0.25">
      <c r="A140" s="39" t="s">
        <v>128</v>
      </c>
      <c r="B140" s="7">
        <f>'24-25'!H140</f>
        <v>18315</v>
      </c>
      <c r="C140" s="7">
        <f>'25-26'!H140</f>
        <v>18315</v>
      </c>
      <c r="D140" s="7">
        <f>'26-27'!H140</f>
        <v>18315</v>
      </c>
      <c r="E140" s="7">
        <f>'27-28'!H140</f>
        <v>18315</v>
      </c>
      <c r="F140" s="7">
        <f>'28-29'!H140</f>
        <v>18315</v>
      </c>
    </row>
    <row r="141" spans="1:12" x14ac:dyDescent="0.25">
      <c r="A141" s="90" t="s">
        <v>130</v>
      </c>
      <c r="B141" s="91">
        <f>SUM(B133:B140)</f>
        <v>461616.71250000002</v>
      </c>
      <c r="C141" s="91">
        <f t="shared" ref="C141:F141" si="27">SUM(C133:C140)</f>
        <v>492087.37075</v>
      </c>
      <c r="D141" s="91">
        <f t="shared" si="27"/>
        <v>505374.77234374994</v>
      </c>
      <c r="E141" s="91">
        <f t="shared" si="27"/>
        <v>518880.81490626867</v>
      </c>
      <c r="F141" s="91">
        <f t="shared" si="27"/>
        <v>527177.89950486273</v>
      </c>
    </row>
    <row r="142" spans="1:12" x14ac:dyDescent="0.25">
      <c r="A142" s="82" t="s">
        <v>131</v>
      </c>
      <c r="B142" s="83">
        <f>B132+B141</f>
        <v>1516041.7124999999</v>
      </c>
      <c r="C142" s="83">
        <f t="shared" ref="C142:F142" si="28">C132+C141</f>
        <v>1525529.4707499999</v>
      </c>
      <c r="D142" s="83">
        <f t="shared" si="28"/>
        <v>1556220.7038437498</v>
      </c>
      <c r="E142" s="83">
        <f t="shared" si="28"/>
        <v>1587233.8353787686</v>
      </c>
      <c r="F142" s="83">
        <f t="shared" si="28"/>
        <v>1613142.8152844501</v>
      </c>
    </row>
    <row r="143" spans="1:12" x14ac:dyDescent="0.25">
      <c r="A143" s="92" t="s">
        <v>132</v>
      </c>
      <c r="B143" s="24" t="str">
        <f>B1</f>
        <v>24-25</v>
      </c>
      <c r="C143" s="24" t="str">
        <f t="shared" ref="C143:F143" si="29">C1</f>
        <v>25-26</v>
      </c>
      <c r="D143" s="24" t="str">
        <f t="shared" si="29"/>
        <v>26-27</v>
      </c>
      <c r="E143" s="24" t="str">
        <f t="shared" si="29"/>
        <v>27-28</v>
      </c>
      <c r="F143" s="24" t="str">
        <f t="shared" si="29"/>
        <v>28-29</v>
      </c>
    </row>
    <row r="144" spans="1:12" x14ac:dyDescent="0.25">
      <c r="A144" s="93" t="s">
        <v>133</v>
      </c>
      <c r="B144" s="7">
        <f>'24-25'!H144</f>
        <v>6500</v>
      </c>
      <c r="C144" s="7">
        <f>'25-26'!H144</f>
        <v>31500</v>
      </c>
      <c r="D144" s="7">
        <f>'26-27'!H144</f>
        <v>34650</v>
      </c>
      <c r="E144" s="7">
        <f>'27-28'!H144</f>
        <v>37800</v>
      </c>
      <c r="F144" s="7">
        <f>'28-29'!H144</f>
        <v>40950</v>
      </c>
    </row>
    <row r="145" spans="1:6" x14ac:dyDescent="0.25">
      <c r="A145" s="94" t="s">
        <v>135</v>
      </c>
      <c r="B145" s="7">
        <f>'24-25'!H145</f>
        <v>0</v>
      </c>
      <c r="C145" s="7">
        <f>'25-26'!H145</f>
        <v>0</v>
      </c>
      <c r="D145" s="7">
        <f>'26-27'!H145</f>
        <v>0</v>
      </c>
      <c r="E145" s="7">
        <f>'27-28'!H145</f>
        <v>0</v>
      </c>
      <c r="F145" s="7">
        <f>'28-29'!H145</f>
        <v>0</v>
      </c>
    </row>
    <row r="146" spans="1:6" x14ac:dyDescent="0.25">
      <c r="A146" s="39" t="s">
        <v>136</v>
      </c>
      <c r="B146" s="7">
        <f>'24-25'!H146</f>
        <v>15000</v>
      </c>
      <c r="C146" s="7">
        <f>'25-26'!H146</f>
        <v>0</v>
      </c>
      <c r="D146" s="7">
        <f>'26-27'!H146</f>
        <v>0</v>
      </c>
      <c r="E146" s="7">
        <f>'27-28'!H146</f>
        <v>0</v>
      </c>
      <c r="F146" s="7">
        <f>'28-29'!H146</f>
        <v>0</v>
      </c>
    </row>
    <row r="147" spans="1:6" x14ac:dyDescent="0.25">
      <c r="A147" s="39" t="s">
        <v>138</v>
      </c>
      <c r="B147" s="7">
        <f>'24-25'!H147</f>
        <v>3330</v>
      </c>
      <c r="C147" s="7">
        <f>'25-26'!H147</f>
        <v>4500</v>
      </c>
      <c r="D147" s="7">
        <f>'26-27'!H147</f>
        <v>4950</v>
      </c>
      <c r="E147" s="7">
        <f>'27-28'!H147</f>
        <v>5400</v>
      </c>
      <c r="F147" s="7">
        <f>'28-29'!H147</f>
        <v>5850</v>
      </c>
    </row>
    <row r="148" spans="1:6" x14ac:dyDescent="0.25">
      <c r="A148" s="39" t="s">
        <v>140</v>
      </c>
      <c r="B148" s="7">
        <f>'24-25'!H148</f>
        <v>9500</v>
      </c>
      <c r="C148" s="7">
        <f>'25-26'!H148</f>
        <v>6000</v>
      </c>
      <c r="D148" s="7">
        <f>'26-27'!H148</f>
        <v>6600</v>
      </c>
      <c r="E148" s="7">
        <f>'27-28'!H148</f>
        <v>7200</v>
      </c>
      <c r="F148" s="7">
        <f>'28-29'!H148</f>
        <v>7800</v>
      </c>
    </row>
    <row r="149" spans="1:6" x14ac:dyDescent="0.25">
      <c r="A149" s="39" t="s">
        <v>142</v>
      </c>
      <c r="B149" s="7">
        <f>'24-25'!H149</f>
        <v>1110</v>
      </c>
      <c r="C149" s="7">
        <f>'25-26'!H149</f>
        <v>1500</v>
      </c>
      <c r="D149" s="7">
        <f>'26-27'!H149</f>
        <v>1650</v>
      </c>
      <c r="E149" s="7">
        <f>'27-28'!H149</f>
        <v>1800</v>
      </c>
      <c r="F149" s="7">
        <f>'28-29'!H149</f>
        <v>1950</v>
      </c>
    </row>
    <row r="150" spans="1:6" x14ac:dyDescent="0.25">
      <c r="A150" s="39" t="s">
        <v>144</v>
      </c>
      <c r="B150" s="7">
        <f>'24-25'!H150</f>
        <v>888</v>
      </c>
      <c r="C150" s="7">
        <f>'25-26'!H150</f>
        <v>1200</v>
      </c>
      <c r="D150" s="7">
        <f>'26-27'!H150</f>
        <v>1320</v>
      </c>
      <c r="E150" s="7">
        <f>'27-28'!H150</f>
        <v>1440</v>
      </c>
      <c r="F150" s="7">
        <f>'28-29'!H150</f>
        <v>1560</v>
      </c>
    </row>
    <row r="151" spans="1:6" x14ac:dyDescent="0.25">
      <c r="A151" s="39" t="s">
        <v>146</v>
      </c>
      <c r="B151" s="7">
        <f>'24-25'!H151</f>
        <v>2550</v>
      </c>
      <c r="C151" s="7">
        <f>'25-26'!H151</f>
        <v>3445.9459459459458</v>
      </c>
      <c r="D151" s="7">
        <f>'26-27'!H151</f>
        <v>3790.5405405405404</v>
      </c>
      <c r="E151" s="7">
        <f>'27-28'!H151</f>
        <v>4135.135135135135</v>
      </c>
      <c r="F151" s="7">
        <f>'28-29'!H151</f>
        <v>4479.7297297297291</v>
      </c>
    </row>
    <row r="152" spans="1:6" x14ac:dyDescent="0.25">
      <c r="A152" s="39" t="s">
        <v>148</v>
      </c>
      <c r="B152" s="7">
        <f>'24-25'!H152</f>
        <v>7500</v>
      </c>
      <c r="C152" s="7">
        <f>'25-26'!H152</f>
        <v>7500</v>
      </c>
      <c r="D152" s="7">
        <f>'26-27'!H152</f>
        <v>7500</v>
      </c>
      <c r="E152" s="7">
        <f>'27-28'!H152</f>
        <v>7500</v>
      </c>
      <c r="F152" s="7">
        <f>'28-29'!H152</f>
        <v>7500</v>
      </c>
    </row>
    <row r="153" spans="1:6" x14ac:dyDescent="0.25">
      <c r="A153" s="95" t="s">
        <v>149</v>
      </c>
      <c r="B153" s="7">
        <f>'24-25'!H153</f>
        <v>6705</v>
      </c>
      <c r="C153" s="7">
        <f>'25-26'!H153</f>
        <v>6750</v>
      </c>
      <c r="D153" s="7">
        <f>'26-27'!H153</f>
        <v>7425</v>
      </c>
      <c r="E153" s="7">
        <f>'27-28'!H153</f>
        <v>8100</v>
      </c>
      <c r="F153" s="7">
        <f>'28-29'!H153</f>
        <v>8775</v>
      </c>
    </row>
    <row r="154" spans="1:6" x14ac:dyDescent="0.25">
      <c r="A154" s="82" t="s">
        <v>151</v>
      </c>
      <c r="B154" s="83">
        <f>SUM(B144:B153)</f>
        <v>53083</v>
      </c>
      <c r="C154" s="83">
        <f t="shared" ref="C154:F154" si="30">SUM(C144:C153)</f>
        <v>62395.945945945947</v>
      </c>
      <c r="D154" s="83">
        <f t="shared" si="30"/>
        <v>67885.540540540533</v>
      </c>
      <c r="E154" s="83">
        <f t="shared" si="30"/>
        <v>73375.135135135133</v>
      </c>
      <c r="F154" s="83">
        <f t="shared" si="30"/>
        <v>78864.729729729734</v>
      </c>
    </row>
    <row r="155" spans="1:6" x14ac:dyDescent="0.25">
      <c r="A155" s="92" t="s">
        <v>152</v>
      </c>
      <c r="B155" s="24" t="str">
        <f t="shared" ref="B155:F155" si="31">B1</f>
        <v>24-25</v>
      </c>
      <c r="C155" s="24" t="str">
        <f t="shared" si="31"/>
        <v>25-26</v>
      </c>
      <c r="D155" s="24" t="str">
        <f t="shared" si="31"/>
        <v>26-27</v>
      </c>
      <c r="E155" s="24" t="str">
        <f t="shared" si="31"/>
        <v>27-28</v>
      </c>
      <c r="F155" s="24" t="str">
        <f t="shared" si="31"/>
        <v>28-29</v>
      </c>
    </row>
    <row r="156" spans="1:6" x14ac:dyDescent="0.25">
      <c r="A156" s="39" t="s">
        <v>153</v>
      </c>
      <c r="B156" s="7">
        <f>'24-25'!H156</f>
        <v>10000</v>
      </c>
      <c r="C156" s="7">
        <f>'25-26'!H156</f>
        <v>10000</v>
      </c>
      <c r="D156" s="7">
        <f>'26-27'!H156</f>
        <v>10000</v>
      </c>
      <c r="E156" s="7">
        <f>'27-28'!H156</f>
        <v>10000</v>
      </c>
      <c r="F156" s="7">
        <f>'28-29'!H156</f>
        <v>10000</v>
      </c>
    </row>
    <row r="157" spans="1:6" x14ac:dyDescent="0.25">
      <c r="A157" s="39" t="s">
        <v>154</v>
      </c>
      <c r="B157" s="7">
        <f>'24-25'!H157</f>
        <v>47175</v>
      </c>
      <c r="C157" s="7">
        <f>'25-26'!H157</f>
        <v>63750</v>
      </c>
      <c r="D157" s="7">
        <f>'26-27'!H157</f>
        <v>70125</v>
      </c>
      <c r="E157" s="7">
        <f>'27-28'!H157</f>
        <v>76500</v>
      </c>
      <c r="F157" s="7">
        <f>'28-29'!H157</f>
        <v>82875</v>
      </c>
    </row>
    <row r="158" spans="1:6" x14ac:dyDescent="0.25">
      <c r="A158" s="39" t="s">
        <v>156</v>
      </c>
      <c r="B158" s="7">
        <f>'24-25'!H158</f>
        <v>75000</v>
      </c>
      <c r="C158" s="7">
        <f>'25-26'!H158</f>
        <v>75000</v>
      </c>
      <c r="D158" s="7">
        <f>'26-27'!H158</f>
        <v>75000</v>
      </c>
      <c r="E158" s="7">
        <f>'27-28'!H158</f>
        <v>75000</v>
      </c>
      <c r="F158" s="7">
        <f>'28-29'!H158</f>
        <v>75000</v>
      </c>
    </row>
    <row r="159" spans="1:6" x14ac:dyDescent="0.25">
      <c r="A159" s="39" t="s">
        <v>158</v>
      </c>
      <c r="B159" s="7">
        <f>'24-25'!H159</f>
        <v>50000</v>
      </c>
      <c r="C159" s="7">
        <f>'25-26'!H159</f>
        <v>50000</v>
      </c>
      <c r="D159" s="7">
        <f>'26-27'!H159</f>
        <v>50000</v>
      </c>
      <c r="E159" s="7">
        <f>'27-28'!H159</f>
        <v>50000</v>
      </c>
      <c r="F159" s="7">
        <f>'28-29'!H159</f>
        <v>50000</v>
      </c>
    </row>
    <row r="160" spans="1:6" x14ac:dyDescent="0.25">
      <c r="A160" s="39" t="s">
        <v>159</v>
      </c>
      <c r="B160" s="7">
        <f>'24-25'!H160</f>
        <v>54945</v>
      </c>
      <c r="C160" s="7">
        <f>'25-26'!H160</f>
        <v>76477.5</v>
      </c>
      <c r="D160" s="7">
        <f>'26-27'!H160</f>
        <v>85387.128750000003</v>
      </c>
      <c r="E160" s="7">
        <f>'27-28'!H160</f>
        <v>94546.838925000004</v>
      </c>
      <c r="F160" s="7">
        <f>'28-29'!H160</f>
        <v>103962.12830128123</v>
      </c>
    </row>
    <row r="161" spans="1:6" x14ac:dyDescent="0.25">
      <c r="A161" s="39" t="s">
        <v>161</v>
      </c>
      <c r="B161" s="7">
        <f>'24-25'!H161</f>
        <v>6813</v>
      </c>
      <c r="C161" s="7">
        <f>'25-26'!H161</f>
        <v>7153.6500000000005</v>
      </c>
      <c r="D161" s="7">
        <f>'26-27'!H161</f>
        <v>7511.3325000000004</v>
      </c>
      <c r="E161" s="7">
        <f>'27-28'!H161</f>
        <v>7886.8991250000008</v>
      </c>
      <c r="F161" s="7">
        <f>'28-29'!H161</f>
        <v>7886.8991250000008</v>
      </c>
    </row>
    <row r="162" spans="1:6" x14ac:dyDescent="0.25">
      <c r="A162" s="39" t="s">
        <v>163</v>
      </c>
      <c r="B162" s="7">
        <f>'24-25'!H162</f>
        <v>30000</v>
      </c>
      <c r="C162" s="7">
        <f>'25-26'!H162</f>
        <v>31500</v>
      </c>
      <c r="D162" s="7">
        <f>'26-27'!H162</f>
        <v>33075</v>
      </c>
      <c r="E162" s="7">
        <f>'27-28'!H162</f>
        <v>34728.75</v>
      </c>
      <c r="F162" s="7">
        <f>'28-29'!H162</f>
        <v>36465.1875</v>
      </c>
    </row>
    <row r="163" spans="1:6" x14ac:dyDescent="0.25">
      <c r="A163" s="39" t="s">
        <v>165</v>
      </c>
      <c r="B163" s="7">
        <f>'24-25'!H163</f>
        <v>35000</v>
      </c>
      <c r="C163" s="7">
        <f>'25-26'!H163</f>
        <v>20000</v>
      </c>
      <c r="D163" s="7">
        <f>'26-27'!H163</f>
        <v>20000</v>
      </c>
      <c r="E163" s="7">
        <f>'27-28'!H163</f>
        <v>20000</v>
      </c>
      <c r="F163" s="7">
        <f>'28-29'!H163</f>
        <v>20000</v>
      </c>
    </row>
    <row r="164" spans="1:6" x14ac:dyDescent="0.25">
      <c r="A164" s="39" t="s">
        <v>166</v>
      </c>
      <c r="B164" s="7">
        <f>'24-25'!H164</f>
        <v>6048</v>
      </c>
      <c r="C164" s="7">
        <f>'25-26'!H164</f>
        <v>7920</v>
      </c>
      <c r="D164" s="7">
        <f>'26-27'!H164</f>
        <v>8640</v>
      </c>
      <c r="E164" s="7">
        <f>'27-28'!H164</f>
        <v>9360</v>
      </c>
      <c r="F164" s="7">
        <f>'28-29'!H164</f>
        <v>10080</v>
      </c>
    </row>
    <row r="165" spans="1:6" x14ac:dyDescent="0.25">
      <c r="A165" s="39" t="s">
        <v>168</v>
      </c>
      <c r="B165" s="7">
        <f>'24-25'!H165</f>
        <v>15000</v>
      </c>
      <c r="C165" s="7">
        <f>'25-26'!H165</f>
        <v>15000</v>
      </c>
      <c r="D165" s="7">
        <f>'26-27'!H165</f>
        <v>15000</v>
      </c>
      <c r="E165" s="7">
        <f>'27-28'!H165</f>
        <v>15000</v>
      </c>
      <c r="F165" s="7">
        <f>'28-29'!H165</f>
        <v>15000</v>
      </c>
    </row>
    <row r="166" spans="1:6" x14ac:dyDescent="0.25">
      <c r="A166" s="39" t="s">
        <v>169</v>
      </c>
      <c r="B166" s="7">
        <f>'24-25'!H166</f>
        <v>15844.9375</v>
      </c>
      <c r="C166" s="7">
        <f>'25-26'!H166</f>
        <v>21439.818766891894</v>
      </c>
      <c r="D166" s="7">
        <f>'26-27'!H166</f>
        <v>23776.314562922296</v>
      </c>
      <c r="E166" s="7">
        <f>'27-28'!H166</f>
        <v>26178.08127361106</v>
      </c>
      <c r="F166" s="7">
        <f>'28-29'!H166</f>
        <v>28646.551314843826</v>
      </c>
    </row>
    <row r="167" spans="1:6" x14ac:dyDescent="0.25">
      <c r="A167" s="39" t="s">
        <v>170</v>
      </c>
      <c r="B167" s="7">
        <f>'24-25'!H167</f>
        <v>0</v>
      </c>
      <c r="C167" s="7">
        <f>'25-26'!H167</f>
        <v>0</v>
      </c>
      <c r="D167" s="7">
        <f>'26-27'!H167</f>
        <v>0</v>
      </c>
      <c r="E167" s="7">
        <f>'27-28'!H167</f>
        <v>0</v>
      </c>
      <c r="F167" s="7">
        <f>'28-29'!H167</f>
        <v>0</v>
      </c>
    </row>
    <row r="168" spans="1:6" x14ac:dyDescent="0.25">
      <c r="A168" s="39" t="s">
        <v>172</v>
      </c>
      <c r="B168" s="7">
        <f>'24-25'!H168</f>
        <v>0</v>
      </c>
      <c r="C168" s="7">
        <f>'25-26'!H168</f>
        <v>0</v>
      </c>
      <c r="D168" s="7">
        <f>'26-27'!H168</f>
        <v>0</v>
      </c>
      <c r="E168" s="7">
        <f>'27-28'!H168</f>
        <v>0</v>
      </c>
      <c r="F168" s="7">
        <f>'28-29'!H168</f>
        <v>0</v>
      </c>
    </row>
    <row r="169" spans="1:6" x14ac:dyDescent="0.25">
      <c r="A169" s="95" t="s">
        <v>174</v>
      </c>
      <c r="B169" s="7">
        <f>'24-25'!H169</f>
        <v>16345.48</v>
      </c>
      <c r="C169" s="7">
        <f>'25-26'!H169</f>
        <v>18393.025000000001</v>
      </c>
      <c r="D169" s="7">
        <f>'26-27'!H169</f>
        <v>19240.249697499999</v>
      </c>
      <c r="E169" s="7">
        <f>'27-28'!H169</f>
        <v>20111.254865049996</v>
      </c>
      <c r="F169" s="7">
        <f>'28-29'!H169</f>
        <v>21006.563291194558</v>
      </c>
    </row>
    <row r="170" spans="1:6" x14ac:dyDescent="0.25">
      <c r="A170" s="82" t="s">
        <v>175</v>
      </c>
      <c r="B170" s="83">
        <f>SUM(B156:B169)</f>
        <v>362171.41749999998</v>
      </c>
      <c r="C170" s="83">
        <f t="shared" ref="C170:F170" si="32">SUM(C156:C169)</f>
        <v>396633.99376689194</v>
      </c>
      <c r="D170" s="83">
        <f t="shared" si="32"/>
        <v>417755.02551042236</v>
      </c>
      <c r="E170" s="83">
        <f t="shared" si="32"/>
        <v>439311.82418866106</v>
      </c>
      <c r="F170" s="83">
        <f t="shared" si="32"/>
        <v>460922.32953231962</v>
      </c>
    </row>
    <row r="171" spans="1:6" x14ac:dyDescent="0.25">
      <c r="A171" s="92" t="s">
        <v>176</v>
      </c>
      <c r="B171" s="24" t="str">
        <f t="shared" ref="B171:F171" si="33">B1</f>
        <v>24-25</v>
      </c>
      <c r="C171" s="24" t="str">
        <f t="shared" si="33"/>
        <v>25-26</v>
      </c>
      <c r="D171" s="24" t="str">
        <f t="shared" si="33"/>
        <v>26-27</v>
      </c>
      <c r="E171" s="24" t="str">
        <f t="shared" si="33"/>
        <v>27-28</v>
      </c>
      <c r="F171" s="24" t="str">
        <f t="shared" si="33"/>
        <v>28-29</v>
      </c>
    </row>
    <row r="172" spans="1:6" x14ac:dyDescent="0.25">
      <c r="A172" s="99" t="s">
        <v>177</v>
      </c>
      <c r="B172" s="7">
        <f>'24-25'!H172</f>
        <v>2860</v>
      </c>
      <c r="C172" s="7">
        <f>'25-26'!H172</f>
        <v>3003</v>
      </c>
      <c r="D172" s="7">
        <f>'26-27'!H172</f>
        <v>3153.15</v>
      </c>
      <c r="E172" s="7">
        <f>'27-28'!H172</f>
        <v>3310.8075000000003</v>
      </c>
      <c r="F172" s="7">
        <f>'28-29'!H172</f>
        <v>3476.3478750000004</v>
      </c>
    </row>
    <row r="173" spans="1:6" x14ac:dyDescent="0.25">
      <c r="A173" s="39" t="s">
        <v>179</v>
      </c>
      <c r="B173" s="7">
        <f>'24-25'!H173</f>
        <v>3900</v>
      </c>
      <c r="C173" s="7">
        <f>'25-26'!H173</f>
        <v>4095</v>
      </c>
      <c r="D173" s="7">
        <f>'26-27'!H173</f>
        <v>4299.75</v>
      </c>
      <c r="E173" s="7">
        <f>'27-28'!H173</f>
        <v>4514.7375000000002</v>
      </c>
      <c r="F173" s="7">
        <f>'28-29'!H173</f>
        <v>4740.4743750000007</v>
      </c>
    </row>
    <row r="174" spans="1:6" x14ac:dyDescent="0.25">
      <c r="A174" s="39" t="s">
        <v>180</v>
      </c>
      <c r="B174" s="7">
        <f>'24-25'!H174</f>
        <v>0</v>
      </c>
      <c r="C174" s="7">
        <f>'25-26'!H174</f>
        <v>0</v>
      </c>
      <c r="D174" s="7">
        <f>'26-27'!H174</f>
        <v>0</v>
      </c>
      <c r="E174" s="7">
        <f>'27-28'!H174</f>
        <v>0</v>
      </c>
      <c r="F174" s="7">
        <f>'28-29'!H174</f>
        <v>0</v>
      </c>
    </row>
    <row r="175" spans="1:6" x14ac:dyDescent="0.25">
      <c r="A175" s="39" t="s">
        <v>181</v>
      </c>
      <c r="B175" s="7">
        <f>'24-25'!H175</f>
        <v>2000</v>
      </c>
      <c r="C175" s="7">
        <f>'25-26'!H175</f>
        <v>2000</v>
      </c>
      <c r="D175" s="7">
        <f>'26-27'!H175</f>
        <v>2000</v>
      </c>
      <c r="E175" s="7">
        <f>'27-28'!H175</f>
        <v>2000</v>
      </c>
      <c r="F175" s="7">
        <f>'28-29'!H175</f>
        <v>2000</v>
      </c>
    </row>
    <row r="176" spans="1:6" x14ac:dyDescent="0.25">
      <c r="A176" s="39" t="s">
        <v>182</v>
      </c>
      <c r="B176" s="7">
        <f>'24-25'!H176</f>
        <v>5500</v>
      </c>
      <c r="C176" s="7">
        <f>'25-26'!H176</f>
        <v>5775</v>
      </c>
      <c r="D176" s="7">
        <f>'26-27'!H176</f>
        <v>6063.75</v>
      </c>
      <c r="E176" s="7">
        <f>'27-28'!H176</f>
        <v>6366.9375</v>
      </c>
      <c r="F176" s="7">
        <f>'28-29'!H176</f>
        <v>6685.2843750000002</v>
      </c>
    </row>
    <row r="177" spans="1:6" x14ac:dyDescent="0.25">
      <c r="A177" s="39" t="s">
        <v>183</v>
      </c>
      <c r="B177" s="7">
        <f>'24-25'!H177</f>
        <v>15000</v>
      </c>
      <c r="C177" s="7">
        <f>'25-26'!H177</f>
        <v>15750</v>
      </c>
      <c r="D177" s="7">
        <f>'26-27'!H177</f>
        <v>16537.5</v>
      </c>
      <c r="E177" s="7">
        <f>'27-28'!H177</f>
        <v>17364.375</v>
      </c>
      <c r="F177" s="7">
        <f>'28-29'!H177</f>
        <v>18232.59375</v>
      </c>
    </row>
    <row r="178" spans="1:6" x14ac:dyDescent="0.25">
      <c r="A178" s="39" t="s">
        <v>184</v>
      </c>
      <c r="B178" s="7">
        <f>'24-25'!H178</f>
        <v>8766.4</v>
      </c>
      <c r="C178" s="7">
        <f>'25-26'!H178</f>
        <v>8860</v>
      </c>
      <c r="D178" s="7">
        <f>'26-27'!H178</f>
        <v>8896</v>
      </c>
      <c r="E178" s="7">
        <f>'27-28'!H178</f>
        <v>8932</v>
      </c>
      <c r="F178" s="7">
        <f>'28-29'!H178</f>
        <v>8968</v>
      </c>
    </row>
    <row r="179" spans="1:6" x14ac:dyDescent="0.25">
      <c r="A179" s="39" t="s">
        <v>185</v>
      </c>
      <c r="B179" s="7">
        <f>'24-25'!H179</f>
        <v>11457.6</v>
      </c>
      <c r="C179" s="7">
        <f>'25-26'!H179</f>
        <v>12603.36</v>
      </c>
      <c r="D179" s="7">
        <f>'26-27'!H179</f>
        <v>13863.696000000002</v>
      </c>
      <c r="E179" s="7">
        <f>'27-28'!H179</f>
        <v>15250.065600000004</v>
      </c>
      <c r="F179" s="7">
        <f>'28-29'!H179</f>
        <v>16775.072160000007</v>
      </c>
    </row>
    <row r="180" spans="1:6" x14ac:dyDescent="0.25">
      <c r="A180" s="39" t="s">
        <v>186</v>
      </c>
      <c r="B180" s="7">
        <f>'24-25'!H180</f>
        <v>10025.400000000001</v>
      </c>
      <c r="C180" s="7">
        <f>'25-26'!H180</f>
        <v>11027.940000000002</v>
      </c>
      <c r="D180" s="7">
        <f>'26-27'!H180</f>
        <v>12130.734000000004</v>
      </c>
      <c r="E180" s="7">
        <f>'27-28'!H180</f>
        <v>13343.807400000005</v>
      </c>
      <c r="F180" s="7">
        <f>'28-29'!H180</f>
        <v>14678.188140000007</v>
      </c>
    </row>
    <row r="181" spans="1:6" x14ac:dyDescent="0.25">
      <c r="A181" s="39" t="s">
        <v>187</v>
      </c>
      <c r="B181" s="7">
        <f>'24-25'!H181</f>
        <v>14322.000000000002</v>
      </c>
      <c r="C181" s="7">
        <f>'25-26'!H181</f>
        <v>15754.200000000003</v>
      </c>
      <c r="D181" s="7">
        <f>'26-27'!H181</f>
        <v>17329.620000000003</v>
      </c>
      <c r="E181" s="7">
        <f>'27-28'!H181</f>
        <v>19062.582000000006</v>
      </c>
      <c r="F181" s="7">
        <f>'28-29'!H181</f>
        <v>20968.84020000001</v>
      </c>
    </row>
    <row r="182" spans="1:6" x14ac:dyDescent="0.25">
      <c r="A182" s="39" t="s">
        <v>188</v>
      </c>
      <c r="B182" s="7">
        <f>'24-25'!H182</f>
        <v>47951.999999999993</v>
      </c>
      <c r="C182" s="7">
        <f>'25-26'!H182</f>
        <v>64800</v>
      </c>
      <c r="D182" s="7">
        <f>'26-27'!H182</f>
        <v>71280</v>
      </c>
      <c r="E182" s="7">
        <f>'27-28'!H182</f>
        <v>77760</v>
      </c>
      <c r="F182" s="7">
        <f>'28-29'!H182</f>
        <v>84240</v>
      </c>
    </row>
    <row r="183" spans="1:6" x14ac:dyDescent="0.25">
      <c r="A183" s="39" t="s">
        <v>189</v>
      </c>
      <c r="B183" s="7">
        <f>'24-25'!H183</f>
        <v>74925</v>
      </c>
      <c r="C183" s="7">
        <f>'25-26'!H183</f>
        <v>101250</v>
      </c>
      <c r="D183" s="7">
        <f>'26-27'!H183</f>
        <v>111375</v>
      </c>
      <c r="E183" s="7">
        <f>'27-28'!H183</f>
        <v>121500</v>
      </c>
      <c r="F183" s="7">
        <f>'28-29'!H183</f>
        <v>131625</v>
      </c>
    </row>
    <row r="184" spans="1:6" x14ac:dyDescent="0.25">
      <c r="A184" s="39" t="s">
        <v>190</v>
      </c>
      <c r="B184" s="7">
        <f>'24-25'!H184</f>
        <v>5000</v>
      </c>
      <c r="C184" s="7">
        <f>'25-26'!H184</f>
        <v>5000</v>
      </c>
      <c r="D184" s="7">
        <f>'26-27'!H184</f>
        <v>5000</v>
      </c>
      <c r="E184" s="7">
        <f>'27-28'!H184</f>
        <v>5000</v>
      </c>
      <c r="F184" s="7">
        <f>'28-29'!H184</f>
        <v>5000</v>
      </c>
    </row>
    <row r="185" spans="1:6" x14ac:dyDescent="0.25">
      <c r="A185" s="39" t="s">
        <v>191</v>
      </c>
      <c r="B185" s="7">
        <f>'24-25'!H185</f>
        <v>10900.25</v>
      </c>
      <c r="C185" s="7">
        <f>'25-26'!H185</f>
        <v>10900.25</v>
      </c>
      <c r="D185" s="7">
        <f>'26-27'!H185</f>
        <v>10900.25</v>
      </c>
      <c r="E185" s="7">
        <f>'27-28'!H185</f>
        <v>10900.25</v>
      </c>
      <c r="F185" s="7">
        <f>'28-29'!H185</f>
        <v>10900.25</v>
      </c>
    </row>
    <row r="186" spans="1:6" x14ac:dyDescent="0.25">
      <c r="A186" s="39" t="s">
        <v>192</v>
      </c>
      <c r="B186" s="7">
        <f>'24-25'!H186</f>
        <v>900</v>
      </c>
      <c r="C186" s="7">
        <f>'25-26'!H186</f>
        <v>900</v>
      </c>
      <c r="D186" s="7">
        <f>'26-27'!H186</f>
        <v>900</v>
      </c>
      <c r="E186" s="7">
        <f>'27-28'!H186</f>
        <v>900</v>
      </c>
      <c r="F186" s="7">
        <f>'28-29'!H186</f>
        <v>900</v>
      </c>
    </row>
    <row r="187" spans="1:6" x14ac:dyDescent="0.25">
      <c r="A187" s="39" t="s">
        <v>193</v>
      </c>
      <c r="B187" s="7">
        <f>'24-25'!H187</f>
        <v>6500</v>
      </c>
      <c r="C187" s="7">
        <f>'25-26'!H187</f>
        <v>6500</v>
      </c>
      <c r="D187" s="7">
        <f>'26-27'!H187</f>
        <v>6500</v>
      </c>
      <c r="E187" s="7">
        <f>'27-28'!H187</f>
        <v>6500</v>
      </c>
      <c r="F187" s="7">
        <f>'28-29'!H187</f>
        <v>6500</v>
      </c>
    </row>
    <row r="188" spans="1:6" x14ac:dyDescent="0.25">
      <c r="A188" s="39" t="s">
        <v>194</v>
      </c>
      <c r="B188" s="7">
        <f>'24-25'!H188</f>
        <v>0</v>
      </c>
      <c r="C188" s="7">
        <f>'25-26'!H188</f>
        <v>0</v>
      </c>
      <c r="D188" s="7">
        <f>'26-27'!H188</f>
        <v>0</v>
      </c>
      <c r="E188" s="7">
        <f>'27-28'!H188</f>
        <v>0</v>
      </c>
      <c r="F188" s="7">
        <f>'28-29'!H188</f>
        <v>0</v>
      </c>
    </row>
    <row r="189" spans="1:6" x14ac:dyDescent="0.25">
      <c r="A189" s="39" t="s">
        <v>195</v>
      </c>
      <c r="B189" s="7">
        <f>'24-25'!H189</f>
        <v>0</v>
      </c>
      <c r="C189" s="7">
        <f>'25-26'!H189</f>
        <v>0</v>
      </c>
      <c r="D189" s="7">
        <f>'26-27'!H189</f>
        <v>0</v>
      </c>
      <c r="E189" s="7">
        <f>'27-28'!H189</f>
        <v>0</v>
      </c>
      <c r="F189" s="7">
        <f>'28-29'!H189</f>
        <v>0</v>
      </c>
    </row>
    <row r="190" spans="1:6" x14ac:dyDescent="0.25">
      <c r="A190" s="39" t="s">
        <v>196</v>
      </c>
      <c r="B190" s="7">
        <f>'24-25'!H190</f>
        <v>0</v>
      </c>
      <c r="C190" s="7">
        <f>'25-26'!H190</f>
        <v>0</v>
      </c>
      <c r="D190" s="7">
        <f>'26-27'!H190</f>
        <v>0</v>
      </c>
      <c r="E190" s="7">
        <f>'27-28'!H190</f>
        <v>0</v>
      </c>
      <c r="F190" s="7">
        <f>'28-29'!H190</f>
        <v>0</v>
      </c>
    </row>
    <row r="191" spans="1:6" x14ac:dyDescent="0.25">
      <c r="A191" s="39" t="s">
        <v>197</v>
      </c>
      <c r="B191" s="7">
        <f>'24-25'!H191</f>
        <v>0</v>
      </c>
      <c r="C191" s="7">
        <f>'25-26'!H191</f>
        <v>0</v>
      </c>
      <c r="D191" s="7">
        <f>'26-27'!H191</f>
        <v>0</v>
      </c>
      <c r="E191" s="7">
        <f>'27-28'!H191</f>
        <v>0</v>
      </c>
      <c r="F191" s="7">
        <f>'28-29'!H191</f>
        <v>0</v>
      </c>
    </row>
    <row r="192" spans="1:6" x14ac:dyDescent="0.25">
      <c r="A192" s="39" t="s">
        <v>198</v>
      </c>
      <c r="B192" s="7">
        <f>'24-25'!H192</f>
        <v>0</v>
      </c>
      <c r="C192" s="7">
        <f>'25-26'!H192</f>
        <v>0</v>
      </c>
      <c r="D192" s="7">
        <f>'26-27'!H192</f>
        <v>0</v>
      </c>
      <c r="E192" s="7">
        <f>'27-28'!H192</f>
        <v>0</v>
      </c>
      <c r="F192" s="7">
        <f>'28-29'!H192</f>
        <v>0</v>
      </c>
    </row>
    <row r="193" spans="1:6" x14ac:dyDescent="0.25">
      <c r="A193" s="39" t="s">
        <v>199</v>
      </c>
      <c r="B193" s="7">
        <f>'24-25'!H193</f>
        <v>0</v>
      </c>
      <c r="C193" s="7">
        <f>'25-26'!H193</f>
        <v>0</v>
      </c>
      <c r="D193" s="7">
        <f>'26-27'!H193</f>
        <v>0</v>
      </c>
      <c r="E193" s="7">
        <f>'27-28'!H193</f>
        <v>0</v>
      </c>
      <c r="F193" s="7">
        <f>'28-29'!H193</f>
        <v>0</v>
      </c>
    </row>
    <row r="194" spans="1:6" x14ac:dyDescent="0.25">
      <c r="A194" s="39" t="s">
        <v>200</v>
      </c>
      <c r="B194" s="7">
        <f>'24-25'!H194</f>
        <v>0</v>
      </c>
      <c r="C194" s="7">
        <f>'25-26'!H194</f>
        <v>0</v>
      </c>
      <c r="D194" s="7">
        <f>'26-27'!H194</f>
        <v>0</v>
      </c>
      <c r="E194" s="7">
        <f>'27-28'!H194</f>
        <v>0</v>
      </c>
      <c r="F194" s="7">
        <f>'28-29'!H194</f>
        <v>0</v>
      </c>
    </row>
    <row r="195" spans="1:6" x14ac:dyDescent="0.25">
      <c r="A195" s="39" t="s">
        <v>201</v>
      </c>
      <c r="B195" s="7">
        <f>'24-25'!H195</f>
        <v>5000</v>
      </c>
      <c r="C195" s="7">
        <f>'25-26'!H195</f>
        <v>5000</v>
      </c>
      <c r="D195" s="7">
        <f>'26-27'!H195</f>
        <v>5000</v>
      </c>
      <c r="E195" s="7">
        <f>'27-28'!H195</f>
        <v>5000</v>
      </c>
      <c r="F195" s="7">
        <f>'28-29'!H195</f>
        <v>5000</v>
      </c>
    </row>
    <row r="196" spans="1:6" x14ac:dyDescent="0.25">
      <c r="A196" s="95" t="s">
        <v>202</v>
      </c>
      <c r="B196" s="7">
        <f>'24-25'!H196</f>
        <v>0</v>
      </c>
      <c r="C196" s="7">
        <f>'25-26'!H196</f>
        <v>0</v>
      </c>
      <c r="D196" s="7">
        <f>'26-27'!H196</f>
        <v>0</v>
      </c>
      <c r="E196" s="7">
        <f>'27-28'!H196</f>
        <v>0</v>
      </c>
      <c r="F196" s="7">
        <f>'28-29'!H196</f>
        <v>0</v>
      </c>
    </row>
    <row r="197" spans="1:6" x14ac:dyDescent="0.25">
      <c r="A197" s="82" t="s">
        <v>204</v>
      </c>
      <c r="B197" s="83">
        <f>SUM(B172:B196)</f>
        <v>225008.65</v>
      </c>
      <c r="C197" s="83">
        <f t="shared" ref="C197:F197" si="34">SUM(C172:C196)</f>
        <v>273218.75</v>
      </c>
      <c r="D197" s="83">
        <f t="shared" si="34"/>
        <v>295229.45</v>
      </c>
      <c r="E197" s="83">
        <f t="shared" si="34"/>
        <v>317705.5625</v>
      </c>
      <c r="F197" s="83">
        <f t="shared" si="34"/>
        <v>340690.05087500002</v>
      </c>
    </row>
    <row r="198" spans="1:6" x14ac:dyDescent="0.25">
      <c r="A198" s="92" t="s">
        <v>205</v>
      </c>
      <c r="B198" s="24" t="str">
        <f t="shared" ref="B198:F198" si="35">B1</f>
        <v>24-25</v>
      </c>
      <c r="C198" s="24" t="str">
        <f t="shared" si="35"/>
        <v>25-26</v>
      </c>
      <c r="D198" s="24" t="str">
        <f t="shared" si="35"/>
        <v>26-27</v>
      </c>
      <c r="E198" s="24" t="str">
        <f t="shared" si="35"/>
        <v>27-28</v>
      </c>
      <c r="F198" s="24" t="str">
        <f t="shared" si="35"/>
        <v>28-29</v>
      </c>
    </row>
    <row r="199" spans="1:6" x14ac:dyDescent="0.25">
      <c r="A199" s="99" t="s">
        <v>206</v>
      </c>
      <c r="B199" s="7">
        <f>'24-25'!H199</f>
        <v>44600</v>
      </c>
      <c r="C199" s="7">
        <f>'25-26'!H199</f>
        <v>45938</v>
      </c>
      <c r="D199" s="7">
        <f>'26-27'!H199</f>
        <v>47316.14</v>
      </c>
      <c r="E199" s="7">
        <f>'27-28'!H199</f>
        <v>48735.624199999998</v>
      </c>
      <c r="F199" s="7">
        <f>'28-29'!H199</f>
        <v>50197.692925999996</v>
      </c>
    </row>
    <row r="200" spans="1:6" x14ac:dyDescent="0.25">
      <c r="A200" s="39" t="s">
        <v>207</v>
      </c>
      <c r="B200" s="7">
        <f>'24-25'!H200</f>
        <v>1800</v>
      </c>
      <c r="C200" s="7">
        <f>'25-26'!H200</f>
        <v>1854</v>
      </c>
      <c r="D200" s="7">
        <f>'26-27'!H200</f>
        <v>1909.6200000000001</v>
      </c>
      <c r="E200" s="7">
        <f>'27-28'!H200</f>
        <v>1966.9086000000002</v>
      </c>
      <c r="F200" s="7">
        <f>'28-29'!H200</f>
        <v>2025.9158580000003</v>
      </c>
    </row>
    <row r="201" spans="1:6" x14ac:dyDescent="0.25">
      <c r="A201" s="39" t="s">
        <v>209</v>
      </c>
      <c r="B201" s="7">
        <f>'24-25'!H201</f>
        <v>10600</v>
      </c>
      <c r="C201" s="7">
        <f>'25-26'!H201</f>
        <v>10918</v>
      </c>
      <c r="D201" s="7">
        <f>'26-27'!H201</f>
        <v>11245.54</v>
      </c>
      <c r="E201" s="7">
        <f>'27-28'!H201</f>
        <v>11582.906200000001</v>
      </c>
      <c r="F201" s="7">
        <f>'28-29'!H201</f>
        <v>11930.393386000002</v>
      </c>
    </row>
    <row r="202" spans="1:6" x14ac:dyDescent="0.25">
      <c r="A202" s="39" t="s">
        <v>210</v>
      </c>
      <c r="B202" s="7">
        <f>'24-25'!H202</f>
        <v>4000</v>
      </c>
      <c r="C202" s="7">
        <f>'25-26'!H202</f>
        <v>4120</v>
      </c>
      <c r="D202" s="7">
        <f>'26-27'!H202</f>
        <v>4243.6000000000004</v>
      </c>
      <c r="E202" s="7">
        <f>'27-28'!H202</f>
        <v>4370.9080000000004</v>
      </c>
      <c r="F202" s="7">
        <f>'28-29'!H202</f>
        <v>4502.0352400000002</v>
      </c>
    </row>
    <row r="203" spans="1:6" x14ac:dyDescent="0.25">
      <c r="A203" s="39" t="s">
        <v>211</v>
      </c>
      <c r="B203" s="7">
        <f>'24-25'!H203</f>
        <v>1000</v>
      </c>
      <c r="C203" s="7">
        <f>'25-26'!H203</f>
        <v>1030</v>
      </c>
      <c r="D203" s="7">
        <f>'26-27'!H203</f>
        <v>1060.9000000000001</v>
      </c>
      <c r="E203" s="7">
        <f>'27-28'!H203</f>
        <v>1092.7270000000001</v>
      </c>
      <c r="F203" s="7">
        <f>'28-29'!H203</f>
        <v>1125.50881</v>
      </c>
    </row>
    <row r="204" spans="1:6" x14ac:dyDescent="0.25">
      <c r="A204" s="39" t="s">
        <v>212</v>
      </c>
      <c r="B204" s="7">
        <f>'24-25'!H204</f>
        <v>13009</v>
      </c>
      <c r="C204" s="7">
        <f>'25-26'!H204</f>
        <v>13399.27</v>
      </c>
      <c r="D204" s="7">
        <f>'26-27'!H204</f>
        <v>13801.248100000001</v>
      </c>
      <c r="E204" s="7">
        <f>'27-28'!H204</f>
        <v>14215.285543000002</v>
      </c>
      <c r="F204" s="7">
        <f>'28-29'!H204</f>
        <v>14641.744109290003</v>
      </c>
    </row>
    <row r="205" spans="1:6" x14ac:dyDescent="0.25">
      <c r="A205" s="39" t="s">
        <v>214</v>
      </c>
      <c r="B205" s="7">
        <f>'24-25'!H205</f>
        <v>20000</v>
      </c>
      <c r="C205" s="7">
        <f>'25-26'!H205</f>
        <v>20000</v>
      </c>
      <c r="D205" s="7">
        <f>'26-27'!H205</f>
        <v>20000</v>
      </c>
      <c r="E205" s="7">
        <f>'27-28'!H205</f>
        <v>20000</v>
      </c>
      <c r="F205" s="7">
        <f>'28-29'!H205</f>
        <v>20000</v>
      </c>
    </row>
    <row r="206" spans="1:6" x14ac:dyDescent="0.25">
      <c r="A206" s="39" t="s">
        <v>215</v>
      </c>
      <c r="B206" s="7">
        <f>'24-25'!H206</f>
        <v>0</v>
      </c>
      <c r="C206" s="7">
        <f>'25-26'!H206</f>
        <v>0</v>
      </c>
      <c r="D206" s="7">
        <f>'26-27'!H206</f>
        <v>0</v>
      </c>
      <c r="E206" s="7">
        <f>'27-28'!H206</f>
        <v>0</v>
      </c>
      <c r="F206" s="7">
        <f>'28-29'!H206</f>
        <v>0</v>
      </c>
    </row>
    <row r="207" spans="1:6" x14ac:dyDescent="0.25">
      <c r="A207" s="39" t="s">
        <v>216</v>
      </c>
      <c r="B207" s="7">
        <f>'24-25'!H207</f>
        <v>0</v>
      </c>
      <c r="C207" s="7">
        <f>'25-26'!H207</f>
        <v>0</v>
      </c>
      <c r="D207" s="7">
        <f>'26-27'!H207</f>
        <v>0</v>
      </c>
      <c r="E207" s="7">
        <f>'27-28'!H207</f>
        <v>0</v>
      </c>
      <c r="F207" s="7">
        <f>'28-29'!H207</f>
        <v>0</v>
      </c>
    </row>
    <row r="208" spans="1:6" x14ac:dyDescent="0.25">
      <c r="A208" s="95" t="s">
        <v>217</v>
      </c>
      <c r="B208" s="7">
        <f>'24-25'!H208</f>
        <v>6000</v>
      </c>
      <c r="C208" s="7">
        <f>'25-26'!H208</f>
        <v>6000</v>
      </c>
      <c r="D208" s="7">
        <f>'26-27'!H208</f>
        <v>6000</v>
      </c>
      <c r="E208" s="7">
        <f>'27-28'!H208</f>
        <v>6000</v>
      </c>
      <c r="F208" s="7">
        <f>'28-29'!H208</f>
        <v>6000</v>
      </c>
    </row>
    <row r="209" spans="1:6" x14ac:dyDescent="0.25">
      <c r="A209" s="82" t="s">
        <v>218</v>
      </c>
      <c r="B209" s="83">
        <f t="shared" ref="B209:F209" si="36">SUM(B199:B208)</f>
        <v>101009</v>
      </c>
      <c r="C209" s="83">
        <f t="shared" si="36"/>
        <v>103259.27</v>
      </c>
      <c r="D209" s="83">
        <f t="shared" si="36"/>
        <v>105577.0481</v>
      </c>
      <c r="E209" s="83">
        <f t="shared" si="36"/>
        <v>107964.359543</v>
      </c>
      <c r="F209" s="83">
        <f t="shared" si="36"/>
        <v>110423.29032929</v>
      </c>
    </row>
    <row r="210" spans="1:6" x14ac:dyDescent="0.25">
      <c r="A210" s="104"/>
      <c r="B210" s="7"/>
      <c r="C210" s="7"/>
      <c r="D210" s="7"/>
      <c r="E210" s="7"/>
      <c r="F210" s="7"/>
    </row>
    <row r="211" spans="1:6" x14ac:dyDescent="0.25">
      <c r="A211" s="82" t="s">
        <v>219</v>
      </c>
      <c r="B211" s="83">
        <f>B142+B154+B170+B197+B209</f>
        <v>2257313.7799999998</v>
      </c>
      <c r="C211" s="83">
        <f t="shared" ref="C211:F211" si="37">C142+C154+C170+C197+C209</f>
        <v>2361037.4304628377</v>
      </c>
      <c r="D211" s="83">
        <f t="shared" si="37"/>
        <v>2442667.7679947126</v>
      </c>
      <c r="E211" s="83">
        <f t="shared" si="37"/>
        <v>2525590.7167455647</v>
      </c>
      <c r="F211" s="83">
        <f t="shared" si="37"/>
        <v>2604043.2157507897</v>
      </c>
    </row>
    <row r="212" spans="1:6" x14ac:dyDescent="0.25">
      <c r="A212" s="105"/>
      <c r="B212" s="63"/>
      <c r="C212" s="63"/>
      <c r="D212" s="63"/>
      <c r="E212" s="63"/>
      <c r="F212" s="63"/>
    </row>
    <row r="213" spans="1:6" x14ac:dyDescent="0.25">
      <c r="A213" s="54" t="s">
        <v>220</v>
      </c>
      <c r="B213" s="12">
        <f>'24-25'!H213</f>
        <v>55500</v>
      </c>
      <c r="C213" s="12">
        <f>'25-26'!H213</f>
        <v>82500</v>
      </c>
      <c r="D213" s="12">
        <f>'26-27'!H213</f>
        <v>90750</v>
      </c>
      <c r="E213" s="12">
        <f>'27-28'!H213</f>
        <v>99000</v>
      </c>
      <c r="F213" s="12">
        <f>'28-29'!H213</f>
        <v>117975</v>
      </c>
    </row>
    <row r="214" spans="1:6" x14ac:dyDescent="0.25">
      <c r="A214" s="54" t="s">
        <v>221</v>
      </c>
      <c r="B214" s="12">
        <f>'24-25'!H214</f>
        <v>0</v>
      </c>
      <c r="C214" s="12">
        <f>'25-26'!H214</f>
        <v>0</v>
      </c>
      <c r="D214" s="12">
        <f>'26-27'!H214</f>
        <v>0</v>
      </c>
      <c r="E214" s="12">
        <f>'27-28'!H214</f>
        <v>0</v>
      </c>
      <c r="F214" s="12">
        <f>'28-29'!H214</f>
        <v>0</v>
      </c>
    </row>
    <row r="215" spans="1:6" x14ac:dyDescent="0.25">
      <c r="A215" s="54" t="s">
        <v>222</v>
      </c>
      <c r="B215" s="12">
        <f>'24-25'!H215</f>
        <v>0</v>
      </c>
      <c r="C215" s="12">
        <f>'25-26'!H215</f>
        <v>0</v>
      </c>
      <c r="D215" s="12">
        <f>'26-27'!H215</f>
        <v>0</v>
      </c>
      <c r="E215" s="12">
        <f>'27-28'!H215</f>
        <v>0</v>
      </c>
      <c r="F215" s="12">
        <f>'28-29'!H215</f>
        <v>0</v>
      </c>
    </row>
    <row r="216" spans="1:6" x14ac:dyDescent="0.25">
      <c r="A216" s="54" t="s">
        <v>223</v>
      </c>
      <c r="B216" s="12">
        <f>'24-25'!H216</f>
        <v>0</v>
      </c>
      <c r="C216" s="12">
        <f>'25-26'!H216</f>
        <v>0</v>
      </c>
      <c r="D216" s="12">
        <f>'26-27'!H216</f>
        <v>0</v>
      </c>
      <c r="E216" s="12">
        <f>'27-28'!H216</f>
        <v>0</v>
      </c>
      <c r="F216" s="12">
        <f>'28-29'!H216</f>
        <v>0</v>
      </c>
    </row>
    <row r="217" spans="1:6" x14ac:dyDescent="0.25">
      <c r="A217" s="54"/>
      <c r="B217" s="12"/>
      <c r="C217" s="12"/>
      <c r="D217" s="12"/>
      <c r="E217" s="12"/>
      <c r="F217" s="12"/>
    </row>
    <row r="218" spans="1:6" ht="15.75" thickBot="1" x14ac:dyDescent="0.3">
      <c r="A218" s="39"/>
      <c r="B218" s="46"/>
      <c r="C218" s="46"/>
      <c r="D218" s="46"/>
      <c r="E218" s="46"/>
      <c r="F218" s="46"/>
    </row>
    <row r="219" spans="1:6" ht="15.75" thickBot="1" x14ac:dyDescent="0.3">
      <c r="A219" s="106" t="s">
        <v>224</v>
      </c>
      <c r="B219" s="107">
        <f t="shared" ref="B219:F219" si="38">B97-B211-B213-B214-B216-B215</f>
        <v>0.42000000039115548</v>
      </c>
      <c r="C219" s="107">
        <f t="shared" si="38"/>
        <v>-0.3745168917812407</v>
      </c>
      <c r="D219" s="107">
        <f t="shared" si="38"/>
        <v>0.41109312511980534</v>
      </c>
      <c r="E219" s="107">
        <f t="shared" si="38"/>
        <v>0.25865683332085609</v>
      </c>
      <c r="F219" s="107">
        <f t="shared" si="38"/>
        <v>81380.822409689426</v>
      </c>
    </row>
    <row r="220" spans="1:6" x14ac:dyDescent="0.25">
      <c r="A220" s="108"/>
      <c r="B220" s="109">
        <f t="shared" ref="B220:F220" si="39">B219/(B97)</f>
        <v>1.8159694816434258E-7</v>
      </c>
      <c r="C220" s="109">
        <f t="shared" si="39"/>
        <v>-1.5326834961226203E-7</v>
      </c>
      <c r="D220" s="109">
        <f t="shared" si="39"/>
        <v>1.6226816737686008E-7</v>
      </c>
      <c r="E220" s="109">
        <f t="shared" si="39"/>
        <v>9.8551292656639284E-8</v>
      </c>
      <c r="F220" s="109">
        <f t="shared" si="39"/>
        <v>2.9029339491779771E-2</v>
      </c>
    </row>
    <row r="221" spans="1:6" x14ac:dyDescent="0.25">
      <c r="B221" s="110"/>
      <c r="C221" s="110"/>
      <c r="D221" s="110"/>
      <c r="E221" s="110"/>
      <c r="F221" s="110"/>
    </row>
    <row r="222" spans="1:6" x14ac:dyDescent="0.25">
      <c r="A222" s="1" t="str">
        <f t="shared" ref="A222:B222" si="40">A1</f>
        <v>Young Women's Academy of Las Vegas</v>
      </c>
      <c r="B222" s="1" t="str">
        <f t="shared" si="40"/>
        <v>24-25</v>
      </c>
      <c r="C222" s="1" t="str">
        <f t="shared" ref="C222:F222" si="41">C1</f>
        <v>25-26</v>
      </c>
      <c r="D222" s="1" t="str">
        <f t="shared" si="41"/>
        <v>26-27</v>
      </c>
      <c r="E222" s="1" t="str">
        <f t="shared" si="41"/>
        <v>27-28</v>
      </c>
      <c r="F222" s="1" t="str">
        <f t="shared" si="41"/>
        <v>28-29</v>
      </c>
    </row>
    <row r="224" spans="1:6" s="18" customFormat="1" x14ac:dyDescent="0.25">
      <c r="A224" s="10"/>
      <c r="B224" s="111" t="b">
        <f>B219='24-25'!H219</f>
        <v>1</v>
      </c>
      <c r="C224" s="111" t="b">
        <f>C219='25-26'!H219</f>
        <v>1</v>
      </c>
      <c r="D224" s="111" t="b">
        <f>D219='26-27'!H219</f>
        <v>1</v>
      </c>
      <c r="E224" s="111" t="b">
        <f>E219='27-28'!H219</f>
        <v>1</v>
      </c>
      <c r="F224" s="111" t="b">
        <f>F219='28-29'!H219</f>
        <v>1</v>
      </c>
    </row>
    <row r="225" spans="1:9" s="18" customFormat="1" x14ac:dyDescent="0.25">
      <c r="A225" s="112" t="s">
        <v>225</v>
      </c>
      <c r="B225" s="113">
        <f>B97-B211</f>
        <v>55500.420000000391</v>
      </c>
      <c r="C225" s="113">
        <f>C97-C211</f>
        <v>82499.625483108219</v>
      </c>
      <c r="D225" s="113">
        <f>D97-D211</f>
        <v>90750.41109312512</v>
      </c>
      <c r="E225" s="113">
        <f>E97-E211</f>
        <v>99000.258656833321</v>
      </c>
      <c r="F225" s="113">
        <f>F97-F211</f>
        <v>199355.82240968943</v>
      </c>
    </row>
    <row r="226" spans="1:9" x14ac:dyDescent="0.25">
      <c r="A226"/>
      <c r="B226" s="10"/>
      <c r="C226" s="10"/>
      <c r="D226" s="10"/>
      <c r="E226" s="10"/>
      <c r="F226" s="10"/>
      <c r="G226" s="18"/>
      <c r="H226" s="18"/>
      <c r="I226" s="18"/>
    </row>
    <row r="227" spans="1:9" x14ac:dyDescent="0.25">
      <c r="A227" s="114" t="str">
        <f>A213</f>
        <v>Scheduled Lease Payment</v>
      </c>
      <c r="B227" s="115">
        <f>B213</f>
        <v>55500</v>
      </c>
      <c r="C227" s="115">
        <f t="shared" ref="C227:F227" si="42">C213</f>
        <v>82500</v>
      </c>
      <c r="D227" s="115">
        <f t="shared" si="42"/>
        <v>90750</v>
      </c>
      <c r="E227" s="115">
        <f t="shared" si="42"/>
        <v>99000</v>
      </c>
      <c r="F227" s="115">
        <f t="shared" si="42"/>
        <v>117975</v>
      </c>
      <c r="G227" s="18"/>
      <c r="H227" s="18"/>
      <c r="I227" s="18"/>
    </row>
    <row r="228" spans="1:9" x14ac:dyDescent="0.25">
      <c r="A228" s="114" t="str">
        <f>A214</f>
        <v>Scheduled Bond Payment - Principal</v>
      </c>
      <c r="B228" s="115">
        <f t="shared" ref="B228:F229" si="43">B214</f>
        <v>0</v>
      </c>
      <c r="C228" s="115">
        <f t="shared" si="43"/>
        <v>0</v>
      </c>
      <c r="D228" s="115">
        <f t="shared" si="43"/>
        <v>0</v>
      </c>
      <c r="E228" s="115">
        <f t="shared" si="43"/>
        <v>0</v>
      </c>
      <c r="F228" s="115">
        <f t="shared" si="43"/>
        <v>0</v>
      </c>
      <c r="G228" s="18"/>
      <c r="H228" s="18"/>
      <c r="I228" s="18"/>
    </row>
    <row r="229" spans="1:9" x14ac:dyDescent="0.25">
      <c r="A229" s="114" t="str">
        <f>A215</f>
        <v>Scheduled Bond Payment - Interest</v>
      </c>
      <c r="B229" s="115">
        <f t="shared" si="43"/>
        <v>0</v>
      </c>
      <c r="C229" s="115">
        <f t="shared" si="43"/>
        <v>0</v>
      </c>
      <c r="D229" s="115">
        <f t="shared" si="43"/>
        <v>0</v>
      </c>
      <c r="E229" s="115">
        <f t="shared" si="43"/>
        <v>0</v>
      </c>
      <c r="F229" s="115">
        <f t="shared" si="43"/>
        <v>0</v>
      </c>
      <c r="G229" s="18"/>
      <c r="H229" s="18"/>
      <c r="I229" s="18"/>
    </row>
    <row r="230" spans="1:9" x14ac:dyDescent="0.25">
      <c r="A230"/>
      <c r="B230" s="115"/>
      <c r="C230" s="115"/>
      <c r="D230" s="115"/>
      <c r="E230" s="115"/>
      <c r="F230" s="115"/>
      <c r="G230" s="18"/>
      <c r="H230" s="18"/>
      <c r="I230" s="18"/>
    </row>
    <row r="231" spans="1:9" x14ac:dyDescent="0.25">
      <c r="A231" s="112" t="s">
        <v>226</v>
      </c>
      <c r="B231" s="116">
        <f>SUM(B227:B229)</f>
        <v>55500</v>
      </c>
      <c r="C231" s="116">
        <f t="shared" ref="C231:F231" si="44">SUM(C227:C229)</f>
        <v>82500</v>
      </c>
      <c r="D231" s="116">
        <f t="shared" si="44"/>
        <v>90750</v>
      </c>
      <c r="E231" s="116">
        <f t="shared" si="44"/>
        <v>99000</v>
      </c>
      <c r="F231" s="116">
        <f t="shared" si="44"/>
        <v>117975</v>
      </c>
      <c r="G231" s="18"/>
      <c r="H231" s="18"/>
      <c r="I231" s="18"/>
    </row>
    <row r="232" spans="1:9" x14ac:dyDescent="0.25">
      <c r="A232" s="117" t="s">
        <v>227</v>
      </c>
      <c r="B232" s="118">
        <f>B225/B231</f>
        <v>1.0000075675675746</v>
      </c>
      <c r="C232" s="118">
        <f t="shared" ref="C232:F232" si="45">C225/C231</f>
        <v>0.99999546040131171</v>
      </c>
      <c r="D232" s="118">
        <f t="shared" si="45"/>
        <v>1.0000045299517919</v>
      </c>
      <c r="E232" s="118">
        <f t="shared" si="45"/>
        <v>1.0000026126952861</v>
      </c>
      <c r="F232" s="118">
        <f t="shared" si="45"/>
        <v>1.6898141335849919</v>
      </c>
      <c r="G232" s="18"/>
      <c r="H232" s="18"/>
      <c r="I232" s="18"/>
    </row>
    <row r="233" spans="1:9" x14ac:dyDescent="0.25">
      <c r="A233"/>
      <c r="B233" s="10"/>
      <c r="C233" s="10"/>
      <c r="D233" s="10"/>
      <c r="E233" s="10"/>
      <c r="F233" s="10"/>
      <c r="G233" s="18"/>
      <c r="H233" s="18"/>
      <c r="I233" s="18"/>
    </row>
    <row r="234" spans="1:9" x14ac:dyDescent="0.25">
      <c r="A234" s="120" t="s">
        <v>228</v>
      </c>
      <c r="B234" s="121"/>
      <c r="C234" s="121"/>
      <c r="D234" s="121"/>
      <c r="E234" s="121"/>
      <c r="F234" s="121"/>
      <c r="G234" s="18"/>
      <c r="H234" s="18"/>
      <c r="I234" s="18"/>
    </row>
    <row r="235" spans="1:9" x14ac:dyDescent="0.25">
      <c r="A235" t="s">
        <v>229</v>
      </c>
      <c r="B235" s="123"/>
      <c r="C235" s="123">
        <f>B238</f>
        <v>0.42000000039115548</v>
      </c>
      <c r="D235" s="123">
        <f t="shared" ref="D235:F235" si="46">C238</f>
        <v>4.548310860991478E-2</v>
      </c>
      <c r="E235" s="123">
        <f t="shared" si="46"/>
        <v>0.45657623372972012</v>
      </c>
      <c r="F235" s="123">
        <f t="shared" si="46"/>
        <v>0.71523306705057621</v>
      </c>
      <c r="G235" s="18"/>
      <c r="H235" s="18"/>
      <c r="I235" s="18"/>
    </row>
    <row r="236" spans="1:9" x14ac:dyDescent="0.25">
      <c r="A236" s="10" t="s">
        <v>230</v>
      </c>
      <c r="B236" s="122"/>
      <c r="C236" s="122"/>
      <c r="D236" s="122"/>
      <c r="E236" s="122"/>
      <c r="F236" s="122"/>
      <c r="G236" s="18"/>
      <c r="H236" s="18"/>
      <c r="I236" s="18"/>
    </row>
    <row r="237" spans="1:9" x14ac:dyDescent="0.25">
      <c r="A237" s="10" t="s">
        <v>231</v>
      </c>
      <c r="B237" s="122">
        <f>B219</f>
        <v>0.42000000039115548</v>
      </c>
      <c r="C237" s="122">
        <f t="shared" ref="C237:F237" si="47">C219</f>
        <v>-0.3745168917812407</v>
      </c>
      <c r="D237" s="122">
        <f t="shared" si="47"/>
        <v>0.41109312511980534</v>
      </c>
      <c r="E237" s="122">
        <f t="shared" si="47"/>
        <v>0.25865683332085609</v>
      </c>
      <c r="F237" s="122">
        <f t="shared" si="47"/>
        <v>81380.822409689426</v>
      </c>
      <c r="G237" s="18"/>
      <c r="H237" s="18"/>
      <c r="I237" s="18"/>
    </row>
    <row r="238" spans="1:9" x14ac:dyDescent="0.25">
      <c r="A238" s="124" t="s">
        <v>232</v>
      </c>
      <c r="B238" s="125">
        <f>SUM(B235:B237)</f>
        <v>0.42000000039115548</v>
      </c>
      <c r="C238" s="125">
        <f t="shared" ref="C238:F238" si="48">SUM(C235:C237)</f>
        <v>4.548310860991478E-2</v>
      </c>
      <c r="D238" s="125">
        <f t="shared" si="48"/>
        <v>0.45657623372972012</v>
      </c>
      <c r="E238" s="125">
        <f t="shared" si="48"/>
        <v>0.71523306705057621</v>
      </c>
      <c r="F238" s="125">
        <f t="shared" si="48"/>
        <v>81381.537642756477</v>
      </c>
      <c r="G238" s="18"/>
      <c r="H238" s="18"/>
      <c r="I238" s="18"/>
    </row>
    <row r="239" spans="1:9" x14ac:dyDescent="0.25">
      <c r="A239" s="126" t="s">
        <v>233</v>
      </c>
      <c r="B239" s="127">
        <f>B238/((SUM(B211:B217))/365)</f>
        <v>6.6282898116757058E-5</v>
      </c>
      <c r="C239" s="127">
        <f t="shared" ref="C239:F239" si="49">C238/((SUM(C211:C217))/365)</f>
        <v>6.7939759938420043E-6</v>
      </c>
      <c r="D239" s="127">
        <f t="shared" si="49"/>
        <v>6.5780830708887512E-5</v>
      </c>
      <c r="E239" s="127">
        <f t="shared" si="49"/>
        <v>9.9466963670880127E-5</v>
      </c>
      <c r="F239" s="127">
        <f t="shared" si="49"/>
        <v>10.91258723682459</v>
      </c>
      <c r="G239" s="18"/>
      <c r="H239" s="18"/>
      <c r="I239" s="18"/>
    </row>
    <row r="240" spans="1:9" x14ac:dyDescent="0.25">
      <c r="A240"/>
      <c r="B240" s="128"/>
      <c r="C240" s="128"/>
      <c r="D240" s="128"/>
      <c r="E240" s="128"/>
      <c r="F240" s="128"/>
    </row>
    <row r="241" spans="1:8" x14ac:dyDescent="0.25">
      <c r="H241" s="4" t="s">
        <v>259</v>
      </c>
    </row>
    <row r="242" spans="1:8" x14ac:dyDescent="0.25">
      <c r="A242" s="136" t="s">
        <v>248</v>
      </c>
      <c r="B242" s="137">
        <f>B132/SUM(B211:B216)</f>
        <v>0.45590570633836336</v>
      </c>
      <c r="C242" s="137">
        <f t="shared" ref="C242:F242" si="50">C132/SUM(C211:C216)</f>
        <v>0.42292869637124919</v>
      </c>
      <c r="D242" s="137">
        <f t="shared" si="50"/>
        <v>0.41479377968197512</v>
      </c>
      <c r="E242" s="137">
        <f t="shared" si="50"/>
        <v>0.40705509383087146</v>
      </c>
      <c r="F242" s="137">
        <f t="shared" si="50"/>
        <v>0.39895578563571643</v>
      </c>
      <c r="H242" s="89">
        <f>AVERAGE(B242:F242)</f>
        <v>0.41992781237163507</v>
      </c>
    </row>
    <row r="243" spans="1:8" x14ac:dyDescent="0.25">
      <c r="A243" s="136" t="s">
        <v>249</v>
      </c>
      <c r="B243" s="137">
        <f>(B141-B140)/SUM(B211:B216)</f>
        <v>0.19167203011908726</v>
      </c>
      <c r="C243" s="137">
        <f t="shared" ref="C243:F243" si="51">(C141-C140)/SUM(C211:C216)</f>
        <v>0.19388791218977208</v>
      </c>
      <c r="D243" s="137">
        <f t="shared" si="51"/>
        <v>0.19225402872629038</v>
      </c>
      <c r="E243" s="137">
        <f t="shared" si="51"/>
        <v>0.19072147581431645</v>
      </c>
      <c r="F243" s="137">
        <f t="shared" si="51"/>
        <v>0.18694323813130972</v>
      </c>
      <c r="H243" s="89">
        <f t="shared" ref="H243:H255" si="52">AVERAGE(B243:F243)</f>
        <v>0.19109573699615517</v>
      </c>
    </row>
    <row r="244" spans="1:8" x14ac:dyDescent="0.25">
      <c r="A244" s="136" t="s">
        <v>161</v>
      </c>
      <c r="B244" s="137">
        <f>B161/SUM(B211:B216)</f>
        <v>2.9457624556353174E-3</v>
      </c>
      <c r="C244" s="137">
        <f t="shared" ref="C244:F244" si="53">C161/SUM(C211:C216)</f>
        <v>2.9275794636159946E-3</v>
      </c>
      <c r="D244" s="137">
        <f t="shared" si="53"/>
        <v>2.9649008524738809E-3</v>
      </c>
      <c r="E244" s="137">
        <f t="shared" si="53"/>
        <v>3.0050015321168187E-3</v>
      </c>
      <c r="F244" s="137">
        <f t="shared" si="53"/>
        <v>2.8974453878974609E-3</v>
      </c>
      <c r="H244" s="89">
        <f t="shared" si="52"/>
        <v>2.948137938347895E-3</v>
      </c>
    </row>
    <row r="245" spans="1:8" x14ac:dyDescent="0.25">
      <c r="A245" s="136" t="s">
        <v>250</v>
      </c>
      <c r="B245" s="137">
        <f>(B159+B160+B167+B168+B169)/SUM(B211:B216)</f>
        <v>5.2442821401729976E-2</v>
      </c>
      <c r="C245" s="137">
        <f t="shared" ref="C245:F245" si="54">(C159+C160+C167+C168+C169)/SUM(C211:C216)</f>
        <v>5.9287213362866159E-2</v>
      </c>
      <c r="D245" s="137">
        <f t="shared" si="54"/>
        <v>6.103508880412286E-2</v>
      </c>
      <c r="E245" s="137">
        <f t="shared" si="54"/>
        <v>6.2736674613488849E-2</v>
      </c>
      <c r="F245" s="137">
        <f t="shared" si="54"/>
        <v>6.4279030382688229E-2</v>
      </c>
      <c r="H245" s="89">
        <f t="shared" si="52"/>
        <v>5.9956165712979216E-2</v>
      </c>
    </row>
    <row r="246" spans="1:8" x14ac:dyDescent="0.25">
      <c r="A246" s="136" t="s">
        <v>251</v>
      </c>
      <c r="B246" s="137">
        <f>(B140+B157+B156+B158)/SUM(B211:B216)</f>
        <v>6.5067927777566259E-2</v>
      </c>
      <c r="C246" s="137">
        <f t="shared" ref="C246:F246" si="55">(C140+C157+C156+C158)/SUM(C211:C216)</f>
        <v>6.8370141548580954E-2</v>
      </c>
      <c r="D246" s="137">
        <f t="shared" si="55"/>
        <v>6.8460876129910364E-2</v>
      </c>
      <c r="E246" s="137">
        <f t="shared" si="55"/>
        <v>6.8511634538952676E-2</v>
      </c>
      <c r="F246" s="137">
        <f t="shared" si="55"/>
        <v>6.8401452614322386E-2</v>
      </c>
      <c r="H246" s="89">
        <f t="shared" si="52"/>
        <v>6.7762406521866533E-2</v>
      </c>
    </row>
    <row r="247" spans="1:8" x14ac:dyDescent="0.25">
      <c r="A247" s="136" t="s">
        <v>252</v>
      </c>
      <c r="B247" s="137">
        <f>(B191+B192+B193+B146+B177)/SUM(B211:B216)</f>
        <v>1.2971212926619628E-2</v>
      </c>
      <c r="C247" s="137">
        <f t="shared" ref="C247:F247" si="56">(C191+C192+C193+C146+C177)/SUM(C211:C216)</f>
        <v>6.4455734557815822E-3</v>
      </c>
      <c r="D247" s="137">
        <f t="shared" si="56"/>
        <v>6.5277429600922084E-3</v>
      </c>
      <c r="E247" s="137">
        <f t="shared" si="56"/>
        <v>6.6160315546385257E-3</v>
      </c>
      <c r="F247" s="137">
        <f t="shared" si="56"/>
        <v>6.6981894700403645E-3</v>
      </c>
      <c r="H247" s="89">
        <f t="shared" si="52"/>
        <v>7.851750073434461E-3</v>
      </c>
    </row>
    <row r="248" spans="1:8" x14ac:dyDescent="0.25">
      <c r="A248" s="136" t="s">
        <v>253</v>
      </c>
      <c r="B248" s="137">
        <f>(B144+B145+B147+B148+B149+B150+B151+B152+B153)/SUM(B211:B216)</f>
        <v>1.6466090062815176E-2</v>
      </c>
      <c r="C248" s="137">
        <f t="shared" ref="C248:F248" si="57">(C144+C145+C147+C148+C149+C150+C151+C152+C153)/SUM(C211:C216)</f>
        <v>2.5535089075401373E-2</v>
      </c>
      <c r="D248" s="137">
        <f t="shared" si="57"/>
        <v>2.6796030800034325E-2</v>
      </c>
      <c r="E248" s="137">
        <f t="shared" si="57"/>
        <v>2.7956791383503293E-2</v>
      </c>
      <c r="F248" s="137">
        <f t="shared" si="57"/>
        <v>2.8972888305222891E-2</v>
      </c>
      <c r="H248" s="89">
        <f t="shared" si="52"/>
        <v>2.5145377925395413E-2</v>
      </c>
    </row>
    <row r="249" spans="1:8" x14ac:dyDescent="0.25">
      <c r="A249" s="136" t="s">
        <v>3</v>
      </c>
      <c r="B249" s="137">
        <f t="shared" ref="B249:F249" si="58">(B182+B183)/SUM(B211:B216)</f>
        <v>5.3128791026141334E-2</v>
      </c>
      <c r="C249" s="137">
        <f t="shared" si="58"/>
        <v>6.7954760148097246E-2</v>
      </c>
      <c r="D249" s="137">
        <f t="shared" si="58"/>
        <v>7.2098254897998024E-2</v>
      </c>
      <c r="E249" s="137">
        <f t="shared" si="58"/>
        <v>7.5920408743607101E-2</v>
      </c>
      <c r="F249" s="137">
        <f t="shared" si="58"/>
        <v>7.9303290018748057E-2</v>
      </c>
      <c r="H249" s="89">
        <f t="shared" si="52"/>
        <v>6.9681100966918347E-2</v>
      </c>
    </row>
    <row r="250" spans="1:8" x14ac:dyDescent="0.25">
      <c r="A250" s="136" t="s">
        <v>254</v>
      </c>
      <c r="B250" s="137">
        <f t="shared" ref="B250" si="59">(B209+B213)/SUM(B211:B216)</f>
        <v>6.7670385464410371E-2</v>
      </c>
      <c r="C250" s="137">
        <f t="shared" ref="C250:F250" si="60">(C209+C213)/SUM(C211:C216)</f>
        <v>7.6020636182689783E-2</v>
      </c>
      <c r="D250" s="137">
        <f t="shared" si="60"/>
        <v>7.7494936121569727E-2</v>
      </c>
      <c r="E250" s="137">
        <f t="shared" si="60"/>
        <v>7.8855860543327411E-2</v>
      </c>
      <c r="F250" s="137">
        <f t="shared" si="60"/>
        <v>8.3907700913857755E-2</v>
      </c>
      <c r="H250" s="89">
        <f t="shared" si="52"/>
        <v>7.6789903845171009E-2</v>
      </c>
    </row>
    <row r="251" spans="1:8" x14ac:dyDescent="0.25">
      <c r="A251" s="136" t="s">
        <v>255</v>
      </c>
      <c r="B251" s="137">
        <f t="shared" ref="B251:F251" si="61">(B179+B180+B181)/SUM(B211:B216)</f>
        <v>1.5481142627920524E-2</v>
      </c>
      <c r="C251" s="137">
        <f t="shared" si="61"/>
        <v>1.6118230688424478E-2</v>
      </c>
      <c r="D251" s="137">
        <f t="shared" si="61"/>
        <v>1.710102871595966E-2</v>
      </c>
      <c r="E251" s="137">
        <f t="shared" si="61"/>
        <v>1.815767109741704E-2</v>
      </c>
      <c r="F251" s="137">
        <f t="shared" si="61"/>
        <v>1.9258541400150372E-2</v>
      </c>
      <c r="H251" s="89">
        <f t="shared" si="52"/>
        <v>1.7223322905974413E-2</v>
      </c>
    </row>
    <row r="252" spans="1:8" x14ac:dyDescent="0.25">
      <c r="A252" s="136" t="s">
        <v>256</v>
      </c>
      <c r="B252" s="137">
        <f t="shared" ref="B252:F252" si="62">B185/SUM(B211:B216)</f>
        <v>4.7129821234461865E-3</v>
      </c>
      <c r="C252" s="137">
        <f t="shared" si="62"/>
        <v>4.4608483848497266E-3</v>
      </c>
      <c r="D252" s="137">
        <f t="shared" si="62"/>
        <v>4.3025868602113437E-3</v>
      </c>
      <c r="E252" s="137">
        <f t="shared" si="62"/>
        <v>4.1531237348564854E-3</v>
      </c>
      <c r="F252" s="137">
        <f t="shared" si="62"/>
        <v>4.0044735692532762E-3</v>
      </c>
      <c r="H252" s="89">
        <f t="shared" si="52"/>
        <v>4.3268029345234034E-3</v>
      </c>
    </row>
    <row r="253" spans="1:8" x14ac:dyDescent="0.25">
      <c r="A253" s="136" t="s">
        <v>257</v>
      </c>
      <c r="B253" s="137">
        <f t="shared" ref="B253:F253" si="63">(B162+B163)/SUM(B211:B216)</f>
        <v>2.8104294674342525E-2</v>
      </c>
      <c r="C253" s="137">
        <f t="shared" si="63"/>
        <v>2.1076002093508031E-2</v>
      </c>
      <c r="D253" s="137">
        <f t="shared" si="63"/>
        <v>2.0949959643651938E-2</v>
      </c>
      <c r="E253" s="137">
        <f t="shared" si="63"/>
        <v>2.0852298855900266E-2</v>
      </c>
      <c r="F253" s="137">
        <f t="shared" si="63"/>
        <v>2.0743868344916906E-2</v>
      </c>
      <c r="H253" s="89">
        <f t="shared" si="52"/>
        <v>2.2345284722463932E-2</v>
      </c>
    </row>
    <row r="254" spans="1:8" x14ac:dyDescent="0.25">
      <c r="A254" s="136" t="s">
        <v>258</v>
      </c>
      <c r="B254" s="137">
        <f t="shared" ref="B254:F254" si="64">(B164+B165+B172+B173+B176+B178)/SUM(B211:B216)</f>
        <v>1.8191866705325497E-2</v>
      </c>
      <c r="C254" s="137">
        <f t="shared" si="64"/>
        <v>1.8273916921969207E-2</v>
      </c>
      <c r="D254" s="137">
        <f t="shared" si="64"/>
        <v>1.8178071766052333E-2</v>
      </c>
      <c r="E254" s="137">
        <f t="shared" si="64"/>
        <v>1.8092147547820226E-2</v>
      </c>
      <c r="F254" s="137">
        <f t="shared" si="64"/>
        <v>1.7983019489639429E-2</v>
      </c>
      <c r="H254" s="89">
        <f t="shared" si="52"/>
        <v>1.814380448616134E-2</v>
      </c>
    </row>
    <row r="255" spans="1:8" x14ac:dyDescent="0.25">
      <c r="A255" s="136" t="s">
        <v>4</v>
      </c>
      <c r="B255" s="137">
        <f>(B166+B175+B184+B186+B187+B189+B195+B196)/SUM(B211:B216)</f>
        <v>1.5238986296596695E-2</v>
      </c>
      <c r="C255" s="137">
        <f t="shared" ref="C255:F255" si="65">(C166+C175+C184+C186+C187+C189+C195+C196)/SUM(C211:C216)</f>
        <v>1.6713400113194218E-2</v>
      </c>
      <c r="D255" s="137">
        <f t="shared" si="65"/>
        <v>1.7042714039657913E-2</v>
      </c>
      <c r="E255" s="137">
        <f t="shared" si="65"/>
        <v>1.736578620918346E-2</v>
      </c>
      <c r="F255" s="137">
        <f t="shared" si="65"/>
        <v>1.7651076336236634E-2</v>
      </c>
      <c r="H255" s="89">
        <f t="shared" si="52"/>
        <v>1.6802392598973783E-2</v>
      </c>
    </row>
    <row r="256" spans="1:8" x14ac:dyDescent="0.25">
      <c r="A256"/>
      <c r="B256"/>
      <c r="C256"/>
      <c r="D256"/>
      <c r="E256"/>
      <c r="F256"/>
    </row>
    <row r="257" spans="1:8" x14ac:dyDescent="0.25">
      <c r="A257"/>
      <c r="B257" s="138">
        <f t="shared" ref="B257:F257" si="66">SUM(B242:B256)</f>
        <v>1</v>
      </c>
      <c r="C257" s="138">
        <f t="shared" si="66"/>
        <v>0.99999999999999989</v>
      </c>
      <c r="D257" s="138">
        <f t="shared" si="66"/>
        <v>1.0000000000000002</v>
      </c>
      <c r="E257" s="138">
        <f t="shared" si="66"/>
        <v>0.99999999999999989</v>
      </c>
      <c r="F257" s="138">
        <f t="shared" si="66"/>
        <v>1</v>
      </c>
      <c r="H257" s="138">
        <f t="shared" ref="H257" si="67">SUM(H242:H256)</f>
        <v>0.99999999999999989</v>
      </c>
    </row>
    <row r="262" spans="1:8" x14ac:dyDescent="0.25">
      <c r="B262" s="111">
        <f>B261-B260</f>
        <v>0</v>
      </c>
    </row>
  </sheetData>
  <pageMargins left="0.7" right="0.7" top="0.75" bottom="0.75" header="0.3" footer="0.3"/>
  <pageSetup fitToHeight="0" orientation="portrait" r:id="rId1"/>
  <headerFooter>
    <oddFooter>&amp;LPage &amp;P&amp;C
&amp;R
 &amp;G</oddFooter>
  </headerFooter>
  <rowBreaks count="2" manualBreakCount="2">
    <brk id="70" max="8" man="1"/>
    <brk id="154"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AFB7B-AC13-44FE-97E5-477A82B4ED75}">
  <dimension ref="A3:L27"/>
  <sheetViews>
    <sheetView workbookViewId="0">
      <selection activeCell="F3" sqref="A3:F27"/>
    </sheetView>
  </sheetViews>
  <sheetFormatPr defaultRowHeight="15" x14ac:dyDescent="0.25"/>
  <cols>
    <col min="1" max="1" width="43.85546875" customWidth="1"/>
  </cols>
  <sheetData>
    <row r="3" spans="1:11" x14ac:dyDescent="0.25">
      <c r="B3" s="140" t="str">
        <f>'5-Year(auto-populated)'!B26</f>
        <v>24-25</v>
      </c>
      <c r="C3" s="140" t="str">
        <f>'5-Year(auto-populated)'!C26</f>
        <v>25-26</v>
      </c>
      <c r="D3" s="140" t="str">
        <f>'5-Year(auto-populated)'!D26</f>
        <v>26-27</v>
      </c>
      <c r="E3" s="140" t="str">
        <f>'5-Year(auto-populated)'!E26</f>
        <v>27-28</v>
      </c>
      <c r="F3" s="140" t="str">
        <f>'5-Year(auto-populated)'!F26</f>
        <v>28-29</v>
      </c>
    </row>
    <row r="4" spans="1:11" x14ac:dyDescent="0.25">
      <c r="A4" t="s">
        <v>35</v>
      </c>
      <c r="B4" s="139">
        <f>'5-Year(auto-populated)'!B36</f>
        <v>9</v>
      </c>
      <c r="C4" s="139">
        <f>'5-Year(auto-populated)'!C36</f>
        <v>9</v>
      </c>
      <c r="D4" s="139">
        <f>'5-Year(auto-populated)'!D36</f>
        <v>9</v>
      </c>
      <c r="E4" s="139">
        <f>'5-Year(auto-populated)'!E36</f>
        <v>9</v>
      </c>
      <c r="F4" s="139">
        <f>'5-Year(auto-populated)'!F36</f>
        <v>9</v>
      </c>
      <c r="G4" s="139"/>
      <c r="H4" s="139"/>
      <c r="I4" s="139"/>
      <c r="J4" s="139"/>
      <c r="K4" s="139"/>
    </row>
    <row r="5" spans="1:11" x14ac:dyDescent="0.25">
      <c r="A5" t="s">
        <v>47</v>
      </c>
      <c r="B5" s="139">
        <f>'5-Year(auto-populated)'!B39</f>
        <v>1</v>
      </c>
      <c r="C5" s="139">
        <f>'5-Year(auto-populated)'!C39</f>
        <v>1</v>
      </c>
      <c r="D5" s="139">
        <f>'5-Year(auto-populated)'!D39</f>
        <v>1</v>
      </c>
      <c r="E5" s="139">
        <f>'5-Year(auto-populated)'!E39</f>
        <v>1</v>
      </c>
      <c r="F5" s="139">
        <f>'5-Year(auto-populated)'!F39</f>
        <v>1</v>
      </c>
      <c r="G5" s="139"/>
      <c r="H5" s="139"/>
      <c r="I5" s="139"/>
      <c r="J5" s="139"/>
      <c r="K5" s="139"/>
    </row>
    <row r="6" spans="1:11" x14ac:dyDescent="0.25">
      <c r="A6" t="s">
        <v>48</v>
      </c>
      <c r="B6" s="139">
        <f>'5-Year(auto-populated)'!B40</f>
        <v>1</v>
      </c>
      <c r="C6" s="139">
        <f>'5-Year(auto-populated)'!C40</f>
        <v>1</v>
      </c>
      <c r="D6" s="139">
        <f>'5-Year(auto-populated)'!D40</f>
        <v>1</v>
      </c>
      <c r="E6" s="139">
        <f>'5-Year(auto-populated)'!E40</f>
        <v>1</v>
      </c>
      <c r="F6" s="139">
        <f>'5-Year(auto-populated)'!F40</f>
        <v>1</v>
      </c>
      <c r="G6" s="139"/>
      <c r="H6" s="139"/>
      <c r="I6" s="139"/>
      <c r="J6" s="139"/>
      <c r="K6" s="139"/>
    </row>
    <row r="7" spans="1:11" x14ac:dyDescent="0.25">
      <c r="A7" t="s">
        <v>49</v>
      </c>
      <c r="B7" s="139">
        <f>'5-Year(auto-populated)'!B41</f>
        <v>1</v>
      </c>
      <c r="C7" s="139">
        <f>'5-Year(auto-populated)'!C41</f>
        <v>1</v>
      </c>
      <c r="D7" s="139">
        <f>'5-Year(auto-populated)'!D41</f>
        <v>1</v>
      </c>
      <c r="E7" s="139">
        <f>'5-Year(auto-populated)'!E41</f>
        <v>1</v>
      </c>
      <c r="F7" s="139">
        <f>'5-Year(auto-populated)'!F41</f>
        <v>1</v>
      </c>
      <c r="G7" s="139"/>
      <c r="H7" s="139"/>
      <c r="I7" s="139"/>
      <c r="J7" s="139"/>
      <c r="K7" s="139"/>
    </row>
    <row r="8" spans="1:11" hidden="1" x14ac:dyDescent="0.25">
      <c r="A8" t="s">
        <v>50</v>
      </c>
      <c r="B8" s="139">
        <f>'5-Year(auto-populated)'!B42</f>
        <v>0</v>
      </c>
      <c r="C8" s="139">
        <f>'5-Year(auto-populated)'!C42</f>
        <v>0</v>
      </c>
      <c r="D8" s="139">
        <f>'5-Year(auto-populated)'!D42</f>
        <v>0</v>
      </c>
      <c r="E8" s="139">
        <f>'5-Year(auto-populated)'!E42</f>
        <v>0</v>
      </c>
      <c r="F8" s="139">
        <f>'5-Year(auto-populated)'!F42</f>
        <v>0</v>
      </c>
      <c r="G8" s="139"/>
      <c r="H8" s="139"/>
      <c r="I8" s="139"/>
      <c r="J8" s="139"/>
      <c r="K8" s="139"/>
    </row>
    <row r="9" spans="1:11" hidden="1" x14ac:dyDescent="0.25">
      <c r="A9" t="s">
        <v>51</v>
      </c>
      <c r="B9" s="139">
        <f>'5-Year(auto-populated)'!B43</f>
        <v>0</v>
      </c>
      <c r="C9" s="139">
        <f>'5-Year(auto-populated)'!C43</f>
        <v>0</v>
      </c>
      <c r="D9" s="139">
        <f>'5-Year(auto-populated)'!D43</f>
        <v>0</v>
      </c>
      <c r="E9" s="139">
        <f>'5-Year(auto-populated)'!E43</f>
        <v>0</v>
      </c>
      <c r="F9" s="139">
        <f>'5-Year(auto-populated)'!F43</f>
        <v>0</v>
      </c>
      <c r="G9" s="139"/>
      <c r="H9" s="139"/>
      <c r="I9" s="139"/>
      <c r="J9" s="139"/>
      <c r="K9" s="139"/>
    </row>
    <row r="10" spans="1:11" x14ac:dyDescent="0.25">
      <c r="A10" t="s">
        <v>52</v>
      </c>
      <c r="B10" s="139">
        <f>'5-Year(auto-populated)'!B44</f>
        <v>1</v>
      </c>
      <c r="C10" s="139">
        <f>'5-Year(auto-populated)'!C44</f>
        <v>1</v>
      </c>
      <c r="D10" s="139">
        <f>'5-Year(auto-populated)'!D44</f>
        <v>1</v>
      </c>
      <c r="E10" s="139">
        <f>'5-Year(auto-populated)'!E44</f>
        <v>1</v>
      </c>
      <c r="F10" s="139">
        <f>'5-Year(auto-populated)'!F44</f>
        <v>1</v>
      </c>
      <c r="G10" s="139"/>
      <c r="H10" s="139"/>
      <c r="I10" s="139"/>
      <c r="J10" s="139"/>
      <c r="K10" s="139"/>
    </row>
    <row r="11" spans="1:11" x14ac:dyDescent="0.25">
      <c r="A11" t="s">
        <v>53</v>
      </c>
      <c r="B11" s="139">
        <f>'5-Year(auto-populated)'!B45</f>
        <v>1</v>
      </c>
      <c r="C11" s="139">
        <f>'5-Year(auto-populated)'!C45</f>
        <v>0</v>
      </c>
      <c r="D11" s="139">
        <f>'5-Year(auto-populated)'!D45</f>
        <v>0</v>
      </c>
      <c r="E11" s="139">
        <f>'5-Year(auto-populated)'!E45</f>
        <v>0</v>
      </c>
      <c r="F11" s="139">
        <f>'5-Year(auto-populated)'!F45</f>
        <v>0</v>
      </c>
      <c r="G11" s="139"/>
      <c r="H11" s="139"/>
      <c r="I11" s="139"/>
      <c r="J11" s="139"/>
      <c r="K11" s="139"/>
    </row>
    <row r="12" spans="1:11" x14ac:dyDescent="0.25">
      <c r="A12" t="s">
        <v>54</v>
      </c>
      <c r="B12" s="139">
        <f>'5-Year(auto-populated)'!B46</f>
        <v>1</v>
      </c>
      <c r="C12" s="139">
        <f>'5-Year(auto-populated)'!C46</f>
        <v>1</v>
      </c>
      <c r="D12" s="139">
        <f>'5-Year(auto-populated)'!D46</f>
        <v>1</v>
      </c>
      <c r="E12" s="139">
        <f>'5-Year(auto-populated)'!E46</f>
        <v>1</v>
      </c>
      <c r="F12" s="139">
        <f>'5-Year(auto-populated)'!F46</f>
        <v>1</v>
      </c>
      <c r="G12" s="139"/>
      <c r="H12" s="139"/>
      <c r="I12" s="139"/>
      <c r="J12" s="139"/>
      <c r="K12" s="139"/>
    </row>
    <row r="13" spans="1:11" hidden="1" x14ac:dyDescent="0.25">
      <c r="A13" t="s">
        <v>55</v>
      </c>
      <c r="B13" s="139">
        <f>'5-Year(auto-populated)'!B47</f>
        <v>0</v>
      </c>
      <c r="C13" s="139">
        <f>'5-Year(auto-populated)'!C47</f>
        <v>0</v>
      </c>
      <c r="D13" s="139">
        <f>'5-Year(auto-populated)'!D47</f>
        <v>0</v>
      </c>
      <c r="E13" s="139">
        <f>'5-Year(auto-populated)'!E47</f>
        <v>0</v>
      </c>
      <c r="F13" s="139">
        <f>'5-Year(auto-populated)'!F47</f>
        <v>0</v>
      </c>
      <c r="G13" s="139"/>
      <c r="H13" s="139"/>
      <c r="I13" s="139"/>
      <c r="J13" s="139"/>
      <c r="K13" s="139"/>
    </row>
    <row r="14" spans="1:11" hidden="1" x14ac:dyDescent="0.25">
      <c r="A14" t="s">
        <v>56</v>
      </c>
      <c r="B14" s="139">
        <f>'5-Year(auto-populated)'!B48</f>
        <v>0</v>
      </c>
      <c r="C14" s="139">
        <f>'5-Year(auto-populated)'!C48</f>
        <v>0</v>
      </c>
      <c r="D14" s="139">
        <f>'5-Year(auto-populated)'!D48</f>
        <v>0</v>
      </c>
      <c r="E14" s="139">
        <f>'5-Year(auto-populated)'!E48</f>
        <v>0</v>
      </c>
      <c r="F14" s="139">
        <f>'5-Year(auto-populated)'!F48</f>
        <v>0</v>
      </c>
      <c r="G14" s="139"/>
      <c r="H14" s="139"/>
      <c r="I14" s="139"/>
      <c r="J14" s="139"/>
      <c r="K14" s="139"/>
    </row>
    <row r="15" spans="1:11" hidden="1" x14ac:dyDescent="0.25">
      <c r="A15" t="s">
        <v>57</v>
      </c>
      <c r="B15" s="139">
        <f>'5-Year(auto-populated)'!B49</f>
        <v>0</v>
      </c>
      <c r="C15" s="139">
        <f>'5-Year(auto-populated)'!C49</f>
        <v>0</v>
      </c>
      <c r="D15" s="139">
        <f>'5-Year(auto-populated)'!D49</f>
        <v>0</v>
      </c>
      <c r="E15" s="139">
        <f>'5-Year(auto-populated)'!E49</f>
        <v>0</v>
      </c>
      <c r="F15" s="139">
        <f>'5-Year(auto-populated)'!F49</f>
        <v>0</v>
      </c>
      <c r="G15" s="139"/>
      <c r="H15" s="139"/>
      <c r="I15" s="139"/>
      <c r="J15" s="139"/>
      <c r="K15" s="139"/>
    </row>
    <row r="16" spans="1:11" x14ac:dyDescent="0.25">
      <c r="A16" t="s">
        <v>58</v>
      </c>
      <c r="B16" s="139">
        <f>'5-Year(auto-populated)'!B50</f>
        <v>1</v>
      </c>
      <c r="C16" s="139">
        <f>'5-Year(auto-populated)'!C50</f>
        <v>1</v>
      </c>
      <c r="D16" s="139">
        <f>'5-Year(auto-populated)'!D50</f>
        <v>1</v>
      </c>
      <c r="E16" s="139">
        <f>'5-Year(auto-populated)'!E50</f>
        <v>1</v>
      </c>
      <c r="F16" s="139">
        <f>'5-Year(auto-populated)'!F50</f>
        <v>1</v>
      </c>
      <c r="G16" s="139"/>
      <c r="H16" s="139"/>
      <c r="I16" s="139"/>
      <c r="J16" s="139"/>
      <c r="K16" s="139"/>
    </row>
    <row r="17" spans="1:12" hidden="1" x14ac:dyDescent="0.25">
      <c r="A17" t="s">
        <v>59</v>
      </c>
      <c r="B17" s="139">
        <f>'5-Year(auto-populated)'!B51</f>
        <v>0</v>
      </c>
      <c r="C17" s="139">
        <f>'5-Year(auto-populated)'!C51</f>
        <v>0</v>
      </c>
      <c r="D17" s="139">
        <f>'5-Year(auto-populated)'!D51</f>
        <v>0</v>
      </c>
      <c r="E17" s="139">
        <f>'5-Year(auto-populated)'!E51</f>
        <v>0</v>
      </c>
      <c r="F17" s="139">
        <f>'5-Year(auto-populated)'!F51</f>
        <v>0</v>
      </c>
      <c r="G17" s="139"/>
      <c r="H17" s="139"/>
      <c r="I17" s="139"/>
      <c r="J17" s="139"/>
      <c r="K17" s="139"/>
    </row>
    <row r="18" spans="1:12" x14ac:dyDescent="0.25">
      <c r="A18" t="s">
        <v>60</v>
      </c>
      <c r="B18" s="139">
        <f>'5-Year(auto-populated)'!B52</f>
        <v>1</v>
      </c>
      <c r="C18" s="139">
        <f>'5-Year(auto-populated)'!C52</f>
        <v>1</v>
      </c>
      <c r="D18" s="139">
        <f>'5-Year(auto-populated)'!D52</f>
        <v>1</v>
      </c>
      <c r="E18" s="139">
        <f>'5-Year(auto-populated)'!E52</f>
        <v>1</v>
      </c>
      <c r="F18" s="139">
        <f>'5-Year(auto-populated)'!F52</f>
        <v>1</v>
      </c>
      <c r="G18" s="139"/>
      <c r="H18" s="139"/>
      <c r="I18" s="139"/>
      <c r="J18" s="139"/>
      <c r="K18" s="139"/>
    </row>
    <row r="19" spans="1:12" hidden="1" x14ac:dyDescent="0.25">
      <c r="A19" t="s">
        <v>61</v>
      </c>
      <c r="B19" s="139">
        <f>'5-Year(auto-populated)'!B53</f>
        <v>0</v>
      </c>
      <c r="C19" s="139">
        <f>'5-Year(auto-populated)'!C53</f>
        <v>0</v>
      </c>
      <c r="D19" s="139">
        <f>'5-Year(auto-populated)'!D53</f>
        <v>0</v>
      </c>
      <c r="E19" s="139">
        <f>'5-Year(auto-populated)'!E53</f>
        <v>0</v>
      </c>
      <c r="F19" s="139">
        <f>'5-Year(auto-populated)'!F53</f>
        <v>0</v>
      </c>
      <c r="G19" s="139"/>
      <c r="H19" s="139"/>
      <c r="I19" s="139"/>
      <c r="J19" s="139"/>
      <c r="K19" s="139"/>
    </row>
    <row r="20" spans="1:12" hidden="1" x14ac:dyDescent="0.25">
      <c r="A20" t="s">
        <v>62</v>
      </c>
      <c r="B20" s="139">
        <f>'5-Year(auto-populated)'!B54</f>
        <v>0</v>
      </c>
      <c r="C20" s="139">
        <f>'5-Year(auto-populated)'!C54</f>
        <v>0</v>
      </c>
      <c r="D20" s="139">
        <f>'5-Year(auto-populated)'!D54</f>
        <v>0</v>
      </c>
      <c r="E20" s="139">
        <f>'5-Year(auto-populated)'!E54</f>
        <v>0</v>
      </c>
      <c r="F20" s="139">
        <f>'5-Year(auto-populated)'!F54</f>
        <v>0</v>
      </c>
      <c r="G20" s="139"/>
      <c r="H20" s="139"/>
      <c r="I20" s="139"/>
      <c r="J20" s="139"/>
      <c r="K20" s="139"/>
    </row>
    <row r="21" spans="1:12" hidden="1" x14ac:dyDescent="0.25">
      <c r="A21" t="s">
        <v>63</v>
      </c>
      <c r="B21" s="139">
        <f>'5-Year(auto-populated)'!B55</f>
        <v>0</v>
      </c>
      <c r="C21" s="139">
        <f>'5-Year(auto-populated)'!C55</f>
        <v>0</v>
      </c>
      <c r="D21" s="139">
        <f>'5-Year(auto-populated)'!D55</f>
        <v>0</v>
      </c>
      <c r="E21" s="139">
        <f>'5-Year(auto-populated)'!E55</f>
        <v>0</v>
      </c>
      <c r="F21" s="139">
        <f>'5-Year(auto-populated)'!F55</f>
        <v>0</v>
      </c>
      <c r="G21" s="139"/>
      <c r="H21" s="139"/>
      <c r="I21" s="139"/>
      <c r="J21" s="139"/>
      <c r="K21" s="139"/>
    </row>
    <row r="22" spans="1:12" hidden="1" x14ac:dyDescent="0.25">
      <c r="A22" t="s">
        <v>64</v>
      </c>
      <c r="B22" s="139">
        <f>'5-Year(auto-populated)'!B56</f>
        <v>0</v>
      </c>
      <c r="C22" s="139">
        <f>'5-Year(auto-populated)'!C56</f>
        <v>0</v>
      </c>
      <c r="D22" s="139">
        <f>'5-Year(auto-populated)'!D56</f>
        <v>0</v>
      </c>
      <c r="E22" s="139">
        <f>'5-Year(auto-populated)'!E56</f>
        <v>0</v>
      </c>
      <c r="F22" s="139">
        <f>'5-Year(auto-populated)'!F56</f>
        <v>0</v>
      </c>
      <c r="G22" s="139"/>
      <c r="H22" s="139"/>
      <c r="I22" s="139"/>
      <c r="J22" s="139"/>
      <c r="K22" s="139"/>
    </row>
    <row r="23" spans="1:12" hidden="1" x14ac:dyDescent="0.25">
      <c r="A23" t="s">
        <v>65</v>
      </c>
      <c r="B23" s="139">
        <f>'5-Year(auto-populated)'!B57</f>
        <v>0</v>
      </c>
      <c r="C23" s="139">
        <f>'5-Year(auto-populated)'!C57</f>
        <v>0</v>
      </c>
      <c r="D23" s="139">
        <f>'5-Year(auto-populated)'!D57</f>
        <v>0</v>
      </c>
      <c r="E23" s="139">
        <f>'5-Year(auto-populated)'!E57</f>
        <v>0</v>
      </c>
      <c r="F23" s="139">
        <f>'5-Year(auto-populated)'!F57</f>
        <v>0</v>
      </c>
      <c r="G23" s="139"/>
      <c r="H23" s="139"/>
      <c r="I23" s="139"/>
      <c r="J23" s="139"/>
      <c r="K23" s="139"/>
    </row>
    <row r="24" spans="1:12" hidden="1" x14ac:dyDescent="0.25">
      <c r="A24" t="s">
        <v>66</v>
      </c>
      <c r="B24" s="139">
        <f>'5-Year(auto-populated)'!B58</f>
        <v>0</v>
      </c>
      <c r="C24" s="139">
        <f>'5-Year(auto-populated)'!C58</f>
        <v>0</v>
      </c>
      <c r="D24" s="139">
        <f>'5-Year(auto-populated)'!D58</f>
        <v>0</v>
      </c>
      <c r="E24" s="139">
        <f>'5-Year(auto-populated)'!E58</f>
        <v>0</v>
      </c>
      <c r="F24" s="139">
        <f>'5-Year(auto-populated)'!F58</f>
        <v>0</v>
      </c>
      <c r="G24" s="139"/>
      <c r="H24" s="139"/>
      <c r="I24" s="139"/>
      <c r="J24" s="139"/>
      <c r="K24" s="139"/>
    </row>
    <row r="25" spans="1:12" hidden="1" x14ac:dyDescent="0.25">
      <c r="A25" t="s">
        <v>67</v>
      </c>
      <c r="B25" s="139">
        <f>'5-Year(auto-populated)'!B59</f>
        <v>0</v>
      </c>
      <c r="C25" s="139">
        <f>'5-Year(auto-populated)'!C59</f>
        <v>0</v>
      </c>
      <c r="D25" s="139">
        <f>'5-Year(auto-populated)'!D59</f>
        <v>0</v>
      </c>
      <c r="E25" s="139">
        <f>'5-Year(auto-populated)'!E59</f>
        <v>0</v>
      </c>
      <c r="F25" s="139">
        <f>'5-Year(auto-populated)'!F59</f>
        <v>0</v>
      </c>
      <c r="G25" s="139"/>
      <c r="H25" s="139"/>
      <c r="I25" s="139"/>
      <c r="J25" s="139"/>
      <c r="K25" s="139"/>
    </row>
    <row r="26" spans="1:12" hidden="1" x14ac:dyDescent="0.25">
      <c r="A26" t="s">
        <v>68</v>
      </c>
      <c r="B26" s="139">
        <f>'5-Year(auto-populated)'!B60</f>
        <v>0</v>
      </c>
      <c r="C26" s="139">
        <f>'5-Year(auto-populated)'!C60</f>
        <v>0</v>
      </c>
      <c r="D26" s="139">
        <f>'5-Year(auto-populated)'!D60</f>
        <v>0</v>
      </c>
      <c r="E26" s="139">
        <f>'5-Year(auto-populated)'!E60</f>
        <v>0</v>
      </c>
      <c r="F26" s="139">
        <f>'5-Year(auto-populated)'!F60</f>
        <v>0</v>
      </c>
      <c r="G26" s="139"/>
      <c r="H26" s="139"/>
      <c r="I26" s="139"/>
      <c r="J26" s="139"/>
      <c r="K26" s="139"/>
    </row>
    <row r="27" spans="1:12" x14ac:dyDescent="0.25">
      <c r="A27" s="141" t="s">
        <v>72</v>
      </c>
      <c r="B27" s="139">
        <f>SUM(B4:B26)</f>
        <v>17</v>
      </c>
      <c r="C27" s="139">
        <f>SUM(C4:C26)</f>
        <v>16</v>
      </c>
      <c r="D27" s="139">
        <f>SUM(D4:D26)</f>
        <v>16</v>
      </c>
      <c r="E27" s="139">
        <f>SUM(E4:E26)</f>
        <v>16</v>
      </c>
      <c r="F27" s="139">
        <f>SUM(F4:F26)</f>
        <v>16</v>
      </c>
      <c r="G27" s="139"/>
      <c r="H27" s="139"/>
      <c r="I27" s="139"/>
      <c r="J27" s="139"/>
      <c r="K27" s="139"/>
      <c r="L27" s="1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24-25</vt:lpstr>
      <vt:lpstr>25-26</vt:lpstr>
      <vt:lpstr>26-27</vt:lpstr>
      <vt:lpstr>27-28</vt:lpstr>
      <vt:lpstr>28-29</vt:lpstr>
      <vt:lpstr>5-Year(auto-populated)</vt:lpstr>
      <vt:lpstr>Staff</vt:lpstr>
      <vt:lpstr>'24-25'!Print_Area</vt:lpstr>
      <vt:lpstr>'25-26'!Print_Area</vt:lpstr>
      <vt:lpstr>'26-27'!Print_Area</vt:lpstr>
      <vt:lpstr>'27-28'!Print_Area</vt:lpstr>
      <vt:lpstr>'28-29'!Print_Area</vt:lpstr>
      <vt:lpstr>'5-Year(auto-populated)'!Print_Area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Padron</dc:creator>
  <cp:lastModifiedBy>Paul Ballou</cp:lastModifiedBy>
  <cp:lastPrinted>2025-01-17T19:46:46Z</cp:lastPrinted>
  <dcterms:created xsi:type="dcterms:W3CDTF">2024-10-28T17:56:26Z</dcterms:created>
  <dcterms:modified xsi:type="dcterms:W3CDTF">2025-01-17T19:52:38Z</dcterms:modified>
</cp:coreProperties>
</file>