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7.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autoCompressPictures="0"/>
  <mc:AlternateContent xmlns:mc="http://schemas.openxmlformats.org/markup-compatibility/2006">
    <mc:Choice Requires="x15">
      <x15ac:absPath xmlns:x15ac="http://schemas.microsoft.com/office/spreadsheetml/2010/11/ac" url="\\lvraiders\users\sguthrie\Documents\Charter\Change of Sponsorship\"/>
    </mc:Choice>
  </mc:AlternateContent>
  <xr:revisionPtr revIDLastSave="0" documentId="8_{C2BAAB69-A49B-4D3E-8D90-A24D413D02F5}" xr6:coauthVersionLast="47" xr6:coauthVersionMax="47" xr10:uidLastSave="{00000000-0000-0000-0000-000000000000}"/>
  <bookViews>
    <workbookView xWindow="-120" yWindow="-120" windowWidth="29040" windowHeight="15840" xr2:uid="{719D59B8-491B-4918-AF73-0C1D8D290606}"/>
  </bookViews>
  <sheets>
    <sheet name="Instructions" sheetId="36" r:id="rId1"/>
    <sheet name="Cover" sheetId="52" r:id="rId2"/>
    <sheet name="Checklist &amp; TOC" sheetId="66" r:id="rId3"/>
    <sheet name="Summary" sheetId="18" r:id="rId4"/>
    <sheet name="Statistics" sheetId="67" r:id="rId5"/>
    <sheet name="Mkt Res" sheetId="41" r:id="rId6"/>
    <sheet name=" Enrol &amp; Rev" sheetId="13" r:id="rId7"/>
    <sheet name="Pre Y1 (Incubation)" sheetId="39" state="hidden" r:id="rId8"/>
    <sheet name="CF Y1 Mo" sheetId="38" r:id="rId9"/>
    <sheet name="Staff" sheetId="62" r:id="rId10"/>
    <sheet name="Facilities" sheetId="46" r:id="rId11"/>
    <sheet name="Gen Optg" sheetId="61" r:id="rId12"/>
    <sheet name="FFE&amp;T" sheetId="34" r:id="rId13"/>
    <sheet name="Ins" sheetId="47" r:id="rId14"/>
    <sheet name="Marketing" sheetId="48" r:id="rId15"/>
    <sheet name="EMO-CMO-BOSP" sheetId="45" r:id="rId16"/>
    <sheet name="Info--&gt;" sheetId="75" r:id="rId17"/>
    <sheet name="Demographics" sheetId="71" r:id="rId18"/>
    <sheet name="PCFP Rates" sheetId="35" r:id="rId19"/>
    <sheet name="Facilities wkst" sheetId="53" r:id="rId20"/>
    <sheet name="Dev Notes" sheetId="57" r:id="rId21"/>
    <sheet name="Note FFE" sheetId="54" state="hidden" r:id="rId22"/>
    <sheet name="Eq wip" sheetId="55" state="hidden" r:id="rId23"/>
    <sheet name="Scratchpad (2)" sheetId="69" state="hidden" r:id="rId24"/>
    <sheet name="Levers" sheetId="63" r:id="rId25"/>
    <sheet name="Scratchpad" sheetId="68" r:id="rId26"/>
    <sheet name="Transp" sheetId="72" r:id="rId27"/>
    <sheet name="Star Ratings" sheetId="74" r:id="rId28"/>
  </sheets>
  <definedNames>
    <definedName name="Counties">'PCFP Rates'!$O$49:$O$79</definedName>
    <definedName name="County">'PCFP Rates'!$O$49:$O$79</definedName>
    <definedName name="DSA">'PCFP Rates'!#REF!</definedName>
    <definedName name="FICA_Rate">Staff!$C$59</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'EMO-CMO-BOSP'!$A$1</definedName>
    <definedName name="HypLink18">'PCFP Rates'!$A$1</definedName>
    <definedName name="HypLink19">'Facilities wkst'!$A$1</definedName>
    <definedName name="HypLink2">Instructions!$A$1</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Cover!$A$1</definedName>
    <definedName name="HypLink4">'Checklist &amp; TOC'!$A$1</definedName>
    <definedName name="HypLink5">Summary!$A$1</definedName>
    <definedName name="HypLink6" localSheetId="11">'Gen Optg'!$A$1</definedName>
    <definedName name="HypLink6" localSheetId="9">Staff!$A$1</definedName>
    <definedName name="HypLink6">Statistics!$A$1</definedName>
    <definedName name="HypLink7">'Mkt Res'!$A$1</definedName>
    <definedName name="HypLink8">' Enrol &amp; Rev'!$A$1</definedName>
    <definedName name="HypLink9">'Pre Y1 (Incubation)'!$A$1</definedName>
    <definedName name="_xlnm.Print_Area" localSheetId="6">' Enrol &amp; Rev'!$A$1:$M$146</definedName>
    <definedName name="_xlnm.Print_Area" localSheetId="8">'CF Y1 Mo'!$A$1:$R$130</definedName>
    <definedName name="_xlnm.Print_Area" localSheetId="2">'Checklist &amp; TOC'!$A$1:$K$35</definedName>
    <definedName name="_xlnm.Print_Area" localSheetId="1">Cover!$A$1:$G$23</definedName>
    <definedName name="_xlnm.Print_Area" localSheetId="17">Demographics!$A$1:$M$6</definedName>
    <definedName name="_xlnm.Print_Area" localSheetId="20">'Dev Notes'!$A$1:$T$90</definedName>
    <definedName name="_xlnm.Print_Area" localSheetId="15">'EMO-CMO-BOSP'!$A$1:$L$85</definedName>
    <definedName name="_xlnm.Print_Area" localSheetId="22">'Eq wip'!$A$1:$N$50</definedName>
    <definedName name="_xlnm.Print_Area" localSheetId="10">Facilities!$A$1:$L$77</definedName>
    <definedName name="_xlnm.Print_Area" localSheetId="12">'FFE&amp;T'!$A$1:$L$55</definedName>
    <definedName name="_xlnm.Print_Area" localSheetId="11">'Gen Optg'!$A$1:$L$181</definedName>
    <definedName name="_xlnm.Print_Area" localSheetId="13">Ins!$A$1:$L$51</definedName>
    <definedName name="_xlnm.Print_Area" localSheetId="0">Instructions!$A$2:$A$108</definedName>
    <definedName name="_xlnm.Print_Area" localSheetId="24">Levers!$A$1:$I$39</definedName>
    <definedName name="_xlnm.Print_Area" localSheetId="14">Marketing!$A$1:$N$46</definedName>
    <definedName name="_xlnm.Print_Area" localSheetId="5">'Mkt Res'!$A$1:$K$88</definedName>
    <definedName name="_xlnm.Print_Area" localSheetId="21">'Note FFE'!$A$1:$I$43</definedName>
    <definedName name="_xlnm.Print_Area" localSheetId="18">'PCFP Rates'!$A$1:$M$472</definedName>
    <definedName name="_xlnm.Print_Area" localSheetId="7">'Pre Y1 (Incubation)'!$A$1:$F$8</definedName>
    <definedName name="_xlnm.Print_Area" localSheetId="25">Scratchpad!$A$1:$L$44</definedName>
    <definedName name="_xlnm.Print_Area" localSheetId="23">'Scratchpad (2)'!$A$1:$Q$44</definedName>
    <definedName name="_xlnm.Print_Area" localSheetId="9">Staff!$A$1:$M$477</definedName>
    <definedName name="_xlnm.Print_Area" localSheetId="27">'Star Ratings'!$A$1:$K$43</definedName>
    <definedName name="_xlnm.Print_Area" localSheetId="4">Statistics!$A$1:$L$126</definedName>
    <definedName name="_xlnm.Print_Area" localSheetId="3">Summary!$A$1:$L$101</definedName>
    <definedName name="_xlnm.Print_Area" localSheetId="26">Transp!$A$1:$K$42</definedName>
    <definedName name="_xlnm.Print_Titles" localSheetId="6">' Enrol &amp; Rev'!$9:$11</definedName>
    <definedName name="_xlnm.Print_Titles" localSheetId="8">'CF Y1 Mo'!$7:$12</definedName>
    <definedName name="_xlnm.Print_Titles" localSheetId="15">'EMO-CMO-BOSP'!$9:$11</definedName>
    <definedName name="_xlnm.Print_Titles" localSheetId="10">Facilities!$6:$8</definedName>
    <definedName name="_xlnm.Print_Titles" localSheetId="19">'Facilities wkst'!$A:$A</definedName>
    <definedName name="_xlnm.Print_Titles" localSheetId="12">'FFE&amp;T'!$6:$8</definedName>
    <definedName name="_xlnm.Print_Titles" localSheetId="11">'Gen Optg'!$9:$11</definedName>
    <definedName name="_xlnm.Print_Titles" localSheetId="24">Levers!$7:$8</definedName>
    <definedName name="_xlnm.Print_Titles" localSheetId="14">Marketing!$11:$13</definedName>
    <definedName name="_xlnm.Print_Titles" localSheetId="5">'Mkt Res'!$7:$9</definedName>
    <definedName name="_xlnm.Print_Titles" localSheetId="9">Staff!$8:$10</definedName>
    <definedName name="_xlnm.Print_Titles" localSheetId="3">Summary!$6:$8</definedName>
    <definedName name="SchoolName">Cover!$C$9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8" l="1"/>
  <c r="G26" i="38" s="1"/>
  <c r="H26" i="38" s="1"/>
  <c r="I26" i="38" s="1"/>
  <c r="J26" i="38" s="1"/>
  <c r="K26" i="38" s="1"/>
  <c r="L26" i="38" s="1"/>
  <c r="M26" i="38" s="1"/>
  <c r="N26" i="38" s="1"/>
  <c r="O26" i="38" s="1"/>
  <c r="P26" i="38" s="1"/>
  <c r="Q26" i="38" s="1"/>
  <c r="U53" i="38"/>
  <c r="G50" i="38"/>
  <c r="H50" i="38" s="1"/>
  <c r="I50" i="38" s="1"/>
  <c r="J50" i="38" s="1"/>
  <c r="K50" i="38" s="1"/>
  <c r="L50" i="38" s="1"/>
  <c r="M50" i="38" s="1"/>
  <c r="N50" i="38" s="1"/>
  <c r="O50" i="38" s="1"/>
  <c r="P50" i="38" s="1"/>
  <c r="Q50" i="38" s="1"/>
  <c r="F50" i="38"/>
  <c r="G48" i="38"/>
  <c r="H48" i="38" s="1"/>
  <c r="I48" i="38" s="1"/>
  <c r="J48" i="38" s="1"/>
  <c r="K48" i="38" s="1"/>
  <c r="L48" i="38" s="1"/>
  <c r="M48" i="38" s="1"/>
  <c r="N48" i="38" s="1"/>
  <c r="O48" i="38" s="1"/>
  <c r="P48" i="38" s="1"/>
  <c r="Q48" i="38" s="1"/>
  <c r="F48" i="38"/>
  <c r="G46" i="38"/>
  <c r="H46" i="38" s="1"/>
  <c r="I46" i="38" s="1"/>
  <c r="J46" i="38" s="1"/>
  <c r="K46" i="38" s="1"/>
  <c r="L46" i="38" s="1"/>
  <c r="M46" i="38" s="1"/>
  <c r="N46" i="38" s="1"/>
  <c r="O46" i="38" s="1"/>
  <c r="P46" i="38" s="1"/>
  <c r="Q46" i="38" s="1"/>
  <c r="F46" i="38"/>
  <c r="G45" i="38"/>
  <c r="H45" i="38" s="1"/>
  <c r="I45" i="38" s="1"/>
  <c r="J45" i="38" s="1"/>
  <c r="K45" i="38" s="1"/>
  <c r="L45" i="38" s="1"/>
  <c r="M45" i="38" s="1"/>
  <c r="N45" i="38" s="1"/>
  <c r="O45" i="38" s="1"/>
  <c r="P45" i="38" s="1"/>
  <c r="Q45" i="38" s="1"/>
  <c r="F45" i="38"/>
  <c r="F44" i="38"/>
  <c r="G44" i="38" s="1"/>
  <c r="H44" i="38" s="1"/>
  <c r="I44" i="38" s="1"/>
  <c r="J44" i="38" s="1"/>
  <c r="K44" i="38" s="1"/>
  <c r="L44" i="38" s="1"/>
  <c r="M44" i="38" s="1"/>
  <c r="N44" i="38" s="1"/>
  <c r="O44" i="38" s="1"/>
  <c r="P44" i="38" s="1"/>
  <c r="Q44" i="38" s="1"/>
  <c r="F41" i="38"/>
  <c r="G41" i="38" s="1"/>
  <c r="H41" i="38" s="1"/>
  <c r="I41" i="38" s="1"/>
  <c r="J41" i="38" s="1"/>
  <c r="K41" i="38" s="1"/>
  <c r="L41" i="38" s="1"/>
  <c r="M41" i="38" s="1"/>
  <c r="N41" i="38" s="1"/>
  <c r="O41" i="38" s="1"/>
  <c r="P41" i="38" s="1"/>
  <c r="Q41" i="38" s="1"/>
  <c r="F40" i="38"/>
  <c r="G40" i="38" s="1"/>
  <c r="H40" i="38" s="1"/>
  <c r="I40" i="38" s="1"/>
  <c r="J40" i="38" s="1"/>
  <c r="K40" i="38" s="1"/>
  <c r="L40" i="38" s="1"/>
  <c r="M40" i="38" s="1"/>
  <c r="N40" i="38" s="1"/>
  <c r="O40" i="38" s="1"/>
  <c r="P40" i="38" s="1"/>
  <c r="Q40" i="38" s="1"/>
  <c r="F39" i="38"/>
  <c r="G39" i="38" s="1"/>
  <c r="H39" i="38" s="1"/>
  <c r="I39" i="38" s="1"/>
  <c r="J39" i="38" s="1"/>
  <c r="K39" i="38" s="1"/>
  <c r="L39" i="38" s="1"/>
  <c r="M39" i="38" s="1"/>
  <c r="N39" i="38" s="1"/>
  <c r="O39" i="38" s="1"/>
  <c r="P39" i="38" s="1"/>
  <c r="Q39" i="38" s="1"/>
  <c r="F31" i="38"/>
  <c r="G31" i="38" s="1"/>
  <c r="H31" i="38" s="1"/>
  <c r="I31" i="38" s="1"/>
  <c r="J31" i="38" s="1"/>
  <c r="K31" i="38" s="1"/>
  <c r="L31" i="38" s="1"/>
  <c r="M31" i="38" s="1"/>
  <c r="N31" i="38" s="1"/>
  <c r="O31" i="38" s="1"/>
  <c r="P31" i="38" s="1"/>
  <c r="Q31" i="38" s="1"/>
  <c r="O25" i="38"/>
  <c r="M25" i="38"/>
  <c r="J25" i="38"/>
  <c r="I18" i="38"/>
  <c r="J18" i="38" s="1"/>
  <c r="K18" i="38" s="1"/>
  <c r="L18" i="38" s="1"/>
  <c r="M18" i="38" s="1"/>
  <c r="N18" i="38" s="1"/>
  <c r="O18" i="38" s="1"/>
  <c r="P18" i="38" s="1"/>
  <c r="Q18" i="38" s="1"/>
  <c r="R18" i="38" s="1"/>
  <c r="H18" i="38"/>
  <c r="G18" i="38"/>
  <c r="F58" i="18"/>
  <c r="G58" i="18" s="1"/>
  <c r="H58" i="18" s="1"/>
  <c r="I58" i="18" s="1"/>
  <c r="J58" i="18" s="1"/>
  <c r="K58" i="18" s="1"/>
  <c r="L58" i="18" s="1"/>
  <c r="Q36" i="18"/>
  <c r="Q35" i="18"/>
  <c r="L134" i="61"/>
  <c r="K134" i="61"/>
  <c r="J134" i="61"/>
  <c r="I134" i="61"/>
  <c r="H134" i="61"/>
  <c r="G134" i="61"/>
  <c r="F134" i="61"/>
  <c r="C27" i="46"/>
  <c r="G16" i="46"/>
  <c r="H16" i="46" s="1"/>
  <c r="I16" i="46" s="1"/>
  <c r="J16" i="46" s="1"/>
  <c r="K16" i="46" s="1"/>
  <c r="L16" i="46" s="1"/>
  <c r="I13" i="46"/>
  <c r="J13" i="46" s="1"/>
  <c r="K13" i="46" s="1"/>
  <c r="L13" i="46" s="1"/>
  <c r="H13" i="46"/>
  <c r="G13" i="46"/>
  <c r="K5" i="53"/>
  <c r="C64" i="62"/>
  <c r="C63" i="62"/>
  <c r="L135" i="61" l="1"/>
  <c r="K135" i="61"/>
  <c r="J135" i="61"/>
  <c r="I135" i="61"/>
  <c r="H135" i="61"/>
  <c r="G135" i="61"/>
  <c r="F135" i="61"/>
  <c r="G244" i="62" l="1"/>
  <c r="G432" i="62"/>
  <c r="C89" i="13" l="1"/>
  <c r="C88" i="13"/>
  <c r="D84" i="13" l="1"/>
  <c r="A13" i="35" l="1"/>
  <c r="A14" i="35" s="1"/>
  <c r="A15" i="35" s="1"/>
  <c r="A16" i="35" s="1"/>
  <c r="A17" i="35" s="1"/>
  <c r="A18" i="35" s="1"/>
  <c r="A19" i="35" s="1"/>
  <c r="A20" i="35" s="1"/>
  <c r="A112" i="13" l="1"/>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61" i="45"/>
  <c r="A60" i="45"/>
  <c r="A59" i="45"/>
  <c r="A75" i="45"/>
  <c r="A70" i="45"/>
  <c r="G8" i="62"/>
  <c r="F65" i="38"/>
  <c r="G9" i="38"/>
  <c r="H9" i="38" s="1"/>
  <c r="I9" i="38" s="1"/>
  <c r="J9" i="38" s="1"/>
  <c r="K9" i="38" s="1"/>
  <c r="L9" i="38" s="1"/>
  <c r="M9" i="38" s="1"/>
  <c r="N9" i="38" s="1"/>
  <c r="O9" i="38" s="1"/>
  <c r="P9" i="38" s="1"/>
  <c r="Q9" i="38" s="1"/>
  <c r="A55" i="41"/>
  <c r="A43" i="41"/>
  <c r="A62" i="45" l="1"/>
  <c r="A72" i="45"/>
  <c r="F50" i="18"/>
  <c r="L103" i="18" l="1" a="1"/>
  <c r="L103" i="18" s="1"/>
  <c r="K103" i="18" a="1"/>
  <c r="K103" i="18" s="1"/>
  <c r="J103" i="18" a="1"/>
  <c r="J103" i="18" s="1"/>
  <c r="I103" i="18" a="1"/>
  <c r="I103" i="18" s="1"/>
  <c r="H103" i="18" a="1"/>
  <c r="H103" i="18" s="1"/>
  <c r="G103" i="18" a="1"/>
  <c r="G103" i="18" s="1"/>
  <c r="F103" i="18" a="1"/>
  <c r="F103" i="18" s="1"/>
  <c r="A61" i="41" l="1"/>
  <c r="A86" i="45" l="1"/>
  <c r="L34" i="34"/>
  <c r="K34" i="34"/>
  <c r="J34" i="34"/>
  <c r="I34" i="34"/>
  <c r="H34" i="34"/>
  <c r="G34" i="34"/>
  <c r="A34" i="34"/>
  <c r="A40" i="13"/>
  <c r="A41" i="13"/>
  <c r="A42" i="13"/>
  <c r="F11" i="52"/>
  <c r="A66" i="41" l="1"/>
  <c r="A64" i="41"/>
  <c r="A63" i="41"/>
  <c r="A62" i="41"/>
  <c r="A60" i="41"/>
  <c r="A59" i="41"/>
  <c r="A58" i="41"/>
  <c r="A57" i="41"/>
  <c r="L97" i="18"/>
  <c r="K97" i="18"/>
  <c r="J97" i="18"/>
  <c r="I97" i="18"/>
  <c r="H97" i="18"/>
  <c r="G97" i="18"/>
  <c r="F97" i="18"/>
  <c r="A98" i="18"/>
  <c r="A100" i="18"/>
  <c r="A77" i="41" l="1"/>
  <c r="A78" i="41"/>
  <c r="A79" i="41"/>
  <c r="A80" i="41"/>
  <c r="A81" i="41"/>
  <c r="A82" i="41"/>
  <c r="A83" i="41"/>
  <c r="A71" i="41"/>
  <c r="A72" i="41"/>
  <c r="A73" i="41"/>
  <c r="A74" i="41"/>
  <c r="A50" i="41"/>
  <c r="A51" i="41"/>
  <c r="A41" i="41"/>
  <c r="A42" i="41"/>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B24" i="52"/>
  <c r="B25" i="52"/>
  <c r="B26" i="52"/>
  <c r="B27" i="52"/>
  <c r="A179" i="61" l="1"/>
  <c r="F11" i="67" l="1"/>
  <c r="A10" i="67"/>
  <c r="A39" i="18"/>
  <c r="A40" i="18"/>
  <c r="A41" i="18"/>
  <c r="A13" i="13"/>
  <c r="B296" i="62" l="1"/>
  <c r="B295" i="62"/>
  <c r="B294" i="62"/>
  <c r="B293" i="62"/>
  <c r="A296" i="62"/>
  <c r="A295" i="62"/>
  <c r="A294" i="62"/>
  <c r="G107" i="62"/>
  <c r="A131" i="62"/>
  <c r="A130" i="62"/>
  <c r="A39" i="13"/>
  <c r="H37" i="13"/>
  <c r="A38" i="13"/>
  <c r="A37" i="13"/>
  <c r="A5" i="74"/>
  <c r="I37" i="13" l="1"/>
  <c r="J37" i="13" s="1"/>
  <c r="K37" i="13" s="1"/>
  <c r="A5" i="72"/>
  <c r="A101" i="18"/>
  <c r="A102" i="18"/>
  <c r="A103" i="18"/>
  <c r="A104" i="18"/>
  <c r="A105" i="18"/>
  <c r="A106" i="18"/>
  <c r="A84" i="18"/>
  <c r="A85" i="18"/>
  <c r="A86" i="18"/>
  <c r="A87" i="18"/>
  <c r="A88" i="18"/>
  <c r="A89" i="18"/>
  <c r="A90" i="18"/>
  <c r="A91" i="18"/>
  <c r="A92" i="18"/>
  <c r="A93" i="18"/>
  <c r="A94" i="18"/>
  <c r="A95" i="18"/>
  <c r="A96" i="18"/>
  <c r="A97" i="18"/>
  <c r="A99" i="18"/>
  <c r="L37" i="13" l="1"/>
  <c r="F88" i="18"/>
  <c r="F91" i="18" s="1"/>
  <c r="L88" i="18"/>
  <c r="L91" i="18" s="1"/>
  <c r="K88" i="18"/>
  <c r="K91" i="18" s="1"/>
  <c r="J88" i="18"/>
  <c r="J91" i="18" s="1"/>
  <c r="I88" i="18"/>
  <c r="I91" i="18" s="1"/>
  <c r="H88" i="18"/>
  <c r="H91" i="18" s="1"/>
  <c r="G88" i="18"/>
  <c r="G91" i="18" s="1"/>
  <c r="A59" i="18"/>
  <c r="A13" i="18"/>
  <c r="F12" i="67"/>
  <c r="A12" i="67"/>
  <c r="D147" i="35"/>
  <c r="F71" i="35"/>
  <c r="F59" i="35"/>
  <c r="G99" i="18" l="1"/>
  <c r="G100" i="18" s="1"/>
  <c r="G101" i="18" s="1"/>
  <c r="G104" i="18"/>
  <c r="I104" i="18"/>
  <c r="I99" i="18"/>
  <c r="I100" i="18" s="1"/>
  <c r="I101" i="18" s="1"/>
  <c r="J104" i="18"/>
  <c r="J99" i="18"/>
  <c r="J100" i="18" s="1"/>
  <c r="J101" i="18" s="1"/>
  <c r="K104" i="18"/>
  <c r="K99" i="18"/>
  <c r="K100" i="18" s="1"/>
  <c r="K101" i="18" s="1"/>
  <c r="H104" i="18"/>
  <c r="H99" i="18"/>
  <c r="H100" i="18" s="1"/>
  <c r="H101" i="18" s="1"/>
  <c r="F100" i="18"/>
  <c r="F101" i="18" s="1"/>
  <c r="F104" i="18"/>
  <c r="L104" i="18"/>
  <c r="L99" i="18"/>
  <c r="L100" i="18" s="1"/>
  <c r="L101" i="18" s="1"/>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Q127" i="38"/>
  <c r="Q51" i="38"/>
  <c r="L11" i="18"/>
  <c r="K11" i="18"/>
  <c r="J11" i="18"/>
  <c r="I11" i="18"/>
  <c r="H11" i="18"/>
  <c r="G11" i="18"/>
  <c r="F11" i="18"/>
  <c r="A2" i="71"/>
  <c r="A64" i="13"/>
  <c r="A63" i="13" l="1"/>
  <c r="A5" i="71" l="1"/>
  <c r="A83" i="13" l="1"/>
  <c r="A62" i="13"/>
  <c r="A65" i="13"/>
  <c r="A61" i="13"/>
  <c r="A2" i="68" l="1"/>
  <c r="H16" i="69"/>
  <c r="J15" i="69"/>
  <c r="J16" i="69" s="1"/>
  <c r="I15" i="69"/>
  <c r="I16" i="69" s="1"/>
  <c r="H15" i="69"/>
  <c r="G15" i="69"/>
  <c r="G16" i="69" s="1"/>
  <c r="F15" i="69"/>
  <c r="F16" i="69" s="1"/>
  <c r="J14" i="69"/>
  <c r="K14" i="69" s="1"/>
  <c r="K15" i="69" s="1"/>
  <c r="K16" i="69" s="1"/>
  <c r="A5" i="69"/>
  <c r="A34" i="18"/>
  <c r="A35" i="18"/>
  <c r="A36" i="18"/>
  <c r="A37" i="18"/>
  <c r="A38" i="18"/>
  <c r="A42" i="18"/>
  <c r="A46" i="13"/>
  <c r="A123" i="61" l="1"/>
  <c r="A121" i="61"/>
  <c r="A118" i="61"/>
  <c r="A129" i="61"/>
  <c r="A128" i="61"/>
  <c r="A127" i="61"/>
  <c r="A126" i="61"/>
  <c r="A125" i="61"/>
  <c r="A124" i="61"/>
  <c r="A122" i="61"/>
  <c r="A120" i="61"/>
  <c r="A119" i="61"/>
  <c r="A117" i="61"/>
  <c r="A116" i="61"/>
  <c r="A115" i="61"/>
  <c r="A114" i="61"/>
  <c r="A113" i="61"/>
  <c r="A112" i="61"/>
  <c r="A111" i="61"/>
  <c r="A110" i="61"/>
  <c r="A141" i="61"/>
  <c r="A38" i="46"/>
  <c r="A34" i="62" l="1"/>
  <c r="A33" i="62"/>
  <c r="A32" i="62"/>
  <c r="A31" i="62"/>
  <c r="A39" i="39" l="1"/>
  <c r="A80" i="13"/>
  <c r="C71" i="13"/>
  <c r="C70" i="13"/>
  <c r="C69" i="13"/>
  <c r="C68" i="13"/>
  <c r="A58" i="13"/>
  <c r="A54" i="18"/>
  <c r="B72" i="67" l="1"/>
  <c r="A72" i="67"/>
  <c r="B71" i="67"/>
  <c r="A71" i="67"/>
  <c r="B70" i="67"/>
  <c r="A70" i="67"/>
  <c r="B69" i="67"/>
  <c r="A69" i="67"/>
  <c r="B68" i="67"/>
  <c r="B67" i="67"/>
  <c r="B66" i="67"/>
  <c r="B65" i="67"/>
  <c r="B63" i="67"/>
  <c r="B62" i="67"/>
  <c r="B61" i="67"/>
  <c r="B60" i="67"/>
  <c r="B59" i="67"/>
  <c r="B58" i="67"/>
  <c r="B57" i="67"/>
  <c r="B56" i="67"/>
  <c r="B55" i="67"/>
  <c r="B54" i="67"/>
  <c r="B53" i="67"/>
  <c r="F18" i="18" l="1"/>
  <c r="A144" i="13"/>
  <c r="A62" i="18" l="1"/>
  <c r="E21" i="38"/>
  <c r="A21" i="38"/>
  <c r="E70" i="13"/>
  <c r="E69" i="13"/>
  <c r="A18" i="62"/>
  <c r="A17" i="62"/>
  <c r="A16" i="62"/>
  <c r="A66" i="18" l="1"/>
  <c r="A67" i="18"/>
  <c r="A68" i="18"/>
  <c r="A69" i="18"/>
  <c r="A70" i="18"/>
  <c r="A71" i="18"/>
  <c r="A72" i="18"/>
  <c r="A73" i="18"/>
  <c r="A74" i="18"/>
  <c r="A65" i="18"/>
  <c r="A64" i="18"/>
  <c r="A63" i="18"/>
  <c r="A61" i="18"/>
  <c r="A60" i="18"/>
  <c r="A127" i="13"/>
  <c r="A101" i="13"/>
  <c r="A5" i="68" l="1"/>
  <c r="A47" i="13" l="1"/>
  <c r="A48" i="13"/>
  <c r="A49" i="13"/>
  <c r="A50" i="13"/>
  <c r="A51" i="13"/>
  <c r="A52" i="13"/>
  <c r="A53" i="13"/>
  <c r="A54" i="13"/>
  <c r="A55" i="13"/>
  <c r="A56" i="13"/>
  <c r="A57" i="13"/>
  <c r="A59" i="13"/>
  <c r="A60" i="13"/>
  <c r="G475" i="62" l="1"/>
  <c r="G468" i="62"/>
  <c r="G476" i="62" s="1"/>
  <c r="F475" i="62"/>
  <c r="F468" i="62"/>
  <c r="F476" i="62" s="1"/>
  <c r="E475" i="62"/>
  <c r="E468" i="62"/>
  <c r="E476" i="62" s="1"/>
  <c r="D475" i="62"/>
  <c r="D468" i="62"/>
  <c r="D476" i="62" s="1"/>
  <c r="C475" i="62"/>
  <c r="C468" i="62"/>
  <c r="C476" i="62" s="1"/>
  <c r="A452" i="62"/>
  <c r="A451" i="62"/>
  <c r="A450" i="62"/>
  <c r="G471" i="62" l="1"/>
  <c r="F471" i="62"/>
  <c r="E471" i="62"/>
  <c r="D471" i="62"/>
  <c r="C471" i="62"/>
  <c r="A198" i="61" l="1"/>
  <c r="A199" i="61"/>
  <c r="A14" i="67" l="1"/>
  <c r="A13" i="67" l="1"/>
  <c r="A11" i="67"/>
  <c r="A9" i="67"/>
  <c r="A126"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A99" i="67"/>
  <c r="A98" i="67"/>
  <c r="A97" i="67"/>
  <c r="A96" i="67"/>
  <c r="A95" i="67"/>
  <c r="B94" i="67"/>
  <c r="A94" i="67"/>
  <c r="B93" i="67"/>
  <c r="A93" i="67"/>
  <c r="A92" i="67"/>
  <c r="A91" i="67"/>
  <c r="A90" i="67"/>
  <c r="C89" i="67"/>
  <c r="A89" i="67"/>
  <c r="A88" i="67"/>
  <c r="F87" i="67"/>
  <c r="A87" i="67"/>
  <c r="A86" i="67"/>
  <c r="A85" i="67"/>
  <c r="A84" i="67"/>
  <c r="A83" i="67"/>
  <c r="A82" i="67"/>
  <c r="A81" i="67"/>
  <c r="A80" i="67"/>
  <c r="A79" i="67"/>
  <c r="A78" i="67"/>
  <c r="A77" i="67"/>
  <c r="A76" i="67"/>
  <c r="A75" i="67"/>
  <c r="A74" i="67"/>
  <c r="A73"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30" i="67"/>
  <c r="A29" i="67"/>
  <c r="A28" i="67"/>
  <c r="A27" i="67"/>
  <c r="A26" i="67"/>
  <c r="A25" i="67"/>
  <c r="A24" i="67"/>
  <c r="A23" i="67"/>
  <c r="A22" i="67"/>
  <c r="A21" i="67"/>
  <c r="F20" i="67"/>
  <c r="A20" i="67"/>
  <c r="A19" i="67"/>
  <c r="A18" i="67"/>
  <c r="A17" i="67"/>
  <c r="A16" i="67"/>
  <c r="A15" i="67"/>
  <c r="A75" i="18"/>
  <c r="A23" i="39" l="1"/>
  <c r="E68" i="13"/>
  <c r="E71" i="13" s="1"/>
  <c r="A15" i="13" l="1"/>
  <c r="A122" i="13"/>
  <c r="F143" i="13"/>
  <c r="F145" i="13" s="1"/>
  <c r="F36" i="18" s="1"/>
  <c r="F24" i="18"/>
  <c r="F62" i="67" s="1"/>
  <c r="L117" i="13"/>
  <c r="K117" i="13"/>
  <c r="J117" i="13"/>
  <c r="I117" i="13"/>
  <c r="H117" i="13"/>
  <c r="G117" i="13"/>
  <c r="A117" i="13"/>
  <c r="A116" i="13"/>
  <c r="A115" i="13"/>
  <c r="A143" i="13"/>
  <c r="A124" i="13"/>
  <c r="A90" i="13"/>
  <c r="A91" i="13"/>
  <c r="A81" i="13"/>
  <c r="D142" i="35"/>
  <c r="G84" i="13"/>
  <c r="G116" i="13" s="1"/>
  <c r="G92" i="13"/>
  <c r="A75" i="13"/>
  <c r="A74" i="13"/>
  <c r="G94" i="13"/>
  <c r="C73" i="13"/>
  <c r="C74" i="13" s="1"/>
  <c r="E73" i="13"/>
  <c r="G24" i="18" l="1"/>
  <c r="F15" i="18"/>
  <c r="G93" i="13"/>
  <c r="L34" i="18"/>
  <c r="L72" i="67" s="1"/>
  <c r="K34" i="18"/>
  <c r="K72" i="67" s="1"/>
  <c r="J34" i="18"/>
  <c r="J72" i="67" s="1"/>
  <c r="I34" i="18"/>
  <c r="I72" i="67" s="1"/>
  <c r="H34" i="18"/>
  <c r="H72" i="67" s="1"/>
  <c r="G34" i="18"/>
  <c r="G72" i="67" s="1"/>
  <c r="F34" i="18"/>
  <c r="F72" i="67" s="1"/>
  <c r="A139" i="61"/>
  <c r="A138" i="61"/>
  <c r="A137" i="61"/>
  <c r="A136" i="61"/>
  <c r="A135" i="61"/>
  <c r="A134" i="61"/>
  <c r="A133" i="61"/>
  <c r="C34" i="18" l="1"/>
  <c r="D34" i="18"/>
  <c r="A21" i="45" l="1"/>
  <c r="A11" i="18" l="1"/>
  <c r="A36" i="46" l="1"/>
  <c r="A37" i="46"/>
  <c r="A39" i="46"/>
  <c r="A37" i="39"/>
  <c r="A36" i="39"/>
  <c r="A35" i="39"/>
  <c r="A34" i="39"/>
  <c r="A33" i="39"/>
  <c r="L100" i="61" l="1"/>
  <c r="K100" i="61"/>
  <c r="J100" i="61"/>
  <c r="I100" i="61"/>
  <c r="H100" i="61"/>
  <c r="G100" i="61"/>
  <c r="G99" i="61"/>
  <c r="H99" i="61"/>
  <c r="I99" i="61"/>
  <c r="J99" i="61"/>
  <c r="K99" i="61"/>
  <c r="L99" i="61"/>
  <c r="A132" i="61"/>
  <c r="A76" i="13"/>
  <c r="A73" i="13"/>
  <c r="A72" i="13"/>
  <c r="A71" i="13"/>
  <c r="A70" i="13"/>
  <c r="A69" i="13"/>
  <c r="A68" i="13"/>
  <c r="A67" i="13"/>
  <c r="A66" i="13"/>
  <c r="A25" i="39" l="1"/>
  <c r="A24" i="39"/>
  <c r="A21" i="39"/>
  <c r="A22" i="39"/>
  <c r="A131" i="61" l="1"/>
  <c r="A130" i="61"/>
  <c r="B26" i="18" l="1"/>
  <c r="B64" i="67" s="1"/>
  <c r="L26" i="18"/>
  <c r="L64" i="67" s="1"/>
  <c r="K26" i="18"/>
  <c r="K64" i="67" s="1"/>
  <c r="J26" i="18"/>
  <c r="J64" i="67" s="1"/>
  <c r="I26" i="18"/>
  <c r="I64" i="67" s="1"/>
  <c r="H26" i="18"/>
  <c r="H64" i="67" s="1"/>
  <c r="G26" i="18"/>
  <c r="G64" i="67" s="1"/>
  <c r="F26" i="18"/>
  <c r="A26" i="18"/>
  <c r="C134" i="13"/>
  <c r="A146" i="13"/>
  <c r="A145" i="13"/>
  <c r="A142" i="13"/>
  <c r="A141" i="13"/>
  <c r="A140" i="13"/>
  <c r="A139" i="13"/>
  <c r="A138" i="13"/>
  <c r="A137" i="13"/>
  <c r="A136" i="13"/>
  <c r="A135" i="13"/>
  <c r="A134" i="13"/>
  <c r="G78" i="62"/>
  <c r="A66" i="45"/>
  <c r="D26" i="18" l="1"/>
  <c r="C26" i="18"/>
  <c r="D56" i="13" l="1"/>
  <c r="A40" i="39"/>
  <c r="E39" i="39"/>
  <c r="A38" i="39"/>
  <c r="A32" i="39"/>
  <c r="A31" i="39"/>
  <c r="A30" i="39"/>
  <c r="A29" i="39"/>
  <c r="A28" i="39"/>
  <c r="A27" i="39"/>
  <c r="A26" i="39"/>
  <c r="A20" i="39"/>
  <c r="A19" i="39"/>
  <c r="A18" i="39"/>
  <c r="A17" i="39"/>
  <c r="A16" i="39"/>
  <c r="A15" i="39"/>
  <c r="A14" i="39"/>
  <c r="A13" i="39"/>
  <c r="A12" i="39"/>
  <c r="A11" i="39"/>
  <c r="M13" i="38"/>
  <c r="N13" i="38" s="1"/>
  <c r="O13" i="38" s="1"/>
  <c r="P13" i="38" s="1"/>
  <c r="Q13" i="38" s="1"/>
  <c r="R13" i="38" s="1"/>
  <c r="G13" i="38"/>
  <c r="H13" i="38" s="1"/>
  <c r="I13" i="38" s="1"/>
  <c r="J13" i="38" s="1"/>
  <c r="K13" i="38" s="1"/>
  <c r="E44" i="38"/>
  <c r="A31" i="34"/>
  <c r="A30" i="34"/>
  <c r="A29" i="34"/>
  <c r="A28" i="34"/>
  <c r="A78" i="61"/>
  <c r="A100" i="61"/>
  <c r="A101" i="61"/>
  <c r="A99" i="61"/>
  <c r="B84" i="13" l="1"/>
  <c r="B145" i="35"/>
  <c r="D153" i="35" l="1"/>
  <c r="D152" i="35" s="1"/>
  <c r="C84" i="13" l="1"/>
  <c r="B76" i="38"/>
  <c r="F61" i="35"/>
  <c r="F60" i="35"/>
  <c r="F58" i="35"/>
  <c r="F57" i="35"/>
  <c r="F56" i="35"/>
  <c r="F55" i="35"/>
  <c r="F16" i="18" l="1"/>
  <c r="F54" i="67" s="1"/>
  <c r="F53" i="67"/>
  <c r="A113" i="13"/>
  <c r="A123" i="13"/>
  <c r="A121" i="13"/>
  <c r="A120" i="13"/>
  <c r="A119" i="13"/>
  <c r="A118" i="13"/>
  <c r="A114" i="13"/>
  <c r="A97" i="13"/>
  <c r="A96" i="13"/>
  <c r="A95" i="13"/>
  <c r="A94" i="13"/>
  <c r="A93" i="13"/>
  <c r="A92" i="13"/>
  <c r="A89" i="13"/>
  <c r="C109" i="13"/>
  <c r="C118" i="13"/>
  <c r="A103" i="13"/>
  <c r="A102" i="13"/>
  <c r="A100" i="13"/>
  <c r="A99" i="13"/>
  <c r="A98" i="13"/>
  <c r="A88" i="13"/>
  <c r="A87" i="13"/>
  <c r="A86" i="13"/>
  <c r="A85" i="13"/>
  <c r="A84" i="13"/>
  <c r="A82" i="13"/>
  <c r="A79" i="13"/>
  <c r="A78" i="13"/>
  <c r="A77" i="13"/>
  <c r="E73" i="35"/>
  <c r="E72" i="35"/>
  <c r="E70" i="35"/>
  <c r="E69" i="35"/>
  <c r="E68" i="35"/>
  <c r="E67" i="35"/>
  <c r="D85" i="13"/>
  <c r="B86" i="13"/>
  <c r="B85" i="13"/>
  <c r="G85" i="13" l="1"/>
  <c r="D86" i="13"/>
  <c r="H92" i="13"/>
  <c r="I92" i="13" s="1"/>
  <c r="J92" i="13" s="1"/>
  <c r="K92" i="13" s="1"/>
  <c r="L92" i="13" s="1"/>
  <c r="H93" i="13"/>
  <c r="I93" i="13" s="1"/>
  <c r="J93" i="13" s="1"/>
  <c r="K93" i="13" s="1"/>
  <c r="L93" i="13" s="1"/>
  <c r="H94" i="13"/>
  <c r="I94" i="13" s="1"/>
  <c r="J94" i="13" s="1"/>
  <c r="K94" i="13" s="1"/>
  <c r="L94" i="13" s="1"/>
  <c r="G87" i="13" l="1"/>
  <c r="G86" i="13"/>
  <c r="K100" i="35"/>
  <c r="K99" i="35"/>
  <c r="K98" i="35"/>
  <c r="K97" i="35"/>
  <c r="G115" i="13" l="1"/>
  <c r="C26" i="38" s="1"/>
  <c r="K101" i="35"/>
  <c r="D92" i="35" l="1"/>
  <c r="D50" i="35"/>
  <c r="G36" i="13" l="1"/>
  <c r="G147" i="61" s="1"/>
  <c r="G38" i="13" l="1"/>
  <c r="G169" i="61"/>
  <c r="G170" i="61" s="1"/>
  <c r="G171" i="61" s="1"/>
  <c r="G172" i="61" s="1"/>
  <c r="G12" i="13"/>
  <c r="G69" i="13"/>
  <c r="G127" i="13"/>
  <c r="C21" i="38" s="1"/>
  <c r="D21" i="38" s="1"/>
  <c r="G70" i="13"/>
  <c r="G68" i="13"/>
  <c r="H84" i="13" s="1"/>
  <c r="H116" i="13" s="1"/>
  <c r="H24" i="18" s="1"/>
  <c r="G20" i="67"/>
  <c r="G9" i="67" s="1"/>
  <c r="G19" i="13"/>
  <c r="G53" i="13"/>
  <c r="G51" i="13"/>
  <c r="H107" i="62" s="1"/>
  <c r="G54" i="13"/>
  <c r="G52" i="13"/>
  <c r="G78" i="61"/>
  <c r="G111" i="13"/>
  <c r="D149" i="35"/>
  <c r="D148" i="35"/>
  <c r="D146" i="35"/>
  <c r="D145" i="35"/>
  <c r="D144" i="35"/>
  <c r="D143" i="35"/>
  <c r="A111" i="13"/>
  <c r="I149" i="35"/>
  <c r="H149" i="35"/>
  <c r="G149" i="35"/>
  <c r="F149" i="35"/>
  <c r="I148" i="35"/>
  <c r="H148" i="35"/>
  <c r="G148" i="35"/>
  <c r="F148" i="35"/>
  <c r="I146" i="35"/>
  <c r="H146" i="35"/>
  <c r="G146" i="35"/>
  <c r="F146" i="35"/>
  <c r="I145" i="35"/>
  <c r="H145" i="35"/>
  <c r="G145" i="35"/>
  <c r="F145" i="35"/>
  <c r="I144" i="35"/>
  <c r="H144" i="35"/>
  <c r="G144" i="35"/>
  <c r="F144" i="35"/>
  <c r="I143" i="35"/>
  <c r="H143" i="35"/>
  <c r="G143" i="35"/>
  <c r="F143" i="35"/>
  <c r="B149" i="35"/>
  <c r="B148" i="35"/>
  <c r="B146" i="35"/>
  <c r="B144" i="35"/>
  <c r="B143" i="35"/>
  <c r="E149" i="35"/>
  <c r="E148" i="35"/>
  <c r="E146" i="35"/>
  <c r="E145" i="35"/>
  <c r="E144" i="35"/>
  <c r="E143" i="35"/>
  <c r="I136" i="35"/>
  <c r="H136" i="35"/>
  <c r="G136" i="35"/>
  <c r="F136" i="35"/>
  <c r="C115" i="35"/>
  <c r="C138" i="35"/>
  <c r="A144" i="35"/>
  <c r="A145" i="35" s="1"/>
  <c r="A146" i="35" s="1"/>
  <c r="A147" i="35" s="1"/>
  <c r="A148" i="35" s="1"/>
  <c r="A149" i="35" s="1"/>
  <c r="C129" i="35"/>
  <c r="I128" i="35"/>
  <c r="H128" i="35"/>
  <c r="G128" i="35"/>
  <c r="F128" i="35"/>
  <c r="I127" i="35"/>
  <c r="H127" i="35"/>
  <c r="G127" i="35"/>
  <c r="F127" i="35"/>
  <c r="I126" i="35"/>
  <c r="H126" i="35"/>
  <c r="G126" i="35"/>
  <c r="F126" i="35"/>
  <c r="I123" i="35"/>
  <c r="H123" i="35"/>
  <c r="G123" i="35"/>
  <c r="I122" i="35"/>
  <c r="H122" i="35"/>
  <c r="G122" i="35"/>
  <c r="F122" i="35"/>
  <c r="F123" i="35"/>
  <c r="E128" i="35"/>
  <c r="E127" i="35"/>
  <c r="E126" i="35"/>
  <c r="E123" i="35"/>
  <c r="E122" i="35"/>
  <c r="B127" i="35"/>
  <c r="B126" i="35"/>
  <c r="B125" i="35"/>
  <c r="B124" i="35"/>
  <c r="B123" i="35"/>
  <c r="B122" i="35"/>
  <c r="A123" i="35"/>
  <c r="A124" i="35" s="1"/>
  <c r="A125" i="35" s="1"/>
  <c r="A126" i="35" s="1"/>
  <c r="A127" i="35" s="1"/>
  <c r="E115" i="35"/>
  <c r="E134" i="35" s="1"/>
  <c r="G109" i="67" l="1"/>
  <c r="G121" i="67"/>
  <c r="G95" i="67"/>
  <c r="D88" i="13"/>
  <c r="J145" i="35"/>
  <c r="J149" i="35"/>
  <c r="J144" i="35"/>
  <c r="J148" i="35"/>
  <c r="J143" i="35"/>
  <c r="J128" i="35"/>
  <c r="J127" i="35"/>
  <c r="J122" i="35"/>
  <c r="G88" i="13" l="1"/>
  <c r="G114" i="13" s="1"/>
  <c r="G56" i="13"/>
  <c r="J146" i="35"/>
  <c r="J126" i="35"/>
  <c r="J123" i="35"/>
  <c r="H117" i="35"/>
  <c r="G117" i="35"/>
  <c r="I117" i="35"/>
  <c r="F117" i="35"/>
  <c r="H115" i="35"/>
  <c r="G115" i="35"/>
  <c r="I115" i="35"/>
  <c r="F115" i="35"/>
  <c r="H134" i="35" l="1"/>
  <c r="I134" i="35"/>
  <c r="F134" i="35"/>
  <c r="G134" i="35"/>
  <c r="J115" i="35"/>
  <c r="I297" i="35"/>
  <c r="H297" i="35"/>
  <c r="G297" i="35"/>
  <c r="F297" i="35"/>
  <c r="E297" i="35"/>
  <c r="I296" i="35"/>
  <c r="H296" i="35"/>
  <c r="G296" i="35"/>
  <c r="F296" i="35"/>
  <c r="E296" i="35"/>
  <c r="E275" i="35" s="1"/>
  <c r="I295" i="35"/>
  <c r="H295" i="35"/>
  <c r="G295" i="35"/>
  <c r="F295" i="35"/>
  <c r="E295" i="35"/>
  <c r="E274" i="35" s="1"/>
  <c r="I294" i="35"/>
  <c r="H294" i="35"/>
  <c r="G294" i="35"/>
  <c r="F294" i="35"/>
  <c r="E294" i="35"/>
  <c r="I293" i="35"/>
  <c r="H293" i="35"/>
  <c r="G293" i="35"/>
  <c r="F293" i="35"/>
  <c r="E293" i="35"/>
  <c r="I292" i="35"/>
  <c r="H292" i="35"/>
  <c r="G292" i="35"/>
  <c r="F292" i="35"/>
  <c r="E292" i="35"/>
  <c r="E271" i="35" s="1"/>
  <c r="E50" i="35"/>
  <c r="D150" i="35" s="1"/>
  <c r="B336" i="35"/>
  <c r="B335" i="35"/>
  <c r="B334" i="35"/>
  <c r="D333" i="35"/>
  <c r="B333" i="35"/>
  <c r="D332" i="35"/>
  <c r="B332" i="35"/>
  <c r="A332" i="35"/>
  <c r="A333" i="35" s="1"/>
  <c r="A334" i="35" s="1"/>
  <c r="A335" i="35" s="1"/>
  <c r="A336" i="35" s="1"/>
  <c r="D331" i="35"/>
  <c r="B331" i="35"/>
  <c r="B326" i="35"/>
  <c r="B325" i="35"/>
  <c r="B324" i="35"/>
  <c r="D323" i="35"/>
  <c r="B323" i="35"/>
  <c r="D322" i="35"/>
  <c r="B322" i="35"/>
  <c r="A322" i="35"/>
  <c r="A323" i="35" s="1"/>
  <c r="A324" i="35" s="1"/>
  <c r="A325" i="35" s="1"/>
  <c r="A326" i="35" s="1"/>
  <c r="D321" i="35"/>
  <c r="B321" i="35"/>
  <c r="I315" i="35"/>
  <c r="H315" i="35"/>
  <c r="G315" i="35"/>
  <c r="F315" i="35"/>
  <c r="E315" i="35"/>
  <c r="B313" i="35"/>
  <c r="B312" i="35"/>
  <c r="B311" i="35"/>
  <c r="D310" i="35"/>
  <c r="B310" i="35"/>
  <c r="D309" i="35"/>
  <c r="B309" i="35"/>
  <c r="A309" i="35"/>
  <c r="A310" i="35" s="1"/>
  <c r="A311" i="35" s="1"/>
  <c r="A312" i="35" s="1"/>
  <c r="A313" i="35" s="1"/>
  <c r="D308" i="35"/>
  <c r="B308" i="35"/>
  <c r="D68" i="35"/>
  <c r="F68" i="35" s="1"/>
  <c r="D73" i="35"/>
  <c r="F73" i="35" s="1"/>
  <c r="D72" i="35"/>
  <c r="D70" i="35"/>
  <c r="F70" i="35" s="1"/>
  <c r="D69" i="35"/>
  <c r="D67" i="35"/>
  <c r="F72" i="35" l="1"/>
  <c r="F69" i="35"/>
  <c r="G80" i="35"/>
  <c r="H80" i="35" s="1"/>
  <c r="G77" i="35"/>
  <c r="H77" i="35" s="1"/>
  <c r="G79" i="35"/>
  <c r="H79" i="35" s="1"/>
  <c r="G78" i="35"/>
  <c r="H78" i="35" s="1"/>
  <c r="F67" i="35"/>
  <c r="I116" i="35"/>
  <c r="K115" i="35"/>
  <c r="G116" i="35"/>
  <c r="I150" i="35"/>
  <c r="I151" i="35" s="1"/>
  <c r="D126" i="35"/>
  <c r="J134" i="35"/>
  <c r="D125" i="35"/>
  <c r="D122" i="35"/>
  <c r="D127" i="35"/>
  <c r="D124" i="35"/>
  <c r="D123" i="35"/>
  <c r="D296" i="35"/>
  <c r="G150" i="35"/>
  <c r="G151" i="35" s="1"/>
  <c r="D128" i="35"/>
  <c r="E121" i="35"/>
  <c r="E125" i="35"/>
  <c r="J116" i="35"/>
  <c r="E116" i="35"/>
  <c r="F116" i="35"/>
  <c r="H116" i="35"/>
  <c r="H298" i="35"/>
  <c r="D273" i="35"/>
  <c r="D285" i="35"/>
  <c r="D274" i="35"/>
  <c r="D282" i="35"/>
  <c r="D286" i="35"/>
  <c r="D294" i="35"/>
  <c r="D293" i="35"/>
  <c r="D271" i="35"/>
  <c r="D275" i="35"/>
  <c r="D283" i="35"/>
  <c r="D287" i="35"/>
  <c r="D295" i="35"/>
  <c r="F298" i="35"/>
  <c r="J293" i="35"/>
  <c r="J297" i="35"/>
  <c r="D297" i="35"/>
  <c r="J315" i="35"/>
  <c r="D272" i="35"/>
  <c r="D276" i="35"/>
  <c r="D284" i="35"/>
  <c r="D292" i="35"/>
  <c r="G298" i="35"/>
  <c r="J294" i="35"/>
  <c r="J295" i="35"/>
  <c r="E272" i="35"/>
  <c r="E276" i="35"/>
  <c r="J292" i="35"/>
  <c r="I298" i="35"/>
  <c r="J296" i="35"/>
  <c r="E273" i="35"/>
  <c r="E298" i="35"/>
  <c r="E277" i="35" l="1"/>
  <c r="F124" i="35"/>
  <c r="G124" i="35"/>
  <c r="I124" i="35"/>
  <c r="H124" i="35"/>
  <c r="E124" i="35"/>
  <c r="E129" i="35" s="1"/>
  <c r="E130" i="35" s="1"/>
  <c r="G135" i="35"/>
  <c r="F135" i="35"/>
  <c r="H150" i="35"/>
  <c r="H151" i="35" s="1"/>
  <c r="I125" i="35"/>
  <c r="F125" i="35"/>
  <c r="G125" i="35"/>
  <c r="H125" i="35"/>
  <c r="F150" i="35"/>
  <c r="F151" i="35" s="1"/>
  <c r="I135" i="35"/>
  <c r="H135" i="35"/>
  <c r="E150" i="35"/>
  <c r="J135" i="35"/>
  <c r="E135" i="35"/>
  <c r="E142" i="35"/>
  <c r="E300" i="35"/>
  <c r="J298" i="35"/>
  <c r="H129" i="35" l="1"/>
  <c r="H130" i="35" s="1"/>
  <c r="G129" i="35"/>
  <c r="G130" i="35" s="1"/>
  <c r="F129" i="35"/>
  <c r="F130" i="35" s="1"/>
  <c r="F131" i="35" s="1"/>
  <c r="I129" i="35"/>
  <c r="I130" i="35" s="1"/>
  <c r="I131" i="35" s="1"/>
  <c r="J124" i="35"/>
  <c r="E131" i="35"/>
  <c r="G131" i="35"/>
  <c r="H131" i="35"/>
  <c r="J125" i="35"/>
  <c r="J150" i="35"/>
  <c r="E151" i="35"/>
  <c r="J151" i="35" s="1"/>
  <c r="D239" i="35"/>
  <c r="D238" i="35"/>
  <c r="D237" i="35"/>
  <c r="D236" i="35"/>
  <c r="D235" i="35"/>
  <c r="D234" i="35"/>
  <c r="D252" i="35"/>
  <c r="D251" i="35"/>
  <c r="D250" i="35"/>
  <c r="D249" i="35"/>
  <c r="D248" i="35"/>
  <c r="D247" i="35"/>
  <c r="I262" i="35"/>
  <c r="H262" i="35"/>
  <c r="G262" i="35"/>
  <c r="F262" i="35"/>
  <c r="E262" i="35"/>
  <c r="I261" i="35"/>
  <c r="H261" i="35"/>
  <c r="G261" i="35"/>
  <c r="F261" i="35"/>
  <c r="E261" i="35"/>
  <c r="E238" i="35" s="1"/>
  <c r="I260" i="35"/>
  <c r="H260" i="35"/>
  <c r="G260" i="35"/>
  <c r="F260" i="35"/>
  <c r="E260" i="35"/>
  <c r="E237" i="35" s="1"/>
  <c r="I259" i="35"/>
  <c r="H259" i="35"/>
  <c r="G259" i="35"/>
  <c r="F259" i="35"/>
  <c r="E259" i="35"/>
  <c r="E236" i="35" s="1"/>
  <c r="I258" i="35"/>
  <c r="H258" i="35"/>
  <c r="G258" i="35"/>
  <c r="F258" i="35"/>
  <c r="E258" i="35"/>
  <c r="E235" i="35" s="1"/>
  <c r="I257" i="35"/>
  <c r="H257" i="35"/>
  <c r="G257" i="35"/>
  <c r="E257" i="35"/>
  <c r="E234" i="35" s="1"/>
  <c r="D262" i="35"/>
  <c r="D261" i="35"/>
  <c r="D260" i="35"/>
  <c r="D259" i="35"/>
  <c r="D258" i="35"/>
  <c r="D257" i="35"/>
  <c r="F257" i="35" s="1"/>
  <c r="B297" i="35"/>
  <c r="B296" i="35"/>
  <c r="B295" i="35"/>
  <c r="B294" i="35"/>
  <c r="B293" i="35"/>
  <c r="B292" i="35"/>
  <c r="B287" i="35"/>
  <c r="B286" i="35"/>
  <c r="B285" i="35"/>
  <c r="B284" i="35"/>
  <c r="B283" i="35"/>
  <c r="B282" i="35"/>
  <c r="B276" i="35"/>
  <c r="B275" i="35"/>
  <c r="B274" i="35"/>
  <c r="B273" i="35"/>
  <c r="B272" i="35"/>
  <c r="B271" i="35"/>
  <c r="B262" i="35"/>
  <c r="B261" i="35"/>
  <c r="B260" i="35"/>
  <c r="B259" i="35"/>
  <c r="B258" i="35"/>
  <c r="B257" i="35"/>
  <c r="B252" i="35"/>
  <c r="B251" i="35"/>
  <c r="B250" i="35"/>
  <c r="B249" i="35"/>
  <c r="B248" i="35"/>
  <c r="B247" i="35"/>
  <c r="B239" i="35"/>
  <c r="B238" i="35"/>
  <c r="B237" i="35"/>
  <c r="B236" i="35"/>
  <c r="B235" i="35"/>
  <c r="B234" i="35"/>
  <c r="B225" i="35"/>
  <c r="B224" i="35"/>
  <c r="B223" i="35"/>
  <c r="B222" i="35"/>
  <c r="B221" i="35"/>
  <c r="B220" i="35"/>
  <c r="B215" i="35"/>
  <c r="B214" i="35"/>
  <c r="B213" i="35"/>
  <c r="B212" i="35"/>
  <c r="B211" i="35"/>
  <c r="B210" i="35"/>
  <c r="B204" i="35"/>
  <c r="B203" i="35"/>
  <c r="B202" i="35"/>
  <c r="B201" i="35"/>
  <c r="B200" i="35"/>
  <c r="B199" i="35"/>
  <c r="B190" i="35"/>
  <c r="B189" i="35"/>
  <c r="B188" i="35"/>
  <c r="B187" i="35"/>
  <c r="B186" i="35"/>
  <c r="B185" i="35"/>
  <c r="B180" i="35"/>
  <c r="B179" i="35"/>
  <c r="B178" i="35"/>
  <c r="B177" i="35"/>
  <c r="B176" i="35"/>
  <c r="B175" i="35"/>
  <c r="B169" i="35"/>
  <c r="B168" i="35"/>
  <c r="B167" i="35"/>
  <c r="B166" i="35"/>
  <c r="B165" i="35"/>
  <c r="B164" i="35"/>
  <c r="A293" i="35"/>
  <c r="A294" i="35" s="1"/>
  <c r="A295" i="35" s="1"/>
  <c r="A296" i="35" s="1"/>
  <c r="A297" i="35" s="1"/>
  <c r="A283" i="35"/>
  <c r="A284" i="35" s="1"/>
  <c r="A285" i="35" s="1"/>
  <c r="A286" i="35" s="1"/>
  <c r="A287" i="35" s="1"/>
  <c r="A272" i="35"/>
  <c r="A273" i="35" s="1"/>
  <c r="A274" i="35" s="1"/>
  <c r="A275" i="35" s="1"/>
  <c r="A276" i="35" s="1"/>
  <c r="A258" i="35"/>
  <c r="A259" i="35" s="1"/>
  <c r="A260" i="35" s="1"/>
  <c r="A261" i="35" s="1"/>
  <c r="A262" i="35" s="1"/>
  <c r="A248" i="35"/>
  <c r="A249" i="35" s="1"/>
  <c r="A250" i="35" s="1"/>
  <c r="A251" i="35" s="1"/>
  <c r="A252" i="35" s="1"/>
  <c r="A235" i="35"/>
  <c r="A236" i="35" s="1"/>
  <c r="A237" i="35" s="1"/>
  <c r="A238" i="35" s="1"/>
  <c r="A239" i="35" s="1"/>
  <c r="I225" i="35"/>
  <c r="H225" i="35"/>
  <c r="G225" i="35"/>
  <c r="F225" i="35"/>
  <c r="E225" i="35"/>
  <c r="I224" i="35"/>
  <c r="H224" i="35"/>
  <c r="G224" i="35"/>
  <c r="F224" i="35"/>
  <c r="E224" i="35"/>
  <c r="I223" i="35"/>
  <c r="H223" i="35"/>
  <c r="G223" i="35"/>
  <c r="F223" i="35"/>
  <c r="E223" i="35"/>
  <c r="I222" i="35"/>
  <c r="H222" i="35"/>
  <c r="G222" i="35"/>
  <c r="F222" i="35"/>
  <c r="E222" i="35"/>
  <c r="I221" i="35"/>
  <c r="H221" i="35"/>
  <c r="G221" i="35"/>
  <c r="F221" i="35"/>
  <c r="E221" i="35"/>
  <c r="A221" i="35"/>
  <c r="A222" i="35" s="1"/>
  <c r="A223" i="35" s="1"/>
  <c r="A224" i="35" s="1"/>
  <c r="A225" i="35" s="1"/>
  <c r="I220" i="35"/>
  <c r="H220" i="35"/>
  <c r="G220" i="35"/>
  <c r="F220" i="35"/>
  <c r="E220" i="35"/>
  <c r="I216" i="35"/>
  <c r="H216" i="35"/>
  <c r="G216" i="35"/>
  <c r="F216" i="35"/>
  <c r="J215" i="35"/>
  <c r="J214" i="35"/>
  <c r="J213" i="35"/>
  <c r="J212" i="35"/>
  <c r="J211" i="35"/>
  <c r="A211" i="35"/>
  <c r="A212" i="35" s="1"/>
  <c r="A213" i="35" s="1"/>
  <c r="A214" i="35" s="1"/>
  <c r="A215" i="35" s="1"/>
  <c r="J210" i="35"/>
  <c r="I205" i="35"/>
  <c r="H205" i="35"/>
  <c r="G205" i="35"/>
  <c r="F205" i="35"/>
  <c r="E205" i="35"/>
  <c r="J204" i="35"/>
  <c r="J203" i="35"/>
  <c r="J202" i="35"/>
  <c r="J201" i="35"/>
  <c r="J200" i="35"/>
  <c r="A200" i="35"/>
  <c r="A201" i="35" s="1"/>
  <c r="A202" i="35" s="1"/>
  <c r="A203" i="35" s="1"/>
  <c r="A204" i="35" s="1"/>
  <c r="J199" i="35"/>
  <c r="I170" i="35"/>
  <c r="I241" i="35" s="1"/>
  <c r="I333" i="35" s="1"/>
  <c r="H170" i="35"/>
  <c r="H241" i="35" s="1"/>
  <c r="H333" i="35" s="1"/>
  <c r="G170" i="35"/>
  <c r="G241" i="35" s="1"/>
  <c r="G333" i="35" s="1"/>
  <c r="E170" i="35"/>
  <c r="E241" i="35" s="1"/>
  <c r="E333" i="35" s="1"/>
  <c r="F170" i="35"/>
  <c r="F241" i="35" s="1"/>
  <c r="F333" i="35" s="1"/>
  <c r="J164" i="35"/>
  <c r="I190" i="35"/>
  <c r="H190" i="35"/>
  <c r="G190" i="35"/>
  <c r="F190" i="35"/>
  <c r="E190" i="35"/>
  <c r="I189" i="35"/>
  <c r="H189" i="35"/>
  <c r="G189" i="35"/>
  <c r="F189" i="35"/>
  <c r="E189" i="35"/>
  <c r="I188" i="35"/>
  <c r="H188" i="35"/>
  <c r="G188" i="35"/>
  <c r="F188" i="35"/>
  <c r="E188" i="35"/>
  <c r="I209" i="35" s="1"/>
  <c r="I187" i="35"/>
  <c r="H187" i="35"/>
  <c r="G187" i="35"/>
  <c r="F187" i="35"/>
  <c r="E187" i="35"/>
  <c r="H209" i="35" s="1"/>
  <c r="I186" i="35"/>
  <c r="H186" i="35"/>
  <c r="G186" i="35"/>
  <c r="F186" i="35"/>
  <c r="E186" i="35"/>
  <c r="G209" i="35" s="1"/>
  <c r="I185" i="35"/>
  <c r="H185" i="35"/>
  <c r="G185" i="35"/>
  <c r="F185" i="35"/>
  <c r="E185" i="35"/>
  <c r="F209" i="35" s="1"/>
  <c r="A186" i="35"/>
  <c r="A187" i="35" s="1"/>
  <c r="A188" i="35" s="1"/>
  <c r="A189" i="35" s="1"/>
  <c r="A190" i="35" s="1"/>
  <c r="A176" i="35"/>
  <c r="A177" i="35" s="1"/>
  <c r="A178" i="35" s="1"/>
  <c r="A179" i="35" s="1"/>
  <c r="A180" i="35" s="1"/>
  <c r="A165" i="35"/>
  <c r="A166" i="35" s="1"/>
  <c r="A167" i="35" s="1"/>
  <c r="A168" i="35" s="1"/>
  <c r="A169" i="35" s="1"/>
  <c r="J169" i="35"/>
  <c r="J168" i="35"/>
  <c r="J167" i="35"/>
  <c r="J166" i="35"/>
  <c r="J165" i="35"/>
  <c r="J180" i="35"/>
  <c r="J179" i="35"/>
  <c r="J178" i="35"/>
  <c r="J177" i="35"/>
  <c r="J176" i="35"/>
  <c r="J175" i="35"/>
  <c r="I181" i="35"/>
  <c r="H181" i="35"/>
  <c r="G181" i="35"/>
  <c r="F181" i="35"/>
  <c r="I174" i="35"/>
  <c r="I246" i="35" s="1"/>
  <c r="H174" i="35"/>
  <c r="H246" i="35" s="1"/>
  <c r="F174" i="35"/>
  <c r="F246" i="35" s="1"/>
  <c r="G174" i="35"/>
  <c r="G246" i="35" s="1"/>
  <c r="G448" i="35"/>
  <c r="J437" i="35"/>
  <c r="J129" i="35" l="1"/>
  <c r="J130" i="35" s="1"/>
  <c r="J131" i="35" s="1"/>
  <c r="J333" i="35"/>
  <c r="E310" i="35"/>
  <c r="J310" i="35" s="1"/>
  <c r="I247" i="35"/>
  <c r="I234" i="35" s="1"/>
  <c r="I248" i="35"/>
  <c r="I235" i="35" s="1"/>
  <c r="I249" i="35"/>
  <c r="I320" i="35" s="1"/>
  <c r="I250" i="35"/>
  <c r="I251" i="35"/>
  <c r="I252" i="35"/>
  <c r="I287" i="35"/>
  <c r="I276" i="35" s="1"/>
  <c r="I283" i="35"/>
  <c r="I272" i="35" s="1"/>
  <c r="I282" i="35"/>
  <c r="I286" i="35"/>
  <c r="I275" i="35" s="1"/>
  <c r="I285" i="35"/>
  <c r="I274" i="35" s="1"/>
  <c r="I284" i="35"/>
  <c r="I273" i="35" s="1"/>
  <c r="G283" i="35"/>
  <c r="G272" i="35" s="1"/>
  <c r="G287" i="35"/>
  <c r="G276" i="35" s="1"/>
  <c r="G247" i="35"/>
  <c r="G234" i="35" s="1"/>
  <c r="G248" i="35"/>
  <c r="G235" i="35" s="1"/>
  <c r="G249" i="35"/>
  <c r="G236" i="35" s="1"/>
  <c r="G250" i="35"/>
  <c r="G251" i="35"/>
  <c r="G322" i="35" s="1"/>
  <c r="G252" i="35"/>
  <c r="G285" i="35"/>
  <c r="G274" i="35" s="1"/>
  <c r="G286" i="35"/>
  <c r="G275" i="35" s="1"/>
  <c r="G282" i="35"/>
  <c r="G284" i="35"/>
  <c r="G273" i="35" s="1"/>
  <c r="H287" i="35"/>
  <c r="H276" i="35" s="1"/>
  <c r="H286" i="35"/>
  <c r="H275" i="35" s="1"/>
  <c r="H284" i="35"/>
  <c r="H273" i="35" s="1"/>
  <c r="H283" i="35"/>
  <c r="H272" i="35" s="1"/>
  <c r="H282" i="35"/>
  <c r="H247" i="35"/>
  <c r="H234" i="35" s="1"/>
  <c r="H248" i="35"/>
  <c r="H235" i="35" s="1"/>
  <c r="H249" i="35"/>
  <c r="H250" i="35"/>
  <c r="H251" i="35"/>
  <c r="H252" i="35"/>
  <c r="H285" i="35"/>
  <c r="H274" i="35" s="1"/>
  <c r="F283" i="35"/>
  <c r="F247" i="35"/>
  <c r="F248" i="35"/>
  <c r="F249" i="35"/>
  <c r="F250" i="35"/>
  <c r="F251" i="35"/>
  <c r="F252" i="35"/>
  <c r="F286" i="35"/>
  <c r="F282" i="35"/>
  <c r="F287" i="35"/>
  <c r="F284" i="35"/>
  <c r="F285" i="35"/>
  <c r="D324" i="35"/>
  <c r="D334" i="35"/>
  <c r="D311" i="35"/>
  <c r="H335" i="35"/>
  <c r="D335" i="35"/>
  <c r="G335" i="35"/>
  <c r="D325" i="35"/>
  <c r="D312" i="35"/>
  <c r="F335" i="35"/>
  <c r="I335" i="35"/>
  <c r="E335" i="35"/>
  <c r="E312" i="35" s="1"/>
  <c r="I336" i="35"/>
  <c r="E336" i="35"/>
  <c r="D313" i="35"/>
  <c r="G336" i="35"/>
  <c r="D326" i="35"/>
  <c r="F336" i="35"/>
  <c r="H336" i="35"/>
  <c r="D336" i="35"/>
  <c r="H281" i="35"/>
  <c r="I281" i="35"/>
  <c r="G281" i="35"/>
  <c r="H226" i="35"/>
  <c r="H228" i="35" s="1"/>
  <c r="J222" i="35"/>
  <c r="I226" i="35"/>
  <c r="I228" i="35" s="1"/>
  <c r="J241" i="35"/>
  <c r="F281" i="35"/>
  <c r="J181" i="35"/>
  <c r="J189" i="35"/>
  <c r="J262" i="35"/>
  <c r="E263" i="35"/>
  <c r="E265" i="35" s="1"/>
  <c r="J186" i="35"/>
  <c r="J259" i="35"/>
  <c r="J220" i="35"/>
  <c r="E226" i="35"/>
  <c r="E228" i="35" s="1"/>
  <c r="J205" i="35"/>
  <c r="D84" i="35" s="1"/>
  <c r="J223" i="35"/>
  <c r="F226" i="35"/>
  <c r="J224" i="35"/>
  <c r="G226" i="35"/>
  <c r="G228" i="35" s="1"/>
  <c r="J221" i="35"/>
  <c r="J225" i="35"/>
  <c r="J261" i="35"/>
  <c r="G263" i="35"/>
  <c r="J260" i="35"/>
  <c r="J258" i="35"/>
  <c r="I263" i="35"/>
  <c r="H263" i="35"/>
  <c r="F263" i="35"/>
  <c r="J257" i="35"/>
  <c r="J216" i="35"/>
  <c r="I191" i="35"/>
  <c r="I193" i="35" s="1"/>
  <c r="G191" i="35"/>
  <c r="G193" i="35" s="1"/>
  <c r="J170" i="35"/>
  <c r="D83" i="35" s="1"/>
  <c r="J188" i="35"/>
  <c r="F191" i="35"/>
  <c r="F193" i="35" s="1"/>
  <c r="H191" i="35"/>
  <c r="H193" i="35" s="1"/>
  <c r="E191" i="35"/>
  <c r="E193" i="35" s="1"/>
  <c r="J190" i="35"/>
  <c r="J187" i="35"/>
  <c r="J185" i="35"/>
  <c r="G119" i="13" l="1"/>
  <c r="G15" i="18" s="1"/>
  <c r="G120" i="13"/>
  <c r="I236" i="35"/>
  <c r="G320" i="35"/>
  <c r="J249" i="35"/>
  <c r="D85" i="35"/>
  <c r="J251" i="35"/>
  <c r="J247" i="35"/>
  <c r="F253" i="35"/>
  <c r="J282" i="35"/>
  <c r="F271" i="35"/>
  <c r="F288" i="35"/>
  <c r="F272" i="35"/>
  <c r="J272" i="35" s="1"/>
  <c r="J283" i="35"/>
  <c r="J250" i="35"/>
  <c r="H288" i="35"/>
  <c r="H300" i="35" s="1"/>
  <c r="H271" i="35"/>
  <c r="H277" i="35" s="1"/>
  <c r="I271" i="35"/>
  <c r="I277" i="35" s="1"/>
  <c r="I288" i="35"/>
  <c r="I300" i="35" s="1"/>
  <c r="I253" i="35"/>
  <c r="F276" i="35"/>
  <c r="J276" i="35" s="1"/>
  <c r="J287" i="35"/>
  <c r="F234" i="35"/>
  <c r="J234" i="35" s="1"/>
  <c r="J285" i="35"/>
  <c r="F274" i="35"/>
  <c r="J274" i="35" s="1"/>
  <c r="F275" i="35"/>
  <c r="J275" i="35" s="1"/>
  <c r="J286" i="35"/>
  <c r="H253" i="35"/>
  <c r="F273" i="35"/>
  <c r="J273" i="35" s="1"/>
  <c r="J284" i="35"/>
  <c r="J252" i="35"/>
  <c r="J248" i="35"/>
  <c r="G271" i="35"/>
  <c r="G277" i="35" s="1"/>
  <c r="G288" i="35"/>
  <c r="G300" i="35" s="1"/>
  <c r="G253" i="35"/>
  <c r="E239" i="35"/>
  <c r="I237" i="35"/>
  <c r="I321" i="35"/>
  <c r="H238" i="35"/>
  <c r="H322" i="35"/>
  <c r="F237" i="35"/>
  <c r="F321" i="35"/>
  <c r="F238" i="35"/>
  <c r="F322" i="35"/>
  <c r="G237" i="35"/>
  <c r="G321" i="35"/>
  <c r="G238" i="35"/>
  <c r="F236" i="35"/>
  <c r="F320" i="35"/>
  <c r="H237" i="35"/>
  <c r="H321" i="35"/>
  <c r="I238" i="35"/>
  <c r="I322" i="35"/>
  <c r="H236" i="35"/>
  <c r="H320" i="35"/>
  <c r="J226" i="35"/>
  <c r="F228" i="35"/>
  <c r="J228" i="35" s="1"/>
  <c r="H326" i="35"/>
  <c r="H313" i="35" s="1"/>
  <c r="G326" i="35"/>
  <c r="G313" i="35" s="1"/>
  <c r="I326" i="35"/>
  <c r="I313" i="35" s="1"/>
  <c r="F326" i="35"/>
  <c r="H325" i="35"/>
  <c r="H312" i="35" s="1"/>
  <c r="G325" i="35"/>
  <c r="G312" i="35" s="1"/>
  <c r="I325" i="35"/>
  <c r="I312" i="35" s="1"/>
  <c r="F325" i="35"/>
  <c r="J336" i="35"/>
  <c r="E313" i="35"/>
  <c r="J313" i="35" s="1"/>
  <c r="J335" i="35"/>
  <c r="F235" i="35"/>
  <c r="J193" i="35"/>
  <c r="J191" i="35"/>
  <c r="J263" i="35"/>
  <c r="G75" i="61" l="1"/>
  <c r="C17" i="38"/>
  <c r="Q17" i="38" s="1"/>
  <c r="G74" i="61"/>
  <c r="G93" i="67"/>
  <c r="G16" i="18"/>
  <c r="G54" i="67" s="1"/>
  <c r="C18" i="38"/>
  <c r="G121" i="13"/>
  <c r="G122" i="13" s="1"/>
  <c r="J253" i="35"/>
  <c r="J271" i="35"/>
  <c r="F277" i="35"/>
  <c r="J277" i="35" s="1"/>
  <c r="J288" i="35"/>
  <c r="F300" i="35"/>
  <c r="J300" i="35" s="1"/>
  <c r="J238" i="35"/>
  <c r="E331" i="35"/>
  <c r="E308" i="35" s="1"/>
  <c r="E240" i="35"/>
  <c r="J237" i="35"/>
  <c r="J236" i="35"/>
  <c r="J321" i="35"/>
  <c r="J322" i="35"/>
  <c r="F312" i="35"/>
  <c r="J312" i="35" s="1"/>
  <c r="J325" i="35"/>
  <c r="J326" i="35"/>
  <c r="F313" i="35"/>
  <c r="J235" i="35"/>
  <c r="Q34" i="38" l="1"/>
  <c r="R17" i="38"/>
  <c r="P17" i="38"/>
  <c r="O17" i="38"/>
  <c r="K17" i="38"/>
  <c r="G17" i="38"/>
  <c r="I17" i="38"/>
  <c r="H17" i="38"/>
  <c r="N17" i="38"/>
  <c r="J17" i="38"/>
  <c r="M17" i="38"/>
  <c r="L17" i="38"/>
  <c r="G94" i="67"/>
  <c r="E242" i="35"/>
  <c r="E334" i="35" s="1"/>
  <c r="E311" i="35" s="1"/>
  <c r="E332" i="35"/>
  <c r="Q115" i="38" l="1"/>
  <c r="Q107" i="38"/>
  <c r="Q99" i="38"/>
  <c r="Q83" i="38"/>
  <c r="Q52" i="38"/>
  <c r="Q105" i="38"/>
  <c r="Q81" i="38"/>
  <c r="Q108" i="38"/>
  <c r="Q84" i="38"/>
  <c r="Q118" i="38"/>
  <c r="Q110" i="38"/>
  <c r="Q102" i="38"/>
  <c r="Q90" i="38"/>
  <c r="Q82" i="38"/>
  <c r="Q117" i="38"/>
  <c r="Q101" i="38"/>
  <c r="Q85" i="38"/>
  <c r="Q112" i="38"/>
  <c r="Q88" i="38"/>
  <c r="Q111" i="38"/>
  <c r="Q103" i="38"/>
  <c r="Q87" i="38"/>
  <c r="Q79" i="38"/>
  <c r="Q113" i="38"/>
  <c r="Q89" i="38"/>
  <c r="Q116" i="38"/>
  <c r="Q100" i="38"/>
  <c r="Q53" i="38"/>
  <c r="Q114" i="38"/>
  <c r="Q106" i="38"/>
  <c r="Q98" i="38"/>
  <c r="Q86" i="38"/>
  <c r="Q78" i="38"/>
  <c r="Q109" i="38"/>
  <c r="Q97" i="38"/>
  <c r="Q77" i="38"/>
  <c r="Q104" i="38"/>
  <c r="Q80" i="38"/>
  <c r="Q75" i="38"/>
  <c r="Q76" i="38"/>
  <c r="E309" i="35"/>
  <c r="E314" i="35" s="1"/>
  <c r="E337" i="35"/>
  <c r="Q91" i="38" l="1"/>
  <c r="J337" i="35"/>
  <c r="E339" i="35"/>
  <c r="J339" i="35" s="1"/>
  <c r="E316" i="35"/>
  <c r="J314" i="35"/>
  <c r="J316" i="35" s="1"/>
  <c r="A47" i="41" l="1"/>
  <c r="A46" i="41"/>
  <c r="A56" i="41"/>
  <c r="A54" i="41"/>
  <c r="A53" i="41"/>
  <c r="A52" i="41"/>
  <c r="A49" i="41"/>
  <c r="E49" i="38" l="1"/>
  <c r="A194" i="61" l="1"/>
  <c r="A195" i="61"/>
  <c r="A196" i="61"/>
  <c r="A197" i="61"/>
  <c r="F17" i="46"/>
  <c r="F21" i="46" s="1"/>
  <c r="F20" i="46" s="1"/>
  <c r="F14" i="46"/>
  <c r="A44" i="38"/>
  <c r="F23" i="46" l="1"/>
  <c r="F41" i="46" s="1"/>
  <c r="B255" i="62"/>
  <c r="B254" i="62"/>
  <c r="B253" i="62"/>
  <c r="B252" i="62"/>
  <c r="B248" i="62"/>
  <c r="B247" i="62"/>
  <c r="B246" i="62"/>
  <c r="B244" i="62"/>
  <c r="B245" i="62"/>
  <c r="A15" i="45" l="1"/>
  <c r="C68" i="62"/>
  <c r="L14" i="46" l="1"/>
  <c r="K14" i="46"/>
  <c r="J14" i="46"/>
  <c r="I14" i="46"/>
  <c r="H14" i="46"/>
  <c r="G14" i="46"/>
  <c r="A14" i="46"/>
  <c r="A13" i="46"/>
  <c r="A23" i="45"/>
  <c r="A22" i="45"/>
  <c r="A20" i="45"/>
  <c r="A19" i="45"/>
  <c r="A18" i="45"/>
  <c r="A17" i="45"/>
  <c r="A42" i="45"/>
  <c r="A43" i="45"/>
  <c r="A44" i="45"/>
  <c r="A45" i="45"/>
  <c r="A46" i="45"/>
  <c r="A47" i="45"/>
  <c r="A86" i="41"/>
  <c r="A85" i="41"/>
  <c r="A84" i="41"/>
  <c r="A76" i="41"/>
  <c r="A75" i="41"/>
  <c r="A70" i="41"/>
  <c r="A69" i="41"/>
  <c r="A68" i="41"/>
  <c r="A67" i="41"/>
  <c r="A48" i="41"/>
  <c r="A45" i="41"/>
  <c r="A44" i="41"/>
  <c r="A40" i="41"/>
  <c r="A39" i="41"/>
  <c r="A38" i="41"/>
  <c r="A37" i="41"/>
  <c r="A36" i="41"/>
  <c r="A35" i="41"/>
  <c r="A85" i="45" l="1"/>
  <c r="A84" i="45"/>
  <c r="A83" i="45"/>
  <c r="A82" i="45"/>
  <c r="A81" i="45"/>
  <c r="A80" i="45"/>
  <c r="A79" i="45"/>
  <c r="A78" i="45"/>
  <c r="A77" i="45"/>
  <c r="A76" i="45"/>
  <c r="A74" i="45"/>
  <c r="A73" i="45"/>
  <c r="A71" i="45"/>
  <c r="A69" i="45"/>
  <c r="A68" i="45"/>
  <c r="A67" i="45"/>
  <c r="A65" i="45"/>
  <c r="A64" i="45"/>
  <c r="A63" i="45"/>
  <c r="A58" i="45"/>
  <c r="A57" i="45"/>
  <c r="A56" i="45"/>
  <c r="A55" i="45"/>
  <c r="A54" i="45"/>
  <c r="A53" i="45"/>
  <c r="A52" i="45"/>
  <c r="A51" i="45"/>
  <c r="A50" i="45"/>
  <c r="A49" i="45"/>
  <c r="A48" i="45"/>
  <c r="A41" i="45"/>
  <c r="A40" i="45"/>
  <c r="A39" i="45"/>
  <c r="A38" i="45"/>
  <c r="A37" i="45"/>
  <c r="A36" i="45"/>
  <c r="A35" i="45"/>
  <c r="A34" i="45"/>
  <c r="A33" i="45"/>
  <c r="A32" i="45"/>
  <c r="A31" i="45"/>
  <c r="A30" i="45"/>
  <c r="A29" i="45"/>
  <c r="A28" i="45"/>
  <c r="A27" i="45"/>
  <c r="A26" i="45"/>
  <c r="A25" i="45"/>
  <c r="A24" i="45"/>
  <c r="A16" i="45"/>
  <c r="A14" i="45"/>
  <c r="A13" i="45"/>
  <c r="A12" i="45"/>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5" i="46"/>
  <c r="A34" i="46"/>
  <c r="A33" i="46"/>
  <c r="A32" i="46"/>
  <c r="A31" i="46"/>
  <c r="A30" i="46"/>
  <c r="A29" i="46"/>
  <c r="A28" i="46"/>
  <c r="A27" i="46"/>
  <c r="A26" i="46"/>
  <c r="A25" i="46"/>
  <c r="A24" i="46"/>
  <c r="A23" i="46"/>
  <c r="A22" i="46"/>
  <c r="A21" i="46"/>
  <c r="A20" i="46"/>
  <c r="A19" i="46"/>
  <c r="A18" i="46"/>
  <c r="A17" i="46"/>
  <c r="A16" i="46"/>
  <c r="A11" i="46"/>
  <c r="A10" i="46"/>
  <c r="A9" i="46"/>
  <c r="B23" i="52"/>
  <c r="B22" i="52"/>
  <c r="B21" i="52"/>
  <c r="B20" i="52"/>
  <c r="B19" i="52"/>
  <c r="B18" i="52"/>
  <c r="B17" i="52"/>
  <c r="B16" i="52"/>
  <c r="B15" i="52"/>
  <c r="B14" i="52"/>
  <c r="B13" i="52"/>
  <c r="B12" i="52"/>
  <c r="B11" i="52"/>
  <c r="B10" i="52"/>
  <c r="B9" i="52"/>
  <c r="A83" i="18"/>
  <c r="A82" i="18"/>
  <c r="A81" i="18"/>
  <c r="A80" i="18"/>
  <c r="A79" i="18"/>
  <c r="A78" i="18"/>
  <c r="A77" i="18"/>
  <c r="A76" i="18"/>
  <c r="A58" i="18"/>
  <c r="A57" i="18"/>
  <c r="A56" i="18"/>
  <c r="A55" i="18"/>
  <c r="A53" i="18"/>
  <c r="A52" i="18"/>
  <c r="A51" i="18"/>
  <c r="A50" i="18"/>
  <c r="A49" i="18"/>
  <c r="A48" i="18"/>
  <c r="A47" i="18"/>
  <c r="A46" i="18"/>
  <c r="A45" i="18"/>
  <c r="A44" i="18"/>
  <c r="A43" i="18"/>
  <c r="A33" i="18"/>
  <c r="A32" i="18"/>
  <c r="A31" i="18"/>
  <c r="A30" i="18"/>
  <c r="A29" i="18"/>
  <c r="A28" i="18"/>
  <c r="A27" i="18"/>
  <c r="A25" i="18"/>
  <c r="A24" i="18"/>
  <c r="A23" i="18"/>
  <c r="A22" i="18"/>
  <c r="A21" i="18"/>
  <c r="A20" i="18"/>
  <c r="A19" i="18"/>
  <c r="A18" i="18"/>
  <c r="A17" i="18"/>
  <c r="A16" i="18"/>
  <c r="A15" i="18"/>
  <c r="A14" i="18"/>
  <c r="A12" i="18"/>
  <c r="A10" i="18"/>
  <c r="A9" i="18"/>
  <c r="A31" i="41"/>
  <c r="A30" i="41"/>
  <c r="A29" i="41"/>
  <c r="A28" i="41"/>
  <c r="A27" i="41"/>
  <c r="A26" i="41"/>
  <c r="A25" i="41"/>
  <c r="A24" i="41"/>
  <c r="A23" i="41"/>
  <c r="A22" i="41"/>
  <c r="A21" i="41"/>
  <c r="A20" i="41"/>
  <c r="A19" i="41"/>
  <c r="A18" i="41"/>
  <c r="A17" i="41"/>
  <c r="A16" i="41"/>
  <c r="A15" i="41"/>
  <c r="A14" i="41"/>
  <c r="A13" i="41"/>
  <c r="A12" i="41"/>
  <c r="A11" i="41"/>
  <c r="A10" i="41"/>
  <c r="A48" i="38"/>
  <c r="A47" i="38"/>
  <c r="A46" i="38"/>
  <c r="A45" i="38"/>
  <c r="A43" i="38"/>
  <c r="A42" i="38"/>
  <c r="A41" i="38"/>
  <c r="A40" i="38"/>
  <c r="A39" i="38"/>
  <c r="A38" i="38"/>
  <c r="A37" i="38"/>
  <c r="A36" i="38"/>
  <c r="A35" i="38"/>
  <c r="A34" i="38"/>
  <c r="A33" i="38"/>
  <c r="A32" i="38"/>
  <c r="A31" i="38"/>
  <c r="A30" i="38"/>
  <c r="A29" i="38"/>
  <c r="A28" i="38"/>
  <c r="A27" i="38"/>
  <c r="A26" i="38"/>
  <c r="A25" i="38"/>
  <c r="A24" i="38"/>
  <c r="A23" i="38"/>
  <c r="A22" i="38"/>
  <c r="A20" i="38"/>
  <c r="A19" i="38"/>
  <c r="A18" i="38"/>
  <c r="A17" i="38"/>
  <c r="A16" i="38"/>
  <c r="A193" i="61"/>
  <c r="A192" i="61"/>
  <c r="A191" i="61"/>
  <c r="A190" i="61"/>
  <c r="A189" i="61"/>
  <c r="A188" i="61"/>
  <c r="A187" i="61"/>
  <c r="A186" i="61"/>
  <c r="A185" i="61"/>
  <c r="A184" i="61"/>
  <c r="A183" i="61"/>
  <c r="A182" i="61"/>
  <c r="A181" i="61"/>
  <c r="A180" i="61"/>
  <c r="A178" i="61"/>
  <c r="A177" i="61"/>
  <c r="A176" i="61"/>
  <c r="A175" i="61"/>
  <c r="A174" i="61"/>
  <c r="A173" i="61"/>
  <c r="A172" i="61"/>
  <c r="A171" i="61"/>
  <c r="A170" i="61"/>
  <c r="A169" i="61"/>
  <c r="A168" i="61"/>
  <c r="A167" i="61"/>
  <c r="A166" i="61"/>
  <c r="A165" i="61"/>
  <c r="A164" i="61"/>
  <c r="A163" i="61"/>
  <c r="A162" i="61"/>
  <c r="A161" i="61"/>
  <c r="A160" i="61"/>
  <c r="A159" i="61"/>
  <c r="A158" i="61"/>
  <c r="A157" i="61"/>
  <c r="A156" i="61"/>
  <c r="A155" i="61"/>
  <c r="A154" i="61"/>
  <c r="A153" i="61"/>
  <c r="A152" i="61"/>
  <c r="A151" i="61"/>
  <c r="A150" i="61"/>
  <c r="A149" i="61"/>
  <c r="A148" i="61"/>
  <c r="A147" i="61"/>
  <c r="A146" i="61"/>
  <c r="A145" i="61"/>
  <c r="A144" i="61"/>
  <c r="A143" i="61"/>
  <c r="A142" i="61"/>
  <c r="A140" i="61"/>
  <c r="A109" i="61"/>
  <c r="A108" i="61"/>
  <c r="A107" i="61"/>
  <c r="A106" i="61"/>
  <c r="A105" i="61"/>
  <c r="A104" i="61"/>
  <c r="A103" i="61"/>
  <c r="A102" i="61"/>
  <c r="A98" i="61"/>
  <c r="A97" i="61"/>
  <c r="A96" i="61"/>
  <c r="A95" i="61"/>
  <c r="A94" i="61"/>
  <c r="A93" i="61"/>
  <c r="A92" i="61"/>
  <c r="A91" i="61"/>
  <c r="A90" i="61"/>
  <c r="A89" i="61"/>
  <c r="A88" i="61"/>
  <c r="A87" i="61"/>
  <c r="A86" i="61"/>
  <c r="A85" i="61"/>
  <c r="A84" i="61"/>
  <c r="A83" i="61"/>
  <c r="A82" i="61"/>
  <c r="A81" i="61"/>
  <c r="A80" i="61"/>
  <c r="A79"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61" i="62"/>
  <c r="A460" i="62"/>
  <c r="A459" i="62"/>
  <c r="A458" i="62"/>
  <c r="A457" i="62"/>
  <c r="A456" i="62"/>
  <c r="A455" i="62"/>
  <c r="A449" i="62"/>
  <c r="A448" i="62"/>
  <c r="A447" i="62"/>
  <c r="A446" i="62"/>
  <c r="A445" i="62"/>
  <c r="A444" i="62"/>
  <c r="A443" i="62"/>
  <c r="A442" i="62"/>
  <c r="A441" i="62"/>
  <c r="A440" i="62"/>
  <c r="A439" i="62"/>
  <c r="A438" i="62"/>
  <c r="A437" i="62"/>
  <c r="A436" i="62"/>
  <c r="A435" i="62"/>
  <c r="A434" i="62"/>
  <c r="A433" i="62"/>
  <c r="A432" i="62"/>
  <c r="A43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9" i="62"/>
  <c r="A298" i="62"/>
  <c r="A297"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7" i="62"/>
  <c r="A256" i="62"/>
  <c r="A255"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4" i="62"/>
  <c r="A133" i="62"/>
  <c r="A132" i="62"/>
  <c r="A129" i="62"/>
  <c r="A128" i="62"/>
  <c r="A127" i="62"/>
  <c r="A126" i="62"/>
  <c r="A125" i="62"/>
  <c r="A124" i="62"/>
  <c r="A123" i="62"/>
  <c r="A122" i="62"/>
  <c r="A121" i="62"/>
  <c r="A120" i="62"/>
  <c r="A119" i="62"/>
  <c r="A118" i="62"/>
  <c r="A117" i="62"/>
  <c r="A116" i="62"/>
  <c r="A115" i="62"/>
  <c r="A114" i="62"/>
  <c r="A113" i="62"/>
  <c r="A112" i="62"/>
  <c r="A111" i="62"/>
  <c r="A110" i="62"/>
  <c r="A109"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0" i="62"/>
  <c r="A29" i="62"/>
  <c r="A28" i="62"/>
  <c r="A27" i="62"/>
  <c r="A26" i="62"/>
  <c r="A25" i="62"/>
  <c r="A24" i="62"/>
  <c r="A23" i="62"/>
  <c r="A22" i="62"/>
  <c r="A21" i="62"/>
  <c r="A20" i="62"/>
  <c r="A19" i="62"/>
  <c r="A15" i="62"/>
  <c r="A14" i="62"/>
  <c r="A12" i="34" l="1"/>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3" i="34"/>
  <c r="A32" i="34"/>
  <c r="A27" i="34"/>
  <c r="A26" i="34"/>
  <c r="A25" i="34"/>
  <c r="A24" i="34"/>
  <c r="A23" i="34"/>
  <c r="A22" i="34"/>
  <c r="A21" i="34"/>
  <c r="A20" i="34"/>
  <c r="A19" i="34"/>
  <c r="A18" i="34"/>
  <c r="A17" i="34"/>
  <c r="A16" i="34"/>
  <c r="A15" i="34"/>
  <c r="A14" i="34"/>
  <c r="A13" i="34"/>
  <c r="A11" i="34"/>
  <c r="A10" i="34"/>
  <c r="A133" i="13" l="1"/>
  <c r="A132" i="13"/>
  <c r="A131" i="13"/>
  <c r="A130" i="13"/>
  <c r="A129" i="13"/>
  <c r="A128" i="13"/>
  <c r="A126" i="13"/>
  <c r="A125" i="13"/>
  <c r="A110" i="13"/>
  <c r="A109" i="13"/>
  <c r="A108" i="13"/>
  <c r="A107" i="13"/>
  <c r="A106" i="13"/>
  <c r="A105" i="13"/>
  <c r="A104" i="13"/>
  <c r="A45" i="13"/>
  <c r="A44" i="13"/>
  <c r="A43" i="13"/>
  <c r="A36" i="13"/>
  <c r="A35" i="13"/>
  <c r="A34" i="13"/>
  <c r="A33" i="13"/>
  <c r="A32" i="13"/>
  <c r="A31" i="13"/>
  <c r="A30" i="13"/>
  <c r="A29" i="13"/>
  <c r="A28" i="13"/>
  <c r="A27" i="13"/>
  <c r="A26" i="13"/>
  <c r="A25" i="13"/>
  <c r="A24" i="13"/>
  <c r="A23" i="13"/>
  <c r="A22" i="13"/>
  <c r="A21" i="13"/>
  <c r="A20" i="13"/>
  <c r="A19" i="13"/>
  <c r="A18" i="13"/>
  <c r="A17" i="13"/>
  <c r="A16" i="13"/>
  <c r="A14" i="13"/>
  <c r="A12" i="13"/>
  <c r="A11" i="13"/>
  <c r="E23" i="47" l="1"/>
  <c r="L36" i="13" l="1"/>
  <c r="K36" i="13"/>
  <c r="J36" i="13"/>
  <c r="I36" i="13"/>
  <c r="G130" i="13"/>
  <c r="H36" i="13"/>
  <c r="A2" i="63"/>
  <c r="A4" i="63"/>
  <c r="H39" i="13" l="1"/>
  <c r="H169" i="61"/>
  <c r="H170" i="61" s="1"/>
  <c r="H12" i="13"/>
  <c r="I169" i="61"/>
  <c r="I170" i="61" s="1"/>
  <c r="I171" i="61" s="1"/>
  <c r="I12" i="13"/>
  <c r="K169" i="61"/>
  <c r="K170" i="61" s="1"/>
  <c r="K171" i="61" s="1"/>
  <c r="K12" i="13"/>
  <c r="J169" i="61"/>
  <c r="J170" i="61" s="1"/>
  <c r="J171" i="61" s="1"/>
  <c r="J12" i="13"/>
  <c r="L39" i="13"/>
  <c r="L169" i="61"/>
  <c r="L170" i="61" s="1"/>
  <c r="L171" i="61" s="1"/>
  <c r="L12" i="13"/>
  <c r="I39" i="13"/>
  <c r="K39" i="13"/>
  <c r="J39" i="13"/>
  <c r="H88" i="13"/>
  <c r="H114" i="13" s="1"/>
  <c r="H38" i="13"/>
  <c r="I88" i="13"/>
  <c r="I114" i="13" s="1"/>
  <c r="I38" i="13"/>
  <c r="K88" i="13"/>
  <c r="K114" i="13" s="1"/>
  <c r="K38" i="13"/>
  <c r="J88" i="13"/>
  <c r="J114" i="13" s="1"/>
  <c r="J38" i="13"/>
  <c r="L88" i="13"/>
  <c r="L114" i="13" s="1"/>
  <c r="L38" i="13"/>
  <c r="H20" i="67"/>
  <c r="H127" i="13"/>
  <c r="K20" i="67"/>
  <c r="K9" i="67" s="1"/>
  <c r="K127" i="13"/>
  <c r="L20" i="67"/>
  <c r="L127" i="13"/>
  <c r="I20" i="67"/>
  <c r="I9" i="67" s="1"/>
  <c r="I127" i="13"/>
  <c r="J20" i="67"/>
  <c r="J127" i="13"/>
  <c r="H54" i="13"/>
  <c r="H51" i="13"/>
  <c r="I107" i="62" s="1"/>
  <c r="H53" i="13"/>
  <c r="H52" i="13"/>
  <c r="K54" i="13"/>
  <c r="K51" i="13"/>
  <c r="L107" i="62" s="1"/>
  <c r="K53" i="13"/>
  <c r="K52" i="13"/>
  <c r="L51" i="13"/>
  <c r="M107" i="62" s="1"/>
  <c r="L54" i="13"/>
  <c r="L52" i="13"/>
  <c r="L53" i="13"/>
  <c r="I51" i="13"/>
  <c r="J107" i="62" s="1"/>
  <c r="I52" i="13"/>
  <c r="I54" i="13"/>
  <c r="I53" i="13"/>
  <c r="J51" i="13"/>
  <c r="K107" i="62" s="1"/>
  <c r="J52" i="13"/>
  <c r="J53" i="13"/>
  <c r="J54" i="13"/>
  <c r="H68" i="13"/>
  <c r="I84" i="13" s="1"/>
  <c r="I116" i="13" s="1"/>
  <c r="I24" i="18" s="1"/>
  <c r="H78" i="61"/>
  <c r="K68" i="13"/>
  <c r="L84" i="13" s="1"/>
  <c r="L116" i="13" s="1"/>
  <c r="L24" i="18" s="1"/>
  <c r="K78" i="61"/>
  <c r="L68" i="13"/>
  <c r="L78" i="61"/>
  <c r="I68" i="13"/>
  <c r="J84" i="13" s="1"/>
  <c r="J116" i="13" s="1"/>
  <c r="J24" i="18" s="1"/>
  <c r="I78" i="61"/>
  <c r="J68" i="13"/>
  <c r="K84" i="13" s="1"/>
  <c r="K116" i="13" s="1"/>
  <c r="K24" i="18" s="1"/>
  <c r="J78" i="61"/>
  <c r="L111" i="13"/>
  <c r="J111" i="13"/>
  <c r="H111" i="13"/>
  <c r="K111" i="13"/>
  <c r="I111" i="13"/>
  <c r="G128" i="13"/>
  <c r="G132" i="13"/>
  <c r="G126" i="13"/>
  <c r="G18" i="18" s="1"/>
  <c r="G131" i="13"/>
  <c r="G125" i="13"/>
  <c r="J172" i="61" l="1"/>
  <c r="J109" i="67"/>
  <c r="J9" i="67"/>
  <c r="L109" i="67"/>
  <c r="L9" i="67"/>
  <c r="H23" i="67"/>
  <c r="H9" i="67"/>
  <c r="K172" i="61"/>
  <c r="L172" i="61"/>
  <c r="L121" i="67"/>
  <c r="H109" i="67"/>
  <c r="H121" i="67"/>
  <c r="I23" i="67"/>
  <c r="J121" i="67"/>
  <c r="C20" i="67"/>
  <c r="H95" i="67"/>
  <c r="K23" i="67"/>
  <c r="J23" i="67"/>
  <c r="L23" i="67"/>
  <c r="I109" i="67"/>
  <c r="I121" i="67"/>
  <c r="K109" i="67"/>
  <c r="C127" i="13"/>
  <c r="K121" i="67"/>
  <c r="J95" i="67"/>
  <c r="I95" i="67"/>
  <c r="K95" i="67"/>
  <c r="L95" i="67"/>
  <c r="M457" i="62"/>
  <c r="M25" i="62" s="1"/>
  <c r="L457" i="62"/>
  <c r="L25" i="62" s="1"/>
  <c r="K457" i="62"/>
  <c r="K25" i="62" s="1"/>
  <c r="H457" i="62"/>
  <c r="H25" i="62" s="1"/>
  <c r="G457" i="62"/>
  <c r="G25" i="62" s="1"/>
  <c r="C121" i="67" l="1"/>
  <c r="C109" i="67"/>
  <c r="C95" i="67"/>
  <c r="L56" i="13"/>
  <c r="K56" i="13"/>
  <c r="J56" i="13"/>
  <c r="H56" i="13"/>
  <c r="I56" i="13"/>
  <c r="L78" i="18"/>
  <c r="K78" i="18"/>
  <c r="J78" i="18"/>
  <c r="I78" i="18"/>
  <c r="H78" i="18"/>
  <c r="G78" i="18"/>
  <c r="F78" i="18"/>
  <c r="J457" i="62" l="1"/>
  <c r="J25" i="62" s="1"/>
  <c r="I457" i="62"/>
  <c r="I25" i="62" s="1"/>
  <c r="L30" i="18" l="1"/>
  <c r="K30" i="18"/>
  <c r="J30" i="18"/>
  <c r="I30" i="18"/>
  <c r="H30" i="18"/>
  <c r="G30" i="18"/>
  <c r="F30" i="18"/>
  <c r="C142" i="13"/>
  <c r="C141" i="13"/>
  <c r="C140" i="13"/>
  <c r="C139" i="13"/>
  <c r="C138" i="13"/>
  <c r="C137" i="13"/>
  <c r="C135" i="13"/>
  <c r="C133" i="13"/>
  <c r="F177" i="61"/>
  <c r="F180" i="61" s="1"/>
  <c r="I102" i="67" l="1"/>
  <c r="J102" i="67"/>
  <c r="K102" i="67"/>
  <c r="G102" i="67"/>
  <c r="H102" i="67"/>
  <c r="L102" i="67"/>
  <c r="D30" i="18"/>
  <c r="C30" i="18"/>
  <c r="C58" i="18"/>
  <c r="C102" i="67" l="1"/>
  <c r="F193" i="61"/>
  <c r="L193" i="61"/>
  <c r="L89" i="61" s="1"/>
  <c r="K193" i="61"/>
  <c r="K89" i="61" s="1"/>
  <c r="J193" i="61"/>
  <c r="J89" i="61" s="1"/>
  <c r="I193" i="61"/>
  <c r="I89" i="61" s="1"/>
  <c r="H193" i="61"/>
  <c r="G193" i="61"/>
  <c r="G89" i="61" l="1"/>
  <c r="C43" i="38"/>
  <c r="C193" i="61"/>
  <c r="H89" i="61"/>
  <c r="A4" i="66"/>
  <c r="G34" i="46" l="1"/>
  <c r="G32" i="46"/>
  <c r="G30" i="46"/>
  <c r="G29" i="46"/>
  <c r="H29" i="46" s="1"/>
  <c r="I29" i="46" s="1"/>
  <c r="J29" i="46" s="1"/>
  <c r="K29" i="46" s="1"/>
  <c r="L29" i="46" s="1"/>
  <c r="E29" i="46" s="1"/>
  <c r="E28" i="46" l="1"/>
  <c r="E7" i="39"/>
  <c r="I12" i="48"/>
  <c r="G10" i="13"/>
  <c r="F10" i="45" s="1"/>
  <c r="G11" i="13" l="1"/>
  <c r="R127" i="38"/>
  <c r="P127" i="38"/>
  <c r="O127" i="38"/>
  <c r="N127" i="38"/>
  <c r="M127" i="38"/>
  <c r="L127" i="38"/>
  <c r="K127" i="38"/>
  <c r="J127" i="38"/>
  <c r="I127" i="38"/>
  <c r="H127" i="38"/>
  <c r="G127" i="38"/>
  <c r="F127" i="38"/>
  <c r="H10" i="13" l="1"/>
  <c r="H11" i="13" s="1"/>
  <c r="G15" i="41"/>
  <c r="I10" i="13" l="1"/>
  <c r="I11" i="13" s="1"/>
  <c r="E14" i="41"/>
  <c r="F15" i="41"/>
  <c r="AJ55" i="47" a="1"/>
  <c r="AJ55" i="47" s="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1" i="47" a="1"/>
  <c r="AJ21"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7" i="47" a="1"/>
  <c r="AJ7" i="47" s="1"/>
  <c r="AJ6" i="47" a="1"/>
  <c r="AJ6" i="47" s="1"/>
  <c r="AJ5" i="47" a="1"/>
  <c r="AJ5" i="47" s="1"/>
  <c r="AJ4" i="47" a="1"/>
  <c r="AJ4" i="47" s="1"/>
  <c r="AJ3" i="47" a="1"/>
  <c r="AJ3" i="47" s="1"/>
  <c r="AJ2" i="47" a="1"/>
  <c r="AJ2" i="47" s="1"/>
  <c r="AJ1" i="47" a="1"/>
  <c r="AJ1" i="47" s="1"/>
  <c r="AI55" i="47" a="1"/>
  <c r="AI55"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1" i="47" a="1"/>
  <c r="AI21"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7" i="47" a="1"/>
  <c r="AI7" i="47" s="1"/>
  <c r="AI6" i="47" a="1"/>
  <c r="AI6" i="47" s="1"/>
  <c r="AI5" i="47" a="1"/>
  <c r="AI5" i="47" s="1"/>
  <c r="AI4" i="47" a="1"/>
  <c r="AI4" i="47" s="1"/>
  <c r="AI3" i="47" a="1"/>
  <c r="AI3" i="47" s="1"/>
  <c r="AI2" i="47" a="1"/>
  <c r="AI2" i="47" s="1"/>
  <c r="AI1" i="47" a="1"/>
  <c r="AI1" i="47" s="1"/>
  <c r="AH55" i="47" a="1"/>
  <c r="AH55"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1" i="47" a="1"/>
  <c r="AH21"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7" i="47" a="1"/>
  <c r="AH7" i="47" s="1"/>
  <c r="AH6" i="47" a="1"/>
  <c r="AH6" i="47" s="1"/>
  <c r="AH5" i="47" a="1"/>
  <c r="AH5" i="47" s="1"/>
  <c r="AH4" i="47" a="1"/>
  <c r="AH4" i="47" s="1"/>
  <c r="AH3" i="47" a="1"/>
  <c r="AH3" i="47" s="1"/>
  <c r="AH2" i="47" a="1"/>
  <c r="AH2" i="47" s="1"/>
  <c r="AH1" i="47" a="1"/>
  <c r="AH1" i="47" s="1"/>
  <c r="AG55" i="47" a="1"/>
  <c r="AG55"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1" i="47" a="1"/>
  <c r="AG21"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7" i="47" a="1"/>
  <c r="AG7" i="47" s="1"/>
  <c r="AG6" i="47" a="1"/>
  <c r="AG6" i="47" s="1"/>
  <c r="AG5" i="47" a="1"/>
  <c r="AG5" i="47" s="1"/>
  <c r="AG4" i="47" a="1"/>
  <c r="AG4" i="47" s="1"/>
  <c r="AG3" i="47" a="1"/>
  <c r="AG3" i="47" s="1"/>
  <c r="AG2" i="47" a="1"/>
  <c r="AG2" i="47" s="1"/>
  <c r="AG1" i="47" a="1"/>
  <c r="AG1" i="47" s="1"/>
  <c r="AF55" i="47" a="1"/>
  <c r="AF55"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1" i="47" a="1"/>
  <c r="AF21"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7" i="47" a="1"/>
  <c r="AF7" i="47" s="1"/>
  <c r="AF6" i="47" a="1"/>
  <c r="AF6" i="47" s="1"/>
  <c r="AF5" i="47" a="1"/>
  <c r="AF5" i="47" s="1"/>
  <c r="AF4" i="47" a="1"/>
  <c r="AF4" i="47" s="1"/>
  <c r="AF3" i="47" a="1"/>
  <c r="AF3" i="47" s="1"/>
  <c r="AF2" i="47" a="1"/>
  <c r="AF2" i="47" s="1"/>
  <c r="AF1" i="47" a="1"/>
  <c r="AF1" i="47" s="1"/>
  <c r="AE55" i="47" a="1"/>
  <c r="AE55"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1" i="47" a="1"/>
  <c r="AE21"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7" i="47" a="1"/>
  <c r="AE7" i="47" s="1"/>
  <c r="AE6" i="47" a="1"/>
  <c r="AE6" i="47" s="1"/>
  <c r="AE5" i="47" a="1"/>
  <c r="AE5" i="47" s="1"/>
  <c r="AE4" i="47" a="1"/>
  <c r="AE4" i="47" s="1"/>
  <c r="AE3" i="47" a="1"/>
  <c r="AE3" i="47" s="1"/>
  <c r="AE2" i="47" a="1"/>
  <c r="AE2" i="47" s="1"/>
  <c r="AE1" i="47" a="1"/>
  <c r="AE1" i="47" s="1"/>
  <c r="AD55" i="47" a="1"/>
  <c r="AD55"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1" i="47" a="1"/>
  <c r="AD21"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7" i="47" a="1"/>
  <c r="AD7" i="47" s="1"/>
  <c r="AD6" i="47" a="1"/>
  <c r="AD6" i="47" s="1"/>
  <c r="AD5" i="47" a="1"/>
  <c r="AD5" i="47" s="1"/>
  <c r="AD4" i="47" a="1"/>
  <c r="AD4" i="47" s="1"/>
  <c r="AD3" i="47" a="1"/>
  <c r="AD3" i="47" s="1"/>
  <c r="AD2" i="47" a="1"/>
  <c r="AD2" i="47" s="1"/>
  <c r="AD1" i="47" a="1"/>
  <c r="AD1" i="47" s="1"/>
  <c r="AC55" i="47" a="1"/>
  <c r="AC55"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1" i="47" a="1"/>
  <c r="AC21"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7" i="47" a="1"/>
  <c r="AC7" i="47" s="1"/>
  <c r="AC6" i="47" a="1"/>
  <c r="AC6" i="47" s="1"/>
  <c r="AC5" i="47" a="1"/>
  <c r="AC5" i="47" s="1"/>
  <c r="AC4" i="47" a="1"/>
  <c r="AC4" i="47" s="1"/>
  <c r="AC3" i="47" a="1"/>
  <c r="AC3" i="47" s="1"/>
  <c r="AC2" i="47" a="1"/>
  <c r="AC2" i="47" s="1"/>
  <c r="AC1" i="47" a="1"/>
  <c r="AC1" i="47" s="1"/>
  <c r="AB55" i="47" a="1"/>
  <c r="AB55" i="47" s="1"/>
  <c r="AA55" i="47" a="1"/>
  <c r="AA55" i="47" s="1"/>
  <c r="Z55" i="47" a="1"/>
  <c r="Z55" i="47" s="1"/>
  <c r="Y55" i="47" a="1"/>
  <c r="Y55"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1" i="47" a="1"/>
  <c r="AB21" i="47" s="1"/>
  <c r="AA21" i="47" a="1"/>
  <c r="AA21" i="47" s="1"/>
  <c r="Z21" i="47" a="1"/>
  <c r="Z21" i="47" s="1"/>
  <c r="Y21" i="47" a="1"/>
  <c r="Y21"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J10" i="13" l="1"/>
  <c r="J11" i="13" s="1"/>
  <c r="A3" i="36"/>
  <c r="A5" i="36"/>
  <c r="G47" i="62"/>
  <c r="F52" i="61"/>
  <c r="F69" i="34"/>
  <c r="B85" i="46"/>
  <c r="B86" i="46"/>
  <c r="B87" i="46"/>
  <c r="B88" i="46"/>
  <c r="B82" i="46"/>
  <c r="F82" i="46"/>
  <c r="B83" i="46"/>
  <c r="B84" i="46"/>
  <c r="E81" i="46"/>
  <c r="K10" i="13" l="1"/>
  <c r="K11" i="13" s="1"/>
  <c r="A436" i="35"/>
  <c r="A437" i="35"/>
  <c r="A438" i="35"/>
  <c r="A439" i="35"/>
  <c r="A440" i="35"/>
  <c r="A441" i="35"/>
  <c r="A442" i="35"/>
  <c r="A443" i="35"/>
  <c r="A444" i="35"/>
  <c r="A445" i="35"/>
  <c r="A446" i="35"/>
  <c r="A447" i="35"/>
  <c r="A448" i="35"/>
  <c r="A449" i="35"/>
  <c r="A450" i="35"/>
  <c r="A451" i="35"/>
  <c r="A435" i="35"/>
  <c r="A2" i="66"/>
  <c r="L10" i="13" l="1"/>
  <c r="L11" i="13" s="1"/>
  <c r="C6" i="63"/>
  <c r="F79" i="46" s="1"/>
  <c r="D6" i="63"/>
  <c r="G79" i="46" s="1"/>
  <c r="E35" i="46" l="1"/>
  <c r="H30" i="46" l="1"/>
  <c r="H32" i="46"/>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I32" i="46" l="1"/>
  <c r="I30" i="46"/>
  <c r="J30" i="46" l="1"/>
  <c r="J32" i="46"/>
  <c r="G67" i="61"/>
  <c r="H67" i="61"/>
  <c r="I67" i="61"/>
  <c r="J67" i="61"/>
  <c r="K67" i="61"/>
  <c r="L67" i="61"/>
  <c r="G96" i="61"/>
  <c r="H96" i="61"/>
  <c r="I96" i="61"/>
  <c r="J96" i="61"/>
  <c r="K96" i="61"/>
  <c r="L96" i="61"/>
  <c r="H103" i="61"/>
  <c r="I103" i="61"/>
  <c r="J103" i="61"/>
  <c r="K103" i="61"/>
  <c r="L103" i="61"/>
  <c r="F105" i="61"/>
  <c r="F106" i="61" s="1"/>
  <c r="F143" i="61"/>
  <c r="G148" i="61"/>
  <c r="H148" i="61"/>
  <c r="I148" i="61"/>
  <c r="J148" i="61"/>
  <c r="K148" i="61"/>
  <c r="L148" i="61"/>
  <c r="G149" i="61"/>
  <c r="H149" i="61"/>
  <c r="I149" i="61"/>
  <c r="J149" i="61"/>
  <c r="K149" i="61"/>
  <c r="L149" i="61"/>
  <c r="F151" i="61"/>
  <c r="H8" i="62"/>
  <c r="C58" i="62"/>
  <c r="B243" i="62"/>
  <c r="B251" i="62"/>
  <c r="B258" i="62"/>
  <c r="B261" i="62"/>
  <c r="B262" i="62"/>
  <c r="B263" i="62"/>
  <c r="B264" i="62"/>
  <c r="B265" i="62"/>
  <c r="B266" i="62"/>
  <c r="B267" i="62"/>
  <c r="B268" i="62"/>
  <c r="B269" i="62"/>
  <c r="B270" i="62"/>
  <c r="B271" i="62"/>
  <c r="B273" i="62"/>
  <c r="B274" i="62"/>
  <c r="B275" i="62"/>
  <c r="B276" i="62"/>
  <c r="B277" i="62"/>
  <c r="B278" i="62"/>
  <c r="B279" i="62"/>
  <c r="B280" i="62"/>
  <c r="B281" i="62"/>
  <c r="B282" i="62"/>
  <c r="B283" i="62"/>
  <c r="B285" i="62"/>
  <c r="B286" i="62"/>
  <c r="B287" i="62"/>
  <c r="B288" i="62"/>
  <c r="B289" i="62"/>
  <c r="B290" i="62"/>
  <c r="B291" i="62"/>
  <c r="B292" i="62"/>
  <c r="B297" i="62"/>
  <c r="B299" i="62"/>
  <c r="B300" i="62"/>
  <c r="B301" i="62"/>
  <c r="C302" i="62"/>
  <c r="B303" i="62"/>
  <c r="B304" i="62"/>
  <c r="B305" i="62"/>
  <c r="B306" i="62"/>
  <c r="B307" i="62"/>
  <c r="C308" i="62"/>
  <c r="B309" i="62"/>
  <c r="B310" i="62"/>
  <c r="B311" i="62"/>
  <c r="B312" i="62"/>
  <c r="B313" i="62"/>
  <c r="C314" i="62"/>
  <c r="B315" i="62"/>
  <c r="B316" i="62"/>
  <c r="B317" i="62"/>
  <c r="B318" i="62"/>
  <c r="B319" i="62"/>
  <c r="C320" i="62"/>
  <c r="B321" i="62"/>
  <c r="B322" i="62"/>
  <c r="B323" i="62"/>
  <c r="B324" i="62"/>
  <c r="B325" i="62"/>
  <c r="C326" i="62"/>
  <c r="B327" i="62"/>
  <c r="B328" i="62"/>
  <c r="B329" i="62"/>
  <c r="B330" i="62"/>
  <c r="B331" i="62"/>
  <c r="C332" i="62"/>
  <c r="B333" i="62"/>
  <c r="B334" i="62"/>
  <c r="B335" i="62"/>
  <c r="B336" i="62"/>
  <c r="B337" i="62"/>
  <c r="C338" i="62"/>
  <c r="B339" i="62"/>
  <c r="B340" i="62"/>
  <c r="B341" i="62"/>
  <c r="B342" i="62"/>
  <c r="B343" i="62"/>
  <c r="C344" i="62"/>
  <c r="B345" i="62"/>
  <c r="B346" i="62"/>
  <c r="B347" i="62"/>
  <c r="B348" i="62"/>
  <c r="B349" i="62"/>
  <c r="B350" i="62"/>
  <c r="C351" i="62"/>
  <c r="B352" i="62"/>
  <c r="B353" i="62"/>
  <c r="B354" i="62"/>
  <c r="B355" i="62"/>
  <c r="B356" i="62"/>
  <c r="C357" i="62"/>
  <c r="B358" i="62"/>
  <c r="B359" i="62"/>
  <c r="B360" i="62"/>
  <c r="B361" i="62"/>
  <c r="B362" i="62"/>
  <c r="C363" i="62"/>
  <c r="B364" i="62"/>
  <c r="B365" i="62"/>
  <c r="B366" i="62"/>
  <c r="B367" i="62"/>
  <c r="B368" i="62"/>
  <c r="C369" i="62"/>
  <c r="B370" i="62"/>
  <c r="B371" i="62"/>
  <c r="B372" i="62"/>
  <c r="B373" i="62"/>
  <c r="B374" i="62"/>
  <c r="C375" i="62"/>
  <c r="B376" i="62"/>
  <c r="B377" i="62"/>
  <c r="B378" i="62"/>
  <c r="B379" i="62"/>
  <c r="B380" i="62"/>
  <c r="C381" i="62"/>
  <c r="B382" i="62"/>
  <c r="B383" i="62"/>
  <c r="B384" i="62"/>
  <c r="B385" i="62"/>
  <c r="B386" i="62"/>
  <c r="C387" i="62"/>
  <c r="B388" i="62"/>
  <c r="B389" i="62"/>
  <c r="B390" i="62"/>
  <c r="B391" i="62"/>
  <c r="B392" i="62"/>
  <c r="H432" i="62"/>
  <c r="I432" i="62"/>
  <c r="J432" i="62"/>
  <c r="K432" i="62"/>
  <c r="L432" i="62"/>
  <c r="M432" i="62"/>
  <c r="G436" i="62"/>
  <c r="H436" i="62"/>
  <c r="I436" i="62"/>
  <c r="J436" i="62"/>
  <c r="K436" i="62"/>
  <c r="L436" i="62"/>
  <c r="M436" i="62"/>
  <c r="G440" i="62"/>
  <c r="H440" i="62"/>
  <c r="I440" i="62"/>
  <c r="J440" i="62" s="1"/>
  <c r="G444" i="62"/>
  <c r="H444" i="62"/>
  <c r="I444" i="62"/>
  <c r="J444" i="62"/>
  <c r="K444" i="62"/>
  <c r="L444" i="62"/>
  <c r="M444" i="62"/>
  <c r="G448" i="62"/>
  <c r="H448" i="62"/>
  <c r="I448" i="62"/>
  <c r="J448" i="62"/>
  <c r="K448" i="62"/>
  <c r="L448" i="62"/>
  <c r="M448" i="62"/>
  <c r="A5" i="62"/>
  <c r="A2" i="62"/>
  <c r="L31" i="61"/>
  <c r="K31" i="61"/>
  <c r="J31" i="61"/>
  <c r="J39" i="61" s="1"/>
  <c r="I31" i="61"/>
  <c r="H31" i="61"/>
  <c r="G31" i="61"/>
  <c r="H9" i="61"/>
  <c r="I9" i="61" s="1"/>
  <c r="G6" i="61"/>
  <c r="G10" i="61" s="1"/>
  <c r="F10" i="61" s="1"/>
  <c r="A5" i="61"/>
  <c r="A2" i="61"/>
  <c r="H450" i="62" l="1"/>
  <c r="H452" i="62" s="1"/>
  <c r="I450" i="62"/>
  <c r="I452" i="62" s="1"/>
  <c r="G450" i="62"/>
  <c r="G452" i="62" s="1"/>
  <c r="H49" i="62"/>
  <c r="H7" i="62"/>
  <c r="G49" i="62"/>
  <c r="G7" i="62"/>
  <c r="K440" i="62"/>
  <c r="K455" i="62" s="1"/>
  <c r="J450" i="62"/>
  <c r="J452" i="62" s="1"/>
  <c r="K30" i="46"/>
  <c r="K32" i="46"/>
  <c r="C28" i="63"/>
  <c r="G143" i="61"/>
  <c r="H143" i="61"/>
  <c r="J37" i="61"/>
  <c r="G7" i="61"/>
  <c r="J41" i="61"/>
  <c r="G455" i="62"/>
  <c r="G34" i="61"/>
  <c r="I143" i="61"/>
  <c r="I455" i="62"/>
  <c r="H455" i="62"/>
  <c r="J455" i="62"/>
  <c r="K143" i="61"/>
  <c r="J143" i="61"/>
  <c r="G11" i="61"/>
  <c r="F11" i="61" s="1"/>
  <c r="F195" i="61" s="1"/>
  <c r="F197" i="61" s="1"/>
  <c r="F199" i="61" s="1"/>
  <c r="F46" i="18" s="1"/>
  <c r="H34" i="61"/>
  <c r="G37" i="61"/>
  <c r="K37" i="61"/>
  <c r="G39" i="61"/>
  <c r="K39" i="61"/>
  <c r="G41" i="61"/>
  <c r="K41" i="61"/>
  <c r="H37" i="61"/>
  <c r="L37" i="61"/>
  <c r="H39" i="61"/>
  <c r="L39" i="61"/>
  <c r="H41" i="61"/>
  <c r="L41" i="61"/>
  <c r="J9" i="61"/>
  <c r="I37" i="61"/>
  <c r="I39" i="61"/>
  <c r="I41" i="61"/>
  <c r="L440" i="62" l="1"/>
  <c r="K450" i="62"/>
  <c r="K452" i="62" s="1"/>
  <c r="L30" i="46"/>
  <c r="E30" i="46" s="1"/>
  <c r="L32" i="46"/>
  <c r="E32" i="46" s="1"/>
  <c r="E31" i="46"/>
  <c r="C16" i="63"/>
  <c r="L143" i="61"/>
  <c r="H10" i="61"/>
  <c r="K9" i="61"/>
  <c r="M440" i="62" l="1"/>
  <c r="L450" i="62"/>
  <c r="L452" i="62" s="1"/>
  <c r="L455" i="62"/>
  <c r="F47" i="61"/>
  <c r="L9" i="61"/>
  <c r="H11" i="61"/>
  <c r="F49" i="47"/>
  <c r="F50" i="47" s="1"/>
  <c r="L49" i="46"/>
  <c r="K49" i="46"/>
  <c r="J49" i="46"/>
  <c r="I49" i="46"/>
  <c r="H49" i="46"/>
  <c r="G49" i="46"/>
  <c r="L17" i="46"/>
  <c r="K17" i="46"/>
  <c r="J17" i="46"/>
  <c r="I17" i="46"/>
  <c r="H17" i="46"/>
  <c r="G17" i="46"/>
  <c r="L29" i="18"/>
  <c r="K29" i="18"/>
  <c r="J29" i="18"/>
  <c r="I29" i="18"/>
  <c r="H29" i="18"/>
  <c r="G29" i="18"/>
  <c r="F29" i="18"/>
  <c r="L20" i="18"/>
  <c r="K20" i="18"/>
  <c r="J20" i="18"/>
  <c r="I20" i="18"/>
  <c r="H20" i="18"/>
  <c r="G20" i="18"/>
  <c r="F20" i="18"/>
  <c r="F58" i="67" s="1"/>
  <c r="H9" i="13"/>
  <c r="E6" i="63" s="1"/>
  <c r="H79" i="46" s="1"/>
  <c r="M450" i="62" l="1"/>
  <c r="M452" i="62" s="1"/>
  <c r="M455" i="62"/>
  <c r="C455" i="62" s="1"/>
  <c r="D29" i="18"/>
  <c r="D20" i="18"/>
  <c r="I8" i="62"/>
  <c r="I9" i="13"/>
  <c r="F6" i="63" s="1"/>
  <c r="I79" i="46" s="1"/>
  <c r="I10" i="61"/>
  <c r="C29" i="18"/>
  <c r="C20" i="18"/>
  <c r="I49" i="62" l="1"/>
  <c r="I7" i="62"/>
  <c r="J8" i="62"/>
  <c r="J9" i="13"/>
  <c r="G6" i="63" s="1"/>
  <c r="J79" i="46" s="1"/>
  <c r="I11" i="61"/>
  <c r="G33" i="34"/>
  <c r="J49" i="62" l="1"/>
  <c r="J7" i="62"/>
  <c r="K9" i="13"/>
  <c r="H6" i="63" s="1"/>
  <c r="K79" i="46" s="1"/>
  <c r="K8" i="62"/>
  <c r="J10" i="61"/>
  <c r="F43" i="34"/>
  <c r="C24" i="63" s="1"/>
  <c r="K49" i="62" l="1"/>
  <c r="K7" i="62"/>
  <c r="L8" i="62"/>
  <c r="L49" i="62" s="1"/>
  <c r="L9" i="13"/>
  <c r="I6" i="63" s="1"/>
  <c r="L79" i="46" s="1"/>
  <c r="F64" i="34"/>
  <c r="J11" i="61"/>
  <c r="M8" i="62" l="1"/>
  <c r="M49" i="62" s="1"/>
  <c r="K10" i="61"/>
  <c r="A5" i="57"/>
  <c r="A2" i="57"/>
  <c r="N39" i="55"/>
  <c r="M39" i="55"/>
  <c r="L39" i="55"/>
  <c r="K39" i="55"/>
  <c r="J39" i="55"/>
  <c r="I39" i="55"/>
  <c r="N26" i="55"/>
  <c r="M26" i="55"/>
  <c r="L26" i="55"/>
  <c r="K26" i="55"/>
  <c r="J26" i="55"/>
  <c r="I26" i="55"/>
  <c r="K11" i="55"/>
  <c r="L11" i="55" s="1"/>
  <c r="M11" i="55" s="1"/>
  <c r="N11" i="55" s="1"/>
  <c r="K11" i="61" l="1"/>
  <c r="L10" i="61" l="1"/>
  <c r="L11" i="61" l="1"/>
  <c r="D38" i="45"/>
  <c r="D35" i="45"/>
  <c r="D34" i="45"/>
  <c r="D32" i="45"/>
  <c r="D31" i="45"/>
  <c r="D29" i="45"/>
  <c r="D28" i="45"/>
  <c r="D26" i="45"/>
  <c r="D25" i="45"/>
  <c r="A2" i="39" l="1"/>
  <c r="L33" i="61" l="1"/>
  <c r="L34" i="61" s="1"/>
  <c r="K33" i="61"/>
  <c r="K34" i="61" s="1"/>
  <c r="J33" i="61"/>
  <c r="J34" i="61" s="1"/>
  <c r="I33" i="61"/>
  <c r="I34" i="61" s="1"/>
  <c r="A2" i="54" l="1"/>
  <c r="A5" i="55"/>
  <c r="G16" i="41" l="1"/>
  <c r="A5" i="54" l="1"/>
  <c r="L45" i="47" l="1"/>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9" i="47"/>
  <c r="K39" i="47"/>
  <c r="J39" i="47"/>
  <c r="I39" i="47"/>
  <c r="H39" i="47"/>
  <c r="G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9" i="47"/>
  <c r="K29" i="47"/>
  <c r="J29" i="47"/>
  <c r="I29" i="47"/>
  <c r="H29" i="47"/>
  <c r="G29" i="47"/>
  <c r="L28" i="47"/>
  <c r="K28" i="47"/>
  <c r="J28" i="47"/>
  <c r="I28" i="47"/>
  <c r="H28" i="47"/>
  <c r="G28" i="47"/>
  <c r="L27" i="47"/>
  <c r="K27" i="47"/>
  <c r="J27" i="47"/>
  <c r="I27" i="47"/>
  <c r="H27" i="47"/>
  <c r="G27" i="47"/>
  <c r="L20" i="47"/>
  <c r="K20" i="47"/>
  <c r="J20" i="47"/>
  <c r="I20" i="47"/>
  <c r="H20" i="47"/>
  <c r="G20" i="47"/>
  <c r="L19" i="47"/>
  <c r="K19" i="47"/>
  <c r="J19" i="47"/>
  <c r="I19" i="47"/>
  <c r="H19" i="47"/>
  <c r="G19"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N34" i="48"/>
  <c r="M34" i="48"/>
  <c r="L34" i="48"/>
  <c r="K34" i="48"/>
  <c r="J34" i="48"/>
  <c r="I34" i="48"/>
  <c r="H34" i="48"/>
  <c r="B76" i="46" l="1"/>
  <c r="F40" i="46"/>
  <c r="F42" i="46" s="1"/>
  <c r="G40" i="46" l="1"/>
  <c r="F75" i="46"/>
  <c r="G21" i="46"/>
  <c r="H21" i="46" s="1"/>
  <c r="G23" i="46" l="1"/>
  <c r="G45" i="46" s="1"/>
  <c r="H23" i="46"/>
  <c r="H45" i="46" s="1"/>
  <c r="I21" i="46"/>
  <c r="J21" i="46" l="1"/>
  <c r="I23" i="46"/>
  <c r="I45" i="46" s="1"/>
  <c r="A2" i="53"/>
  <c r="A5" i="53"/>
  <c r="G35" i="53" l="1"/>
  <c r="G36" i="53" s="1"/>
  <c r="G37" i="53" s="1"/>
  <c r="I35" i="53"/>
  <c r="I36" i="53" s="1"/>
  <c r="I37" i="53" s="1"/>
  <c r="K21" i="46"/>
  <c r="J23" i="46"/>
  <c r="J45" i="46" s="1"/>
  <c r="G43" i="48"/>
  <c r="G42" i="48"/>
  <c r="G41" i="48"/>
  <c r="G40" i="48"/>
  <c r="G39" i="48"/>
  <c r="G38" i="48"/>
  <c r="G37" i="48"/>
  <c r="G36" i="48"/>
  <c r="H44" i="48"/>
  <c r="C32" i="63" s="1"/>
  <c r="I38" i="53" l="1"/>
  <c r="I40" i="53"/>
  <c r="I39" i="53"/>
  <c r="G38" i="53"/>
  <c r="G40" i="53"/>
  <c r="G39" i="53"/>
  <c r="L21" i="46"/>
  <c r="L23" i="46" s="1"/>
  <c r="L45" i="46" s="1"/>
  <c r="K23" i="46"/>
  <c r="K45" i="46" s="1"/>
  <c r="H100" i="46"/>
  <c r="I100" i="46"/>
  <c r="J100" i="46"/>
  <c r="K100" i="46"/>
  <c r="L100" i="46"/>
  <c r="H99" i="46"/>
  <c r="I99" i="46"/>
  <c r="J99" i="46"/>
  <c r="K99" i="46"/>
  <c r="L99" i="46"/>
  <c r="G99" i="46"/>
  <c r="H67" i="46"/>
  <c r="I67" i="46"/>
  <c r="J67" i="46"/>
  <c r="K67" i="46"/>
  <c r="L67" i="46"/>
  <c r="G67" i="46"/>
  <c r="H68" i="46"/>
  <c r="I68" i="46"/>
  <c r="J68" i="46"/>
  <c r="K68" i="46"/>
  <c r="L68" i="46"/>
  <c r="G68" i="46"/>
  <c r="H93" i="46"/>
  <c r="I93" i="46"/>
  <c r="J93" i="46"/>
  <c r="K93" i="46"/>
  <c r="L93" i="46"/>
  <c r="G93" i="46"/>
  <c r="I11" i="67" l="1"/>
  <c r="I12" i="67" s="1"/>
  <c r="I46" i="67"/>
  <c r="I47" i="67" s="1"/>
  <c r="K11" i="67"/>
  <c r="K12" i="67" s="1"/>
  <c r="K46" i="67"/>
  <c r="K47" i="67" s="1"/>
  <c r="L11" i="67"/>
  <c r="L12" i="67" s="1"/>
  <c r="L46" i="67"/>
  <c r="L47" i="67" s="1"/>
  <c r="J11" i="67"/>
  <c r="J12" i="67" s="1"/>
  <c r="J46" i="67"/>
  <c r="J47" i="67" s="1"/>
  <c r="H11" i="67"/>
  <c r="H12" i="67" s="1"/>
  <c r="H46" i="67"/>
  <c r="H47" i="67" s="1"/>
  <c r="G11" i="67"/>
  <c r="G12" i="67" s="1"/>
  <c r="G46" i="67"/>
  <c r="H40" i="46"/>
  <c r="C46" i="67" l="1"/>
  <c r="G47" i="67"/>
  <c r="C47" i="67" s="1"/>
  <c r="I40" i="46"/>
  <c r="F51" i="47"/>
  <c r="E47" i="47"/>
  <c r="E46" i="47"/>
  <c r="E45" i="47"/>
  <c r="E44" i="47"/>
  <c r="E43" i="47"/>
  <c r="E42" i="47"/>
  <c r="E41" i="47"/>
  <c r="E15" i="47"/>
  <c r="E14" i="47"/>
  <c r="F51" i="18" l="1"/>
  <c r="C30" i="63"/>
  <c r="J40" i="46"/>
  <c r="F6" i="34"/>
  <c r="F58" i="34" s="1"/>
  <c r="C34" i="63" l="1"/>
  <c r="K40" i="46"/>
  <c r="D26" i="41"/>
  <c r="D25" i="41"/>
  <c r="D24" i="41"/>
  <c r="D23" i="41"/>
  <c r="D22" i="41"/>
  <c r="D21" i="41"/>
  <c r="D20" i="41"/>
  <c r="D19" i="41"/>
  <c r="D18" i="41"/>
  <c r="D17" i="41"/>
  <c r="D16" i="41"/>
  <c r="D15" i="41"/>
  <c r="D14" i="41"/>
  <c r="D12" i="41"/>
  <c r="D11" i="41" l="1"/>
  <c r="L40" i="46"/>
  <c r="D27" i="41"/>
  <c r="E12" i="52" l="1"/>
  <c r="F12" i="52" s="1"/>
  <c r="G3" i="46" l="1"/>
  <c r="G2" i="46"/>
  <c r="A5" i="52"/>
  <c r="A2" i="52"/>
  <c r="H87" i="41" l="1"/>
  <c r="I87" i="41" s="1"/>
  <c r="H57" i="41"/>
  <c r="I57" i="41" l="1"/>
  <c r="F6" i="46"/>
  <c r="L98" i="46"/>
  <c r="K98" i="46"/>
  <c r="J98" i="46"/>
  <c r="I98" i="46"/>
  <c r="H98" i="46"/>
  <c r="G98" i="46" l="1"/>
  <c r="E47" i="38"/>
  <c r="L20" i="46" l="1"/>
  <c r="K20" i="46"/>
  <c r="J20" i="46"/>
  <c r="I20" i="46"/>
  <c r="H20" i="46"/>
  <c r="G20" i="46"/>
  <c r="L94" i="46"/>
  <c r="K94" i="46"/>
  <c r="J94" i="46"/>
  <c r="I94" i="46"/>
  <c r="H94" i="46"/>
  <c r="G94" i="46"/>
  <c r="E23" i="46" l="1"/>
  <c r="E34" i="46" l="1"/>
  <c r="G100" i="46"/>
  <c r="C47" i="38" s="1"/>
  <c r="F3" i="41"/>
  <c r="F2" i="41"/>
  <c r="C32" i="38" l="1"/>
  <c r="C31" i="38"/>
  <c r="C28" i="38"/>
  <c r="C27" i="38"/>
  <c r="E39" i="45" l="1"/>
  <c r="F47" i="18" l="1"/>
  <c r="F33" i="18" l="1"/>
  <c r="F71" i="67" s="1"/>
  <c r="F32" i="18"/>
  <c r="F31" i="18"/>
  <c r="F28" i="18"/>
  <c r="F66" i="67" s="1"/>
  <c r="F27" i="18"/>
  <c r="F65" i="67" s="1"/>
  <c r="F25" i="18"/>
  <c r="F23" i="18"/>
  <c r="F61" i="67" s="1"/>
  <c r="F22" i="18"/>
  <c r="F60" i="67" s="1"/>
  <c r="F21" i="18"/>
  <c r="F59" i="67" s="1"/>
  <c r="F19" i="18"/>
  <c r="F57" i="67" s="1"/>
  <c r="F56" i="67"/>
  <c r="F17" i="18"/>
  <c r="F55" i="67" s="1"/>
  <c r="L17" i="13"/>
  <c r="L15" i="61" s="1"/>
  <c r="K17" i="13"/>
  <c r="K15" i="61" s="1"/>
  <c r="J17" i="13"/>
  <c r="J15" i="61" s="1"/>
  <c r="I17" i="13"/>
  <c r="I15" i="61" s="1"/>
  <c r="H17" i="13"/>
  <c r="H15" i="61" s="1"/>
  <c r="G17" i="13"/>
  <c r="G15" i="61" s="1"/>
  <c r="F49" i="18"/>
  <c r="F48" i="18"/>
  <c r="F6" i="18"/>
  <c r="F14" i="67" l="1"/>
  <c r="F112" i="67"/>
  <c r="F75" i="67"/>
  <c r="F51" i="67"/>
  <c r="F70" i="67"/>
  <c r="F14" i="18"/>
  <c r="F91" i="67"/>
  <c r="F43" i="18"/>
  <c r="F9" i="18"/>
  <c r="K98" i="61"/>
  <c r="I98" i="61"/>
  <c r="J98" i="61"/>
  <c r="H98" i="61"/>
  <c r="L98" i="61"/>
  <c r="F12" i="18" l="1"/>
  <c r="E32" i="38"/>
  <c r="D32" i="38" s="1"/>
  <c r="C33" i="38"/>
  <c r="G12" i="47" l="1"/>
  <c r="H12" i="47"/>
  <c r="I12" i="47"/>
  <c r="J12" i="47"/>
  <c r="K12" i="47"/>
  <c r="L12" i="47"/>
  <c r="E20" i="38"/>
  <c r="E29" i="38"/>
  <c r="E30" i="38"/>
  <c r="E31" i="38"/>
  <c r="D31" i="38" s="1"/>
  <c r="E33" i="38"/>
  <c r="D33" i="38" s="1"/>
  <c r="E40" i="38"/>
  <c r="E12" i="47" l="1"/>
  <c r="E41" i="38"/>
  <c r="N44" i="48"/>
  <c r="I32" i="63" s="1"/>
  <c r="M44" i="48"/>
  <c r="H32" i="63" s="1"/>
  <c r="L44" i="48"/>
  <c r="G32" i="63" s="1"/>
  <c r="K44" i="48"/>
  <c r="F32" i="63" s="1"/>
  <c r="J44" i="48"/>
  <c r="E32" i="63" s="1"/>
  <c r="I44" i="48"/>
  <c r="D32" i="63" s="1"/>
  <c r="B32" i="63" s="1"/>
  <c r="I13" i="48"/>
  <c r="I35" i="48" s="1"/>
  <c r="A5" i="48"/>
  <c r="A2" i="48"/>
  <c r="F35" i="18" l="1"/>
  <c r="F67" i="67" s="1"/>
  <c r="G48" i="18"/>
  <c r="G44" i="48"/>
  <c r="J45" i="48" s="1"/>
  <c r="C45" i="38"/>
  <c r="K48" i="18"/>
  <c r="J48" i="18"/>
  <c r="H48" i="18"/>
  <c r="L48" i="18"/>
  <c r="I48" i="18"/>
  <c r="H12" i="48"/>
  <c r="J12" i="48"/>
  <c r="J13" i="48" s="1"/>
  <c r="H13" i="48"/>
  <c r="H35" i="48" s="1"/>
  <c r="K45" i="48" l="1"/>
  <c r="N45" i="48"/>
  <c r="F68" i="67"/>
  <c r="F69" i="67"/>
  <c r="F37" i="18"/>
  <c r="F41" i="18"/>
  <c r="F63" i="67"/>
  <c r="F64" i="67"/>
  <c r="F73" i="67"/>
  <c r="I117" i="67"/>
  <c r="K117" i="67"/>
  <c r="L117" i="67"/>
  <c r="F84" i="67"/>
  <c r="F82" i="67"/>
  <c r="F78" i="67"/>
  <c r="F83" i="67"/>
  <c r="F79" i="67"/>
  <c r="F81" i="67"/>
  <c r="F80" i="67"/>
  <c r="H117" i="67"/>
  <c r="J117" i="67"/>
  <c r="G117" i="67"/>
  <c r="D48" i="18"/>
  <c r="L45" i="48"/>
  <c r="G45" i="48"/>
  <c r="H45" i="48"/>
  <c r="I45" i="48"/>
  <c r="M45" i="48"/>
  <c r="K12" i="48"/>
  <c r="K13" i="48" s="1"/>
  <c r="J35" i="48"/>
  <c r="C48" i="18"/>
  <c r="C117" i="67" l="1"/>
  <c r="L12" i="48"/>
  <c r="L13" i="48" s="1"/>
  <c r="K35" i="48"/>
  <c r="G66" i="46"/>
  <c r="H66" i="46"/>
  <c r="G65" i="46"/>
  <c r="H65" i="46"/>
  <c r="G37" i="34"/>
  <c r="H33" i="34"/>
  <c r="G32" i="34"/>
  <c r="H32" i="34"/>
  <c r="M12" i="48" l="1"/>
  <c r="M13" i="48" s="1"/>
  <c r="L35" i="48"/>
  <c r="D51" i="47"/>
  <c r="E39" i="47"/>
  <c r="E37" i="47"/>
  <c r="E35" i="47"/>
  <c r="E33" i="47"/>
  <c r="E31" i="47"/>
  <c r="E29" i="47"/>
  <c r="E27" i="47"/>
  <c r="L13" i="47"/>
  <c r="K13" i="47"/>
  <c r="J13" i="47"/>
  <c r="I13" i="47"/>
  <c r="H13" i="47"/>
  <c r="G13" i="47"/>
  <c r="H7" i="47"/>
  <c r="I7" i="47" s="1"/>
  <c r="J7" i="47" s="1"/>
  <c r="K7" i="47" s="1"/>
  <c r="L7" i="47" s="1"/>
  <c r="A5" i="47"/>
  <c r="A2" i="47"/>
  <c r="L66" i="46"/>
  <c r="K66" i="46"/>
  <c r="J66" i="46"/>
  <c r="I66" i="46"/>
  <c r="L65" i="46"/>
  <c r="K65" i="46"/>
  <c r="J65" i="46"/>
  <c r="I65" i="46"/>
  <c r="C59" i="46"/>
  <c r="C57" i="46"/>
  <c r="L27" i="46"/>
  <c r="K27" i="46"/>
  <c r="J27" i="46"/>
  <c r="I27" i="46"/>
  <c r="H27" i="46"/>
  <c r="G27" i="46"/>
  <c r="L6" i="46"/>
  <c r="K6" i="46"/>
  <c r="J6" i="46"/>
  <c r="I6" i="46"/>
  <c r="H6" i="46"/>
  <c r="G6" i="46"/>
  <c r="A4" i="46"/>
  <c r="A2" i="46"/>
  <c r="G33" i="46" l="1"/>
  <c r="G41" i="46" s="1"/>
  <c r="J33" i="46"/>
  <c r="J41" i="46" s="1"/>
  <c r="H33" i="46"/>
  <c r="H41" i="46" s="1"/>
  <c r="I33" i="46"/>
  <c r="I41" i="46" s="1"/>
  <c r="K33" i="46"/>
  <c r="K41" i="46" s="1"/>
  <c r="L33" i="46"/>
  <c r="L41" i="46" s="1"/>
  <c r="K46" i="46"/>
  <c r="H46" i="46"/>
  <c r="I46" i="46"/>
  <c r="G46" i="46"/>
  <c r="L46" i="46"/>
  <c r="J46" i="46"/>
  <c r="I96" i="46"/>
  <c r="I47" i="46"/>
  <c r="G97" i="46"/>
  <c r="G48" i="46"/>
  <c r="K97" i="46"/>
  <c r="K48" i="46"/>
  <c r="L97" i="46"/>
  <c r="L48" i="46"/>
  <c r="J96" i="46"/>
  <c r="J47" i="46"/>
  <c r="H97" i="46"/>
  <c r="H48" i="46"/>
  <c r="G96" i="46"/>
  <c r="G47" i="46"/>
  <c r="K96" i="46"/>
  <c r="K47" i="46"/>
  <c r="I97" i="46"/>
  <c r="I48" i="46"/>
  <c r="H96" i="46"/>
  <c r="H47" i="46"/>
  <c r="L96" i="46"/>
  <c r="L47" i="46"/>
  <c r="J97" i="46"/>
  <c r="J48" i="46"/>
  <c r="H49" i="47"/>
  <c r="H50" i="47" s="1"/>
  <c r="H51" i="47" s="1"/>
  <c r="L49" i="47"/>
  <c r="L50" i="47" s="1"/>
  <c r="L51" i="47" s="1"/>
  <c r="I49" i="47"/>
  <c r="I50" i="47" s="1"/>
  <c r="I51" i="47" s="1"/>
  <c r="J49" i="47"/>
  <c r="J50" i="47" s="1"/>
  <c r="J51" i="47" s="1"/>
  <c r="G49" i="47"/>
  <c r="G50" i="47" s="1"/>
  <c r="G51" i="47" s="1"/>
  <c r="D30" i="63" s="1"/>
  <c r="K49" i="47"/>
  <c r="K50" i="47" s="1"/>
  <c r="K51" i="47" s="1"/>
  <c r="E48" i="47"/>
  <c r="N12" i="48"/>
  <c r="N13" i="48" s="1"/>
  <c r="N35" i="48" s="1"/>
  <c r="M35" i="48"/>
  <c r="E30" i="47"/>
  <c r="E32" i="47"/>
  <c r="E34" i="47"/>
  <c r="E36" i="47"/>
  <c r="E40" i="47"/>
  <c r="E13" i="47"/>
  <c r="E17" i="47"/>
  <c r="E19" i="47"/>
  <c r="E20" i="47"/>
  <c r="E28" i="47"/>
  <c r="E16" i="47"/>
  <c r="E18" i="47"/>
  <c r="G95" i="46"/>
  <c r="J72" i="46"/>
  <c r="I72" i="46"/>
  <c r="L72" i="46"/>
  <c r="H72" i="46"/>
  <c r="K72" i="46"/>
  <c r="G72" i="46"/>
  <c r="H95" i="46"/>
  <c r="L95" i="46"/>
  <c r="K95" i="46"/>
  <c r="I95" i="46"/>
  <c r="J95" i="46"/>
  <c r="E38" i="47"/>
  <c r="E27" i="46"/>
  <c r="E25" i="46"/>
  <c r="G69" i="46"/>
  <c r="C60" i="46"/>
  <c r="G56" i="46" s="1"/>
  <c r="I42" i="46" l="1"/>
  <c r="I75" i="46" s="1"/>
  <c r="H42" i="46"/>
  <c r="H75" i="46" s="1"/>
  <c r="L42" i="46"/>
  <c r="L75" i="46" s="1"/>
  <c r="J42" i="46"/>
  <c r="J75" i="46" s="1"/>
  <c r="K42" i="46"/>
  <c r="K75" i="46" s="1"/>
  <c r="G42" i="46"/>
  <c r="G75" i="46" s="1"/>
  <c r="G74" i="46"/>
  <c r="C46" i="38" s="1"/>
  <c r="E33" i="46"/>
  <c r="G30" i="63"/>
  <c r="J51" i="18"/>
  <c r="I51" i="18"/>
  <c r="F30" i="63"/>
  <c r="L51" i="18"/>
  <c r="I30" i="63"/>
  <c r="K51" i="18"/>
  <c r="H30" i="63"/>
  <c r="H51" i="18"/>
  <c r="E30" i="63"/>
  <c r="D61" i="46"/>
  <c r="D62" i="46" s="1"/>
  <c r="D63" i="46" s="1"/>
  <c r="F74" i="46"/>
  <c r="F76" i="46"/>
  <c r="C20" i="63" s="1"/>
  <c r="E26" i="46"/>
  <c r="G51" i="18"/>
  <c r="C50" i="38"/>
  <c r="E51" i="47"/>
  <c r="H120" i="67" l="1"/>
  <c r="G120" i="67"/>
  <c r="K120" i="67"/>
  <c r="L120" i="67"/>
  <c r="I120" i="67"/>
  <c r="J120" i="67"/>
  <c r="J43" i="46"/>
  <c r="H43" i="46"/>
  <c r="L43" i="46"/>
  <c r="I43" i="46"/>
  <c r="E75" i="46"/>
  <c r="K43" i="46"/>
  <c r="D51" i="18"/>
  <c r="G43" i="46"/>
  <c r="F85" i="46"/>
  <c r="E41" i="46"/>
  <c r="B30" i="63"/>
  <c r="G62" i="46"/>
  <c r="G63" i="46"/>
  <c r="G76" i="46" s="1"/>
  <c r="F43" i="46"/>
  <c r="F45" i="18"/>
  <c r="F77" i="67" s="1"/>
  <c r="F77" i="46"/>
  <c r="C51" i="18"/>
  <c r="C120" i="67" l="1"/>
  <c r="G77" i="46"/>
  <c r="D20" i="63"/>
  <c r="G45" i="18"/>
  <c r="G71" i="46"/>
  <c r="E40" i="46"/>
  <c r="G114" i="67" l="1"/>
  <c r="G85" i="46"/>
  <c r="F11" i="45" l="1"/>
  <c r="A5" i="45"/>
  <c r="A2" i="45"/>
  <c r="E10" i="45" l="1"/>
  <c r="E11" i="45"/>
  <c r="G10" i="45"/>
  <c r="G11" i="45" s="1"/>
  <c r="H10" i="45" s="1"/>
  <c r="H11" i="45" s="1"/>
  <c r="I10" i="45" s="1"/>
  <c r="I11" i="45" s="1"/>
  <c r="J10" i="45" s="1"/>
  <c r="J11" i="45" s="1"/>
  <c r="K10" i="45" s="1"/>
  <c r="K11" i="45" s="1"/>
  <c r="E28" i="38" l="1"/>
  <c r="D28" i="38" s="1"/>
  <c r="A2" i="35" l="1"/>
  <c r="A5" i="35"/>
  <c r="A2" i="38"/>
  <c r="A5" i="38"/>
  <c r="A2" i="41"/>
  <c r="A5" i="41"/>
  <c r="A2" i="18"/>
  <c r="A4" i="18"/>
  <c r="A2" i="13"/>
  <c r="A5" i="13"/>
  <c r="A2" i="34"/>
  <c r="A5" i="34"/>
  <c r="L33" i="18"/>
  <c r="L71" i="67" s="1"/>
  <c r="L31" i="18"/>
  <c r="L27" i="18"/>
  <c r="L65" i="67" s="1"/>
  <c r="L25" i="18"/>
  <c r="L6" i="34"/>
  <c r="L58" i="34" s="1"/>
  <c r="K6" i="34"/>
  <c r="K58" i="34" s="1"/>
  <c r="J6" i="34"/>
  <c r="J58" i="34" s="1"/>
  <c r="I6" i="34"/>
  <c r="I58" i="34" s="1"/>
  <c r="H6" i="34"/>
  <c r="H58" i="34" s="1"/>
  <c r="G6" i="34"/>
  <c r="G58"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G17" i="41"/>
  <c r="K21" i="48" s="1"/>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4" i="67" l="1"/>
  <c r="L75" i="67"/>
  <c r="L112" i="67"/>
  <c r="L51" i="67"/>
  <c r="L104" i="67"/>
  <c r="L103" i="67"/>
  <c r="L63" i="67"/>
  <c r="L106" i="67"/>
  <c r="L14" i="18"/>
  <c r="L91" i="67"/>
  <c r="L108" i="67"/>
  <c r="L43" i="18"/>
  <c r="G11" i="41"/>
  <c r="K18" i="48"/>
  <c r="J15" i="48"/>
  <c r="J31" i="48"/>
  <c r="N15" i="48"/>
  <c r="N31" i="48"/>
  <c r="L15" i="48"/>
  <c r="L31" i="48"/>
  <c r="I31" i="48"/>
  <c r="I15" i="48"/>
  <c r="M15" i="48"/>
  <c r="M31" i="48"/>
  <c r="H11" i="41"/>
  <c r="E11" i="41"/>
  <c r="I11" i="41"/>
  <c r="F11" i="41"/>
  <c r="J11" i="41"/>
  <c r="H27" i="41"/>
  <c r="H29" i="41" s="1"/>
  <c r="J40" i="13" s="1"/>
  <c r="F27" i="41"/>
  <c r="F29" i="41" s="1"/>
  <c r="H40" i="13" s="1"/>
  <c r="J27" i="41"/>
  <c r="J29" i="41" s="1"/>
  <c r="L40" i="13" s="1"/>
  <c r="G27" i="41"/>
  <c r="G29" i="41" s="1"/>
  <c r="I40" i="13" s="1"/>
  <c r="E27" i="41"/>
  <c r="E29" i="41" s="1"/>
  <c r="G40" i="13" s="1"/>
  <c r="I27" i="41"/>
  <c r="I29" i="41" s="1"/>
  <c r="K40" i="13" s="1"/>
  <c r="E8" i="39"/>
  <c r="J30" i="41" l="1"/>
  <c r="L41" i="13" s="1"/>
  <c r="I30" i="41"/>
  <c r="K41" i="13" s="1"/>
  <c r="F30" i="41"/>
  <c r="H41" i="13" s="1"/>
  <c r="E30" i="41"/>
  <c r="G41" i="13" s="1"/>
  <c r="H30" i="41"/>
  <c r="J41" i="13" s="1"/>
  <c r="G30" i="41"/>
  <c r="I41" i="13" s="1"/>
  <c r="K31" i="48"/>
  <c r="K15" i="48"/>
  <c r="G12" i="45"/>
  <c r="I12" i="45"/>
  <c r="H12" i="45"/>
  <c r="J12" i="45"/>
  <c r="F12" i="45"/>
  <c r="K12" i="45"/>
  <c r="G33" i="18"/>
  <c r="G71" i="67" s="1"/>
  <c r="G31" i="18"/>
  <c r="G27" i="18"/>
  <c r="G65" i="67" s="1"/>
  <c r="G25" i="18"/>
  <c r="G6" i="18"/>
  <c r="G14" i="67" l="1"/>
  <c r="G112" i="67"/>
  <c r="G51" i="67"/>
  <c r="G75" i="67"/>
  <c r="G103" i="67"/>
  <c r="G63" i="67"/>
  <c r="G106" i="67"/>
  <c r="G104" i="67"/>
  <c r="G14" i="18"/>
  <c r="G91" i="67"/>
  <c r="G108" i="67"/>
  <c r="G43" i="18"/>
  <c r="A5" i="39" l="1"/>
  <c r="D7" i="63" l="1"/>
  <c r="G80" i="46" s="1"/>
  <c r="L10" i="46"/>
  <c r="L19" i="13" l="1"/>
  <c r="L16" i="61" s="1"/>
  <c r="L32" i="61" s="1"/>
  <c r="L21" i="13"/>
  <c r="L29" i="67" s="1"/>
  <c r="F45" i="61"/>
  <c r="C10" i="63"/>
  <c r="L175" i="61"/>
  <c r="I9" i="63"/>
  <c r="L81" i="61"/>
  <c r="L80" i="61"/>
  <c r="L147" i="61"/>
  <c r="L72" i="61"/>
  <c r="L73" i="61"/>
  <c r="L146" i="61"/>
  <c r="H9" i="62"/>
  <c r="H50" i="62" s="1"/>
  <c r="C77" i="62"/>
  <c r="D141"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L45" i="13"/>
  <c r="L95" i="13"/>
  <c r="G7" i="46"/>
  <c r="F7" i="46" s="1"/>
  <c r="F10" i="13"/>
  <c r="C7" i="63" s="1"/>
  <c r="F80" i="46" s="1"/>
  <c r="L11" i="34"/>
  <c r="L131" i="13"/>
  <c r="L22" i="18" s="1"/>
  <c r="G7" i="34"/>
  <c r="G7" i="18"/>
  <c r="G7" i="67" s="1"/>
  <c r="E7" i="38"/>
  <c r="D8" i="63"/>
  <c r="G81" i="46" s="1"/>
  <c r="L128" i="13"/>
  <c r="L19" i="18" s="1"/>
  <c r="L136" i="13"/>
  <c r="L130" i="13"/>
  <c r="L126" i="13"/>
  <c r="L18" i="18" s="1"/>
  <c r="L132" i="13"/>
  <c r="L23" i="18" s="1"/>
  <c r="L125" i="13"/>
  <c r="L17" i="18" s="1"/>
  <c r="G59" i="34" l="1"/>
  <c r="G8" i="47"/>
  <c r="L100" i="67"/>
  <c r="L97" i="67"/>
  <c r="L96" i="67"/>
  <c r="L101" i="67"/>
  <c r="L98" i="67"/>
  <c r="L21" i="18"/>
  <c r="L143" i="13"/>
  <c r="L144" i="13" s="1"/>
  <c r="L31" i="34"/>
  <c r="L29" i="34"/>
  <c r="L27" i="34"/>
  <c r="L30" i="34"/>
  <c r="L28" i="34"/>
  <c r="I33" i="63"/>
  <c r="I31" i="63"/>
  <c r="F62" i="34"/>
  <c r="F83" i="46"/>
  <c r="G34" i="62"/>
  <c r="C18" i="63"/>
  <c r="F49" i="61" s="1"/>
  <c r="C26" i="63"/>
  <c r="F66" i="34" s="1"/>
  <c r="C36" i="63"/>
  <c r="C22" i="63"/>
  <c r="F87" i="46" s="1"/>
  <c r="L9" i="18"/>
  <c r="L12" i="18" s="1"/>
  <c r="L174" i="61"/>
  <c r="L173" i="61"/>
  <c r="M30" i="62"/>
  <c r="L61" i="34"/>
  <c r="L82" i="46"/>
  <c r="H10" i="62"/>
  <c r="L151" i="61"/>
  <c r="L32" i="18"/>
  <c r="L70" i="67" s="1"/>
  <c r="F7" i="34"/>
  <c r="G9" i="62"/>
  <c r="G50" i="62" s="1"/>
  <c r="M5" i="53"/>
  <c r="N16" i="48"/>
  <c r="N32" i="48" s="1"/>
  <c r="J12" i="41"/>
  <c r="J28" i="41" s="1"/>
  <c r="F7" i="18"/>
  <c r="F7" i="67" s="1"/>
  <c r="D8" i="41"/>
  <c r="D9" i="41" s="1"/>
  <c r="F11" i="13"/>
  <c r="C8" i="63" s="1"/>
  <c r="F81" i="46" s="1"/>
  <c r="L28" i="18"/>
  <c r="L66" i="67" s="1"/>
  <c r="G8" i="46"/>
  <c r="F8" i="46" s="1"/>
  <c r="G9" i="47"/>
  <c r="G8" i="34"/>
  <c r="G60" i="34" s="1"/>
  <c r="G8" i="18"/>
  <c r="G8" i="67" s="1"/>
  <c r="I9" i="41"/>
  <c r="E8" i="38"/>
  <c r="E12" i="38" s="1"/>
  <c r="E7" i="63"/>
  <c r="H80" i="46" s="1"/>
  <c r="F59" i="34" l="1"/>
  <c r="F8" i="47"/>
  <c r="H131" i="62"/>
  <c r="H294" i="62" s="1"/>
  <c r="H130" i="62"/>
  <c r="H293" i="62" s="1"/>
  <c r="H82" i="62"/>
  <c r="H246" i="62" s="1"/>
  <c r="H244" i="62"/>
  <c r="H90" i="62"/>
  <c r="H262" i="62"/>
  <c r="H83" i="62"/>
  <c r="H89" i="62"/>
  <c r="H252" i="62" s="1"/>
  <c r="Q14" i="38"/>
  <c r="H16" i="62"/>
  <c r="L107" i="67"/>
  <c r="L99" i="67"/>
  <c r="L49" i="67"/>
  <c r="L105" i="67"/>
  <c r="R14" i="38"/>
  <c r="M14" i="38"/>
  <c r="I14" i="38"/>
  <c r="G14" i="38"/>
  <c r="P14" i="38"/>
  <c r="L14" i="38"/>
  <c r="F14" i="38"/>
  <c r="O14" i="38"/>
  <c r="K14" i="38"/>
  <c r="H14" i="38"/>
  <c r="N14" i="38"/>
  <c r="J14" i="38"/>
  <c r="H299" i="62"/>
  <c r="H254" i="62"/>
  <c r="H51" i="62"/>
  <c r="H205" i="62"/>
  <c r="H361" i="62" s="1"/>
  <c r="H166" i="62"/>
  <c r="H222" i="62"/>
  <c r="H378" i="62" s="1"/>
  <c r="H187" i="62"/>
  <c r="H343" i="62" s="1"/>
  <c r="H230" i="62"/>
  <c r="H229" i="62"/>
  <c r="H171" i="62"/>
  <c r="H145" i="62"/>
  <c r="H204" i="62"/>
  <c r="H206" i="62"/>
  <c r="H193" i="62"/>
  <c r="H349" i="62" s="1"/>
  <c r="H234" i="62"/>
  <c r="H390" i="62" s="1"/>
  <c r="H313" i="62"/>
  <c r="H105" i="62"/>
  <c r="H270" i="62" s="1"/>
  <c r="H291" i="62"/>
  <c r="H220" i="62"/>
  <c r="H183" i="62"/>
  <c r="H339" i="62" s="1"/>
  <c r="H180" i="62"/>
  <c r="H336" i="62" s="1"/>
  <c r="H172" i="62"/>
  <c r="H328" i="62" s="1"/>
  <c r="H189" i="62"/>
  <c r="H345" i="62" s="1"/>
  <c r="H211" i="62"/>
  <c r="H367" i="62" s="1"/>
  <c r="H150" i="62"/>
  <c r="H306" i="62" s="1"/>
  <c r="H227" i="62"/>
  <c r="H383" i="62" s="1"/>
  <c r="H223" i="62"/>
  <c r="H379" i="62" s="1"/>
  <c r="H200" i="62"/>
  <c r="H356" i="62" s="1"/>
  <c r="H203" i="62"/>
  <c r="H359" i="62" s="1"/>
  <c r="H177" i="62"/>
  <c r="H228" i="62"/>
  <c r="H218" i="62"/>
  <c r="H374" i="62" s="1"/>
  <c r="H202" i="62"/>
  <c r="H358" i="62" s="1"/>
  <c r="H198" i="62"/>
  <c r="H354" i="62" s="1"/>
  <c r="H316" i="62"/>
  <c r="H192" i="62"/>
  <c r="H348" i="62" s="1"/>
  <c r="H169" i="62"/>
  <c r="H156" i="62"/>
  <c r="H233" i="62"/>
  <c r="H389" i="62" s="1"/>
  <c r="H210" i="62"/>
  <c r="H366" i="62" s="1"/>
  <c r="H186" i="62"/>
  <c r="H342" i="62" s="1"/>
  <c r="H163" i="62"/>
  <c r="H319" i="62" s="1"/>
  <c r="H132" i="62"/>
  <c r="H295" i="62" s="1"/>
  <c r="H126" i="62"/>
  <c r="H144" i="62"/>
  <c r="H300" i="62" s="1"/>
  <c r="H104" i="62"/>
  <c r="H119" i="62"/>
  <c r="H115" i="62"/>
  <c r="H278" i="62" s="1"/>
  <c r="H101" i="62"/>
  <c r="H116" i="62"/>
  <c r="H248" i="62"/>
  <c r="H255" i="62"/>
  <c r="H217" i="62"/>
  <c r="H196" i="62"/>
  <c r="H352" i="62" s="1"/>
  <c r="H197" i="62"/>
  <c r="H353" i="62" s="1"/>
  <c r="H174" i="62"/>
  <c r="H226" i="62"/>
  <c r="H382" i="62" s="1"/>
  <c r="H216" i="62"/>
  <c r="H199" i="62"/>
  <c r="H355" i="62" s="1"/>
  <c r="H129" i="62"/>
  <c r="H178" i="62"/>
  <c r="H191" i="62"/>
  <c r="H347" i="62" s="1"/>
  <c r="H168" i="62"/>
  <c r="H309" i="62"/>
  <c r="H236" i="62"/>
  <c r="H232" i="62"/>
  <c r="H388" i="62" s="1"/>
  <c r="H209" i="62"/>
  <c r="H185" i="62"/>
  <c r="H317" i="62"/>
  <c r="H127" i="62"/>
  <c r="H290" i="62" s="1"/>
  <c r="H287" i="62"/>
  <c r="H286" i="62"/>
  <c r="H103" i="62"/>
  <c r="H268" i="62" s="1"/>
  <c r="H264" i="62"/>
  <c r="H118" i="62"/>
  <c r="H281" i="62" s="1"/>
  <c r="H114" i="62"/>
  <c r="H162" i="62"/>
  <c r="H215" i="62"/>
  <c r="H371" i="62" s="1"/>
  <c r="H173" i="62"/>
  <c r="H329" i="62" s="1"/>
  <c r="H181" i="62"/>
  <c r="H337" i="62" s="1"/>
  <c r="H154" i="62"/>
  <c r="H310" i="62" s="1"/>
  <c r="H224" i="62"/>
  <c r="H214" i="62"/>
  <c r="H370" i="62" s="1"/>
  <c r="H179" i="62"/>
  <c r="H221" i="62"/>
  <c r="H175" i="62"/>
  <c r="H331" i="62" s="1"/>
  <c r="H194" i="62"/>
  <c r="H350" i="62" s="1"/>
  <c r="H190" i="62"/>
  <c r="H346" i="62" s="1"/>
  <c r="H167" i="62"/>
  <c r="H133" i="62"/>
  <c r="H296" i="62" s="1"/>
  <c r="H235" i="62"/>
  <c r="H391" i="62" s="1"/>
  <c r="H212" i="62"/>
  <c r="H208" i="62"/>
  <c r="H364" i="62" s="1"/>
  <c r="H184" i="62"/>
  <c r="H315" i="62"/>
  <c r="H165" i="62"/>
  <c r="H102" i="62"/>
  <c r="H267" i="62" s="1"/>
  <c r="H117" i="62"/>
  <c r="H111" i="62"/>
  <c r="H113" i="62"/>
  <c r="H112" i="62"/>
  <c r="H7" i="46"/>
  <c r="H63" i="46" s="1"/>
  <c r="I9" i="62"/>
  <c r="I50" i="62" s="1"/>
  <c r="F9" i="47"/>
  <c r="G10" i="62"/>
  <c r="F8" i="18"/>
  <c r="F8" i="67" s="1"/>
  <c r="F8" i="34"/>
  <c r="F60" i="34" s="1"/>
  <c r="E8" i="63"/>
  <c r="H81" i="46" s="1"/>
  <c r="H7" i="34"/>
  <c r="J8" i="41"/>
  <c r="Q15" i="38" l="1"/>
  <c r="H59" i="34"/>
  <c r="H8" i="47"/>
  <c r="G130" i="62"/>
  <c r="G293" i="62" s="1"/>
  <c r="G131" i="62"/>
  <c r="G294" i="62" s="1"/>
  <c r="G16" i="62"/>
  <c r="G83" i="62"/>
  <c r="G89" i="62"/>
  <c r="G82" i="62"/>
  <c r="G90" i="62"/>
  <c r="P15" i="38"/>
  <c r="R15" i="38"/>
  <c r="M15" i="38"/>
  <c r="H15" i="38"/>
  <c r="G15" i="38"/>
  <c r="J15" i="38"/>
  <c r="O15" i="38"/>
  <c r="L15" i="38"/>
  <c r="K15" i="38"/>
  <c r="I15" i="38"/>
  <c r="N15" i="38"/>
  <c r="F15" i="38"/>
  <c r="F59" i="38" s="1"/>
  <c r="G51" i="62"/>
  <c r="G254" i="62"/>
  <c r="H62" i="46"/>
  <c r="H71" i="46" s="1"/>
  <c r="H74" i="46" s="1"/>
  <c r="H327" i="62"/>
  <c r="H368" i="62"/>
  <c r="H274" i="62"/>
  <c r="H322" i="62"/>
  <c r="H362" i="62"/>
  <c r="H385" i="62"/>
  <c r="H253" i="62"/>
  <c r="H386" i="62"/>
  <c r="H323" i="62"/>
  <c r="H311" i="62"/>
  <c r="H341" i="62"/>
  <c r="H265" i="62"/>
  <c r="H325" i="62"/>
  <c r="H376" i="62"/>
  <c r="H247" i="62"/>
  <c r="H266" i="62"/>
  <c r="H305" i="62"/>
  <c r="H334" i="62"/>
  <c r="H373" i="62"/>
  <c r="H333" i="62"/>
  <c r="H263" i="62"/>
  <c r="H377" i="62"/>
  <c r="H106" i="62"/>
  <c r="H108" i="62" s="1"/>
  <c r="H301" i="62"/>
  <c r="H303" i="62"/>
  <c r="H307" i="62"/>
  <c r="H392" i="62"/>
  <c r="H380" i="62"/>
  <c r="H120" i="62"/>
  <c r="H372" i="62"/>
  <c r="H277" i="62"/>
  <c r="H340" i="62"/>
  <c r="H318" i="62"/>
  <c r="H279" i="62"/>
  <c r="H238" i="62"/>
  <c r="H275" i="62"/>
  <c r="H282" i="62"/>
  <c r="H360" i="62"/>
  <c r="H276" i="62"/>
  <c r="H321" i="62"/>
  <c r="H289" i="62"/>
  <c r="H312" i="62"/>
  <c r="H384" i="62"/>
  <c r="H288" i="62"/>
  <c r="H280" i="62"/>
  <c r="H304" i="62"/>
  <c r="H365" i="62"/>
  <c r="H324" i="62"/>
  <c r="H292" i="62"/>
  <c r="H330" i="62"/>
  <c r="H245" i="62"/>
  <c r="H269" i="62"/>
  <c r="H335" i="62"/>
  <c r="H86" i="62"/>
  <c r="H134" i="62"/>
  <c r="H21" i="62" s="1"/>
  <c r="G59" i="61" s="1"/>
  <c r="I10" i="62"/>
  <c r="G101" i="62"/>
  <c r="G102" i="62"/>
  <c r="G103" i="62"/>
  <c r="G104" i="62"/>
  <c r="G105" i="62"/>
  <c r="G255" i="62"/>
  <c r="G126" i="62"/>
  <c r="G150" i="62"/>
  <c r="G154" i="62"/>
  <c r="G112" i="62"/>
  <c r="G114" i="62"/>
  <c r="G116" i="62"/>
  <c r="G118" i="62"/>
  <c r="G133" i="62"/>
  <c r="G296" i="62" s="1"/>
  <c r="G156" i="62"/>
  <c r="G166" i="62"/>
  <c r="G167" i="62"/>
  <c r="G168" i="62"/>
  <c r="G169" i="62"/>
  <c r="G189" i="62"/>
  <c r="G190" i="62"/>
  <c r="G191" i="62"/>
  <c r="G192" i="62"/>
  <c r="G193" i="62"/>
  <c r="G194" i="62"/>
  <c r="G214" i="62"/>
  <c r="G215" i="62"/>
  <c r="G216" i="62"/>
  <c r="G217" i="62"/>
  <c r="G218" i="62"/>
  <c r="G162" i="62"/>
  <c r="G171" i="62"/>
  <c r="G172" i="62"/>
  <c r="G173" i="62"/>
  <c r="G174" i="62"/>
  <c r="G175" i="62"/>
  <c r="G196" i="62"/>
  <c r="G197" i="62"/>
  <c r="G198" i="62"/>
  <c r="G199" i="62"/>
  <c r="G200" i="62"/>
  <c r="G113" i="62"/>
  <c r="G127" i="62"/>
  <c r="G129" i="62"/>
  <c r="G179" i="62"/>
  <c r="G183" i="62"/>
  <c r="G184" i="62"/>
  <c r="G185" i="62"/>
  <c r="G186" i="62"/>
  <c r="G187" i="62"/>
  <c r="G202" i="62"/>
  <c r="G206" i="62"/>
  <c r="G209" i="62"/>
  <c r="G211" i="62"/>
  <c r="G220" i="62"/>
  <c r="G224" i="62"/>
  <c r="G226" i="62"/>
  <c r="G228" i="62"/>
  <c r="G230" i="62"/>
  <c r="G111" i="62"/>
  <c r="G119" i="62"/>
  <c r="G145" i="62"/>
  <c r="G180" i="62"/>
  <c r="G203" i="62"/>
  <c r="G223" i="62"/>
  <c r="G233" i="62"/>
  <c r="G235" i="62"/>
  <c r="G115" i="62"/>
  <c r="G163" i="62"/>
  <c r="G165" i="62"/>
  <c r="G210" i="62"/>
  <c r="G229" i="62"/>
  <c r="G232" i="62"/>
  <c r="G132" i="62"/>
  <c r="G295" i="62" s="1"/>
  <c r="G208" i="62"/>
  <c r="G221" i="62"/>
  <c r="G222" i="62"/>
  <c r="G227" i="62"/>
  <c r="G177" i="62"/>
  <c r="G181" i="62"/>
  <c r="G204" i="62"/>
  <c r="G212" i="62"/>
  <c r="G205" i="62"/>
  <c r="G178" i="62"/>
  <c r="G144" i="62"/>
  <c r="G117" i="62"/>
  <c r="G236" i="62"/>
  <c r="G234" i="62"/>
  <c r="G390" i="62" s="1"/>
  <c r="F7" i="63"/>
  <c r="I80" i="46" s="1"/>
  <c r="H76" i="46"/>
  <c r="E20" i="63" s="1"/>
  <c r="H8" i="46"/>
  <c r="H9" i="47"/>
  <c r="H8" i="34"/>
  <c r="H60" i="34" s="1"/>
  <c r="H8" i="18"/>
  <c r="H8" i="67" s="1"/>
  <c r="J9" i="41"/>
  <c r="I130" i="62" l="1"/>
  <c r="I293" i="62" s="1"/>
  <c r="I131" i="62"/>
  <c r="I294" i="62" s="1"/>
  <c r="G59" i="38"/>
  <c r="H59" i="38" s="1"/>
  <c r="I59" i="38" s="1"/>
  <c r="J59" i="38" s="1"/>
  <c r="K59" i="38" s="1"/>
  <c r="L59" i="38" s="1"/>
  <c r="M59" i="38" s="1"/>
  <c r="N59" i="38" s="1"/>
  <c r="O59" i="38" s="1"/>
  <c r="P59" i="38" s="1"/>
  <c r="Q59" i="38" s="1"/>
  <c r="R59" i="38" s="1"/>
  <c r="I262" i="62"/>
  <c r="I83" i="62"/>
  <c r="I245" i="62"/>
  <c r="I89" i="62"/>
  <c r="I252" i="62" s="1"/>
  <c r="I248" i="62"/>
  <c r="I82" i="62"/>
  <c r="I246" i="62" s="1"/>
  <c r="I244" i="62"/>
  <c r="I90" i="62"/>
  <c r="I253" i="62" s="1"/>
  <c r="I16" i="62"/>
  <c r="H17" i="62"/>
  <c r="G55" i="61" s="1"/>
  <c r="G30" i="67"/>
  <c r="H19" i="62"/>
  <c r="G24" i="67"/>
  <c r="H20" i="62"/>
  <c r="G58" i="61" s="1"/>
  <c r="G25" i="67"/>
  <c r="H22" i="62"/>
  <c r="G60" i="61" s="1"/>
  <c r="G26" i="67"/>
  <c r="I299" i="62"/>
  <c r="I254" i="62"/>
  <c r="H85" i="46"/>
  <c r="I51" i="62"/>
  <c r="I214" i="62"/>
  <c r="I370" i="62" s="1"/>
  <c r="I129" i="62"/>
  <c r="I292" i="62" s="1"/>
  <c r="I230" i="62"/>
  <c r="I386" i="62" s="1"/>
  <c r="I194" i="62"/>
  <c r="I350" i="62" s="1"/>
  <c r="I203" i="62"/>
  <c r="I359" i="62" s="1"/>
  <c r="I263" i="62"/>
  <c r="I166" i="62"/>
  <c r="I322" i="62" s="1"/>
  <c r="I236" i="62"/>
  <c r="I392" i="62" s="1"/>
  <c r="I307" i="62"/>
  <c r="I114" i="62"/>
  <c r="I277" i="62" s="1"/>
  <c r="I223" i="62"/>
  <c r="I379" i="62" s="1"/>
  <c r="I165" i="62"/>
  <c r="I321" i="62" s="1"/>
  <c r="I287" i="62"/>
  <c r="I199" i="62"/>
  <c r="I355" i="62" s="1"/>
  <c r="I220" i="62"/>
  <c r="I376" i="62" s="1"/>
  <c r="I212" i="62"/>
  <c r="I368" i="62" s="1"/>
  <c r="I193" i="62"/>
  <c r="I349" i="62" s="1"/>
  <c r="I234" i="62"/>
  <c r="I390" i="62" s="1"/>
  <c r="I156" i="62"/>
  <c r="I312" i="62" s="1"/>
  <c r="I229" i="62"/>
  <c r="I385" i="62" s="1"/>
  <c r="I202" i="62"/>
  <c r="I358" i="62" s="1"/>
  <c r="I150" i="62"/>
  <c r="I306" i="62" s="1"/>
  <c r="I163" i="62"/>
  <c r="I319" i="62" s="1"/>
  <c r="I105" i="62"/>
  <c r="I270" i="62" s="1"/>
  <c r="I113" i="62"/>
  <c r="I276" i="62" s="1"/>
  <c r="I286" i="62"/>
  <c r="I208" i="62"/>
  <c r="I364" i="62" s="1"/>
  <c r="I221" i="62"/>
  <c r="I377" i="62" s="1"/>
  <c r="I190" i="62"/>
  <c r="I346" i="62" s="1"/>
  <c r="I217" i="62"/>
  <c r="I373" i="62" s="1"/>
  <c r="I185" i="62"/>
  <c r="I341" i="62" s="1"/>
  <c r="I226" i="62"/>
  <c r="I382" i="62" s="1"/>
  <c r="I179" i="62"/>
  <c r="I335" i="62" s="1"/>
  <c r="I303" i="62"/>
  <c r="I316" i="62"/>
  <c r="I102" i="62"/>
  <c r="I267" i="62" s="1"/>
  <c r="I118" i="62"/>
  <c r="I281" i="62" s="1"/>
  <c r="I291" i="62"/>
  <c r="I173" i="62"/>
  <c r="I329" i="62" s="1"/>
  <c r="I218" i="62"/>
  <c r="I374" i="62" s="1"/>
  <c r="I210" i="62"/>
  <c r="I366" i="62" s="1"/>
  <c r="I211" i="62"/>
  <c r="I367" i="62" s="1"/>
  <c r="I189" i="62"/>
  <c r="I345" i="62" s="1"/>
  <c r="I215" i="62"/>
  <c r="I371" i="62" s="1"/>
  <c r="I184" i="62"/>
  <c r="I340" i="62" s="1"/>
  <c r="I206" i="62"/>
  <c r="I362" i="62" s="1"/>
  <c r="I178" i="62"/>
  <c r="I334" i="62" s="1"/>
  <c r="I315" i="62"/>
  <c r="I101" i="62"/>
  <c r="I266" i="62" s="1"/>
  <c r="I117" i="62"/>
  <c r="I280" i="62" s="1"/>
  <c r="I127" i="62"/>
  <c r="I290" i="62" s="1"/>
  <c r="H297" i="62"/>
  <c r="H249" i="62"/>
  <c r="H256" i="62"/>
  <c r="H271" i="62"/>
  <c r="G86" i="62"/>
  <c r="H94" i="62"/>
  <c r="I309" i="62"/>
  <c r="I196" i="62"/>
  <c r="I352" i="62" s="1"/>
  <c r="I216" i="62"/>
  <c r="I372" i="62" s="1"/>
  <c r="I172" i="62"/>
  <c r="I328" i="62" s="1"/>
  <c r="I154" i="62"/>
  <c r="I310" i="62" s="1"/>
  <c r="I169" i="62"/>
  <c r="I325" i="62" s="1"/>
  <c r="I209" i="62"/>
  <c r="I365" i="62" s="1"/>
  <c r="I192" i="62"/>
  <c r="I348" i="62" s="1"/>
  <c r="I175" i="62"/>
  <c r="I331" i="62" s="1"/>
  <c r="I232" i="62"/>
  <c r="I388" i="62" s="1"/>
  <c r="I197" i="62"/>
  <c r="I353" i="62" s="1"/>
  <c r="I187" i="62"/>
  <c r="I343" i="62" s="1"/>
  <c r="I183" i="62"/>
  <c r="I339" i="62" s="1"/>
  <c r="I228" i="62"/>
  <c r="I384" i="62" s="1"/>
  <c r="I205" i="62"/>
  <c r="I361" i="62" s="1"/>
  <c r="I181" i="62"/>
  <c r="I337" i="62" s="1"/>
  <c r="I177" i="62"/>
  <c r="I333" i="62" s="1"/>
  <c r="I305" i="62"/>
  <c r="I145" i="62"/>
  <c r="I301" i="62" s="1"/>
  <c r="I162" i="62"/>
  <c r="I318" i="62" s="1"/>
  <c r="I133" i="62"/>
  <c r="I296" i="62" s="1"/>
  <c r="I104" i="62"/>
  <c r="I269" i="62" s="1"/>
  <c r="I265" i="62"/>
  <c r="I255" i="62"/>
  <c r="I116" i="62"/>
  <c r="I279" i="62" s="1"/>
  <c r="I112" i="62"/>
  <c r="I275" i="62" s="1"/>
  <c r="I126" i="62"/>
  <c r="I289" i="62" s="1"/>
  <c r="H394" i="62"/>
  <c r="I224" i="62"/>
  <c r="I380" i="62" s="1"/>
  <c r="I168" i="62"/>
  <c r="I324" i="62" s="1"/>
  <c r="I200" i="62"/>
  <c r="I356" i="62" s="1"/>
  <c r="I235" i="62"/>
  <c r="I391" i="62" s="1"/>
  <c r="I233" i="62"/>
  <c r="I389" i="62" s="1"/>
  <c r="I167" i="62"/>
  <c r="I323" i="62" s="1"/>
  <c r="I198" i="62"/>
  <c r="I354" i="62" s="1"/>
  <c r="I191" i="62"/>
  <c r="I347" i="62" s="1"/>
  <c r="I171" i="62"/>
  <c r="I327" i="62" s="1"/>
  <c r="I222" i="62"/>
  <c r="I378" i="62" s="1"/>
  <c r="I174" i="62"/>
  <c r="I330" i="62" s="1"/>
  <c r="I186" i="62"/>
  <c r="I342" i="62" s="1"/>
  <c r="I313" i="62"/>
  <c r="I227" i="62"/>
  <c r="I383" i="62" s="1"/>
  <c r="I204" i="62"/>
  <c r="I360" i="62" s="1"/>
  <c r="I180" i="62"/>
  <c r="I336" i="62" s="1"/>
  <c r="I311" i="62"/>
  <c r="I304" i="62"/>
  <c r="I144" i="62"/>
  <c r="I300" i="62" s="1"/>
  <c r="I317" i="62"/>
  <c r="I132" i="62"/>
  <c r="I295" i="62" s="1"/>
  <c r="I103" i="62"/>
  <c r="I268" i="62" s="1"/>
  <c r="I264" i="62"/>
  <c r="I119" i="62"/>
  <c r="I282" i="62" s="1"/>
  <c r="I115" i="62"/>
  <c r="I278" i="62" s="1"/>
  <c r="I111" i="62"/>
  <c r="I274" i="62" s="1"/>
  <c r="I288" i="62"/>
  <c r="I247" i="62"/>
  <c r="H136" i="62"/>
  <c r="H283" i="62"/>
  <c r="G280" i="62"/>
  <c r="G333" i="62"/>
  <c r="G366" i="62"/>
  <c r="G359" i="62"/>
  <c r="G382" i="62"/>
  <c r="G342" i="62"/>
  <c r="G134" i="62"/>
  <c r="G21" i="62" s="1"/>
  <c r="F59" i="61" s="1"/>
  <c r="G286" i="62"/>
  <c r="G330" i="62"/>
  <c r="G372" i="62"/>
  <c r="G345" i="62"/>
  <c r="G322" i="62"/>
  <c r="G245" i="62"/>
  <c r="G304" i="62"/>
  <c r="G266" i="62"/>
  <c r="I7" i="46"/>
  <c r="I62" i="46" s="1"/>
  <c r="J9" i="62"/>
  <c r="J50" i="62" s="1"/>
  <c r="G300" i="62"/>
  <c r="G368" i="62"/>
  <c r="G383" i="62"/>
  <c r="G321" i="62"/>
  <c r="G391" i="62"/>
  <c r="G336" i="62"/>
  <c r="G246" i="62"/>
  <c r="G380" i="62"/>
  <c r="G362" i="62"/>
  <c r="G341" i="62"/>
  <c r="G315" i="62"/>
  <c r="G276" i="62"/>
  <c r="G353" i="62"/>
  <c r="G329" i="62"/>
  <c r="G316" i="62"/>
  <c r="G371" i="62"/>
  <c r="G348" i="62"/>
  <c r="G325" i="62"/>
  <c r="G312" i="62"/>
  <c r="G279" i="62"/>
  <c r="G311" i="62"/>
  <c r="G307" i="62"/>
  <c r="G303" i="62"/>
  <c r="G287" i="62"/>
  <c r="G269" i="62"/>
  <c r="G265" i="62"/>
  <c r="G334" i="62"/>
  <c r="G360" i="62"/>
  <c r="G378" i="62"/>
  <c r="G388" i="62"/>
  <c r="G319" i="62"/>
  <c r="G389" i="62"/>
  <c r="G301" i="62"/>
  <c r="G386" i="62"/>
  <c r="G376" i="62"/>
  <c r="G358" i="62"/>
  <c r="G340" i="62"/>
  <c r="G292" i="62"/>
  <c r="G356" i="62"/>
  <c r="G352" i="62"/>
  <c r="G328" i="62"/>
  <c r="G374" i="62"/>
  <c r="G370" i="62"/>
  <c r="G347" i="62"/>
  <c r="G324" i="62"/>
  <c r="G277" i="62"/>
  <c r="G310" i="62"/>
  <c r="G306" i="62"/>
  <c r="G238" i="62"/>
  <c r="G299" i="62"/>
  <c r="G248" i="62"/>
  <c r="G253" i="62"/>
  <c r="G268" i="62"/>
  <c r="G264" i="62"/>
  <c r="G313" i="62"/>
  <c r="G364" i="62"/>
  <c r="G278" i="62"/>
  <c r="G274" i="62"/>
  <c r="G120" i="62"/>
  <c r="G365" i="62"/>
  <c r="G335" i="62"/>
  <c r="G354" i="62"/>
  <c r="G318" i="62"/>
  <c r="G349" i="62"/>
  <c r="G281" i="62"/>
  <c r="G247" i="62"/>
  <c r="G289" i="62"/>
  <c r="G270" i="62"/>
  <c r="G106" i="62"/>
  <c r="G262" i="62"/>
  <c r="G392" i="62"/>
  <c r="G361" i="62"/>
  <c r="G337" i="62"/>
  <c r="G377" i="62"/>
  <c r="G385" i="62"/>
  <c r="G317" i="62"/>
  <c r="G379" i="62"/>
  <c r="G282" i="62"/>
  <c r="G384" i="62"/>
  <c r="G367" i="62"/>
  <c r="G343" i="62"/>
  <c r="G339" i="62"/>
  <c r="G290" i="62"/>
  <c r="G355" i="62"/>
  <c r="G331" i="62"/>
  <c r="G327" i="62"/>
  <c r="G373" i="62"/>
  <c r="G350" i="62"/>
  <c r="G346" i="62"/>
  <c r="G323" i="62"/>
  <c r="G288" i="62"/>
  <c r="G275" i="62"/>
  <c r="G309" i="62"/>
  <c r="G305" i="62"/>
  <c r="G291" i="62"/>
  <c r="G252" i="62"/>
  <c r="G267" i="62"/>
  <c r="G263" i="62"/>
  <c r="H45" i="18"/>
  <c r="H77" i="46"/>
  <c r="I7" i="34"/>
  <c r="F8" i="63"/>
  <c r="I81" i="46" s="1"/>
  <c r="I59" i="34" l="1"/>
  <c r="I8" i="47"/>
  <c r="G57" i="61"/>
  <c r="H31" i="62"/>
  <c r="G27" i="67"/>
  <c r="G32" i="67" s="1"/>
  <c r="G22" i="62"/>
  <c r="F60" i="61" s="1"/>
  <c r="F26" i="67"/>
  <c r="H18" i="62"/>
  <c r="G56" i="61" s="1"/>
  <c r="G33" i="67"/>
  <c r="G17" i="62"/>
  <c r="F55" i="61" s="1"/>
  <c r="F30" i="67"/>
  <c r="F31" i="67" s="1"/>
  <c r="G39" i="67"/>
  <c r="G36" i="67"/>
  <c r="G31" i="67"/>
  <c r="G40" i="67"/>
  <c r="G19" i="62"/>
  <c r="F24" i="67"/>
  <c r="G20" i="62"/>
  <c r="F58" i="61" s="1"/>
  <c r="F25" i="67"/>
  <c r="G38" i="67"/>
  <c r="H114" i="67"/>
  <c r="I297" i="62"/>
  <c r="I106" i="62"/>
  <c r="I108" i="62" s="1"/>
  <c r="H239" i="62"/>
  <c r="I134" i="62"/>
  <c r="I21" i="62" s="1"/>
  <c r="H59" i="61" s="1"/>
  <c r="H137" i="62"/>
  <c r="I238" i="62"/>
  <c r="H258" i="62"/>
  <c r="H398" i="62" s="1"/>
  <c r="I120" i="62"/>
  <c r="I86" i="62"/>
  <c r="I63" i="46"/>
  <c r="I76" i="46" s="1"/>
  <c r="G249" i="62"/>
  <c r="G136" i="62"/>
  <c r="G239" i="62" s="1"/>
  <c r="I256" i="62"/>
  <c r="I8" i="34"/>
  <c r="I60" i="34" s="1"/>
  <c r="J10" i="62"/>
  <c r="G271" i="62"/>
  <c r="G94" i="62"/>
  <c r="G256" i="62"/>
  <c r="G283" i="62"/>
  <c r="G394" i="62"/>
  <c r="G297" i="62"/>
  <c r="I8" i="46"/>
  <c r="I8" i="18"/>
  <c r="I8" i="67" s="1"/>
  <c r="I9" i="47"/>
  <c r="G7" i="63"/>
  <c r="J80" i="46" s="1"/>
  <c r="J131" i="62" l="1"/>
  <c r="J294" i="62" s="1"/>
  <c r="J130" i="62"/>
  <c r="J293" i="62" s="1"/>
  <c r="J16" i="62"/>
  <c r="J248" i="62"/>
  <c r="J82" i="62"/>
  <c r="J90" i="62"/>
  <c r="J262" i="62"/>
  <c r="J83" i="62"/>
  <c r="J247" i="62" s="1"/>
  <c r="J245" i="62"/>
  <c r="J89" i="62"/>
  <c r="J252" i="62" s="1"/>
  <c r="G35" i="67"/>
  <c r="G28" i="67"/>
  <c r="G61" i="61"/>
  <c r="F57" i="61"/>
  <c r="G31" i="62"/>
  <c r="G32" i="62" s="1"/>
  <c r="H23" i="62"/>
  <c r="I17" i="62"/>
  <c r="H55" i="61" s="1"/>
  <c r="H30" i="67"/>
  <c r="G18" i="62"/>
  <c r="G23" i="62" s="1"/>
  <c r="F33" i="67"/>
  <c r="I20" i="62"/>
  <c r="H58" i="61" s="1"/>
  <c r="H25" i="67"/>
  <c r="F27" i="67"/>
  <c r="F32" i="67" s="1"/>
  <c r="I22" i="62"/>
  <c r="H60" i="61" s="1"/>
  <c r="H26" i="67"/>
  <c r="I19" i="62"/>
  <c r="H24" i="67"/>
  <c r="G34" i="67"/>
  <c r="G37" i="67"/>
  <c r="J244" i="62"/>
  <c r="J254" i="62"/>
  <c r="J51" i="62"/>
  <c r="J299" i="62"/>
  <c r="I394" i="62"/>
  <c r="H400" i="62"/>
  <c r="I45" i="18"/>
  <c r="F20" i="63"/>
  <c r="I71" i="46"/>
  <c r="I74" i="46" s="1"/>
  <c r="I77" i="46" s="1"/>
  <c r="I283" i="62"/>
  <c r="I271" i="62"/>
  <c r="I249" i="62"/>
  <c r="I94" i="62"/>
  <c r="I136" i="62"/>
  <c r="I239" i="62" s="1"/>
  <c r="J253" i="62"/>
  <c r="J255" i="62"/>
  <c r="J246" i="62"/>
  <c r="J286" i="62"/>
  <c r="J111" i="62"/>
  <c r="J274" i="62" s="1"/>
  <c r="J112" i="62"/>
  <c r="J275" i="62" s="1"/>
  <c r="J113" i="62"/>
  <c r="J276" i="62" s="1"/>
  <c r="J114" i="62"/>
  <c r="J277" i="62" s="1"/>
  <c r="J115" i="62"/>
  <c r="J278" i="62" s="1"/>
  <c r="J116" i="62"/>
  <c r="J279" i="62" s="1"/>
  <c r="J117" i="62"/>
  <c r="J280" i="62" s="1"/>
  <c r="J118" i="62"/>
  <c r="J281" i="62" s="1"/>
  <c r="J119" i="62"/>
  <c r="J282" i="62" s="1"/>
  <c r="J288" i="62"/>
  <c r="J127" i="62"/>
  <c r="J290" i="62" s="1"/>
  <c r="J309" i="62"/>
  <c r="J154" i="62"/>
  <c r="J310" i="62" s="1"/>
  <c r="J311" i="62"/>
  <c r="J156" i="62"/>
  <c r="J312" i="62" s="1"/>
  <c r="J313" i="62"/>
  <c r="J263" i="62"/>
  <c r="J264" i="62"/>
  <c r="J265" i="62"/>
  <c r="J101" i="62"/>
  <c r="J266" i="62" s="1"/>
  <c r="J102" i="62"/>
  <c r="J267" i="62" s="1"/>
  <c r="J103" i="62"/>
  <c r="J268" i="62" s="1"/>
  <c r="J104" i="62"/>
  <c r="J269" i="62" s="1"/>
  <c r="J105" i="62"/>
  <c r="J270" i="62" s="1"/>
  <c r="J129" i="62"/>
  <c r="J292" i="62" s="1"/>
  <c r="J132" i="62"/>
  <c r="J295" i="62" s="1"/>
  <c r="J133" i="62"/>
  <c r="J296" i="62" s="1"/>
  <c r="J126" i="62"/>
  <c r="J289" i="62" s="1"/>
  <c r="J144" i="62"/>
  <c r="J300" i="62" s="1"/>
  <c r="J145" i="62"/>
  <c r="J301" i="62" s="1"/>
  <c r="J165" i="62"/>
  <c r="J321" i="62" s="1"/>
  <c r="J171" i="62"/>
  <c r="J327" i="62" s="1"/>
  <c r="J172" i="62"/>
  <c r="J328" i="62" s="1"/>
  <c r="J173" i="62"/>
  <c r="J329" i="62" s="1"/>
  <c r="J174" i="62"/>
  <c r="J330" i="62" s="1"/>
  <c r="J175" i="62"/>
  <c r="J331" i="62" s="1"/>
  <c r="J196" i="62"/>
  <c r="J352" i="62" s="1"/>
  <c r="J197" i="62"/>
  <c r="J353" i="62" s="1"/>
  <c r="J198" i="62"/>
  <c r="J354" i="62" s="1"/>
  <c r="J199" i="62"/>
  <c r="J355" i="62" s="1"/>
  <c r="J200" i="62"/>
  <c r="J356" i="62" s="1"/>
  <c r="J220" i="62"/>
  <c r="J376" i="62" s="1"/>
  <c r="J221" i="62"/>
  <c r="J377" i="62" s="1"/>
  <c r="J222" i="62"/>
  <c r="J378" i="62" s="1"/>
  <c r="J223" i="62"/>
  <c r="J379" i="62" s="1"/>
  <c r="J224" i="62"/>
  <c r="J380" i="62" s="1"/>
  <c r="J287" i="62"/>
  <c r="J303" i="62"/>
  <c r="J304" i="62"/>
  <c r="J305" i="62"/>
  <c r="J150" i="62"/>
  <c r="J306" i="62" s="1"/>
  <c r="J307" i="62"/>
  <c r="J315" i="62"/>
  <c r="J317" i="62"/>
  <c r="J163" i="62"/>
  <c r="J319" i="62" s="1"/>
  <c r="J177" i="62"/>
  <c r="J333" i="62" s="1"/>
  <c r="J178" i="62"/>
  <c r="J334" i="62" s="1"/>
  <c r="J179" i="62"/>
  <c r="J335" i="62" s="1"/>
  <c r="J180" i="62"/>
  <c r="J336" i="62" s="1"/>
  <c r="J181" i="62"/>
  <c r="J337" i="62" s="1"/>
  <c r="J202" i="62"/>
  <c r="J358" i="62" s="1"/>
  <c r="J203" i="62"/>
  <c r="J359" i="62" s="1"/>
  <c r="J204" i="62"/>
  <c r="J360" i="62" s="1"/>
  <c r="J205" i="62"/>
  <c r="J361" i="62" s="1"/>
  <c r="J206" i="62"/>
  <c r="J362" i="62" s="1"/>
  <c r="J162" i="62"/>
  <c r="J318" i="62" s="1"/>
  <c r="J166" i="62"/>
  <c r="J322" i="62" s="1"/>
  <c r="J167" i="62"/>
  <c r="J323" i="62" s="1"/>
  <c r="J168" i="62"/>
  <c r="J324" i="62" s="1"/>
  <c r="J169" i="62"/>
  <c r="J325" i="62" s="1"/>
  <c r="J208" i="62"/>
  <c r="J364" i="62" s="1"/>
  <c r="J210" i="62"/>
  <c r="J366" i="62" s="1"/>
  <c r="J212" i="62"/>
  <c r="J368" i="62" s="1"/>
  <c r="J227" i="62"/>
  <c r="J383" i="62" s="1"/>
  <c r="J229" i="62"/>
  <c r="J385" i="62" s="1"/>
  <c r="J316" i="62"/>
  <c r="J183" i="62"/>
  <c r="J339" i="62" s="1"/>
  <c r="J184" i="62"/>
  <c r="J340" i="62" s="1"/>
  <c r="J185" i="62"/>
  <c r="J341" i="62" s="1"/>
  <c r="J186" i="62"/>
  <c r="J342" i="62" s="1"/>
  <c r="J187" i="62"/>
  <c r="J343" i="62" s="1"/>
  <c r="J215" i="62"/>
  <c r="J371" i="62" s="1"/>
  <c r="J217" i="62"/>
  <c r="J373" i="62" s="1"/>
  <c r="J232" i="62"/>
  <c r="J388" i="62" s="1"/>
  <c r="J234" i="62"/>
  <c r="J390" i="62" s="1"/>
  <c r="J236" i="62"/>
  <c r="J392" i="62" s="1"/>
  <c r="J191" i="62"/>
  <c r="J347" i="62" s="1"/>
  <c r="J211" i="62"/>
  <c r="J367" i="62" s="1"/>
  <c r="J216" i="62"/>
  <c r="J372" i="62" s="1"/>
  <c r="J230" i="62"/>
  <c r="J386" i="62" s="1"/>
  <c r="J235" i="62"/>
  <c r="J391" i="62" s="1"/>
  <c r="J190" i="62"/>
  <c r="J346" i="62" s="1"/>
  <c r="J194" i="62"/>
  <c r="J350" i="62" s="1"/>
  <c r="J209" i="62"/>
  <c r="J365" i="62" s="1"/>
  <c r="J214" i="62"/>
  <c r="J370" i="62" s="1"/>
  <c r="J228" i="62"/>
  <c r="J384" i="62" s="1"/>
  <c r="J233" i="62"/>
  <c r="J389" i="62" s="1"/>
  <c r="J291" i="62"/>
  <c r="J189" i="62"/>
  <c r="J345" i="62" s="1"/>
  <c r="J193" i="62"/>
  <c r="J349" i="62" s="1"/>
  <c r="J218" i="62"/>
  <c r="J374" i="62" s="1"/>
  <c r="J226" i="62"/>
  <c r="J382" i="62" s="1"/>
  <c r="J192" i="62"/>
  <c r="J348" i="62" s="1"/>
  <c r="G258" i="62"/>
  <c r="G398" i="62" s="1"/>
  <c r="J7" i="46"/>
  <c r="J62" i="46" s="1"/>
  <c r="K9" i="62"/>
  <c r="K50" i="62" s="1"/>
  <c r="G137" i="62"/>
  <c r="G8" i="63"/>
  <c r="J81" i="46" s="1"/>
  <c r="J7" i="34"/>
  <c r="H423" i="62" l="1"/>
  <c r="H420" i="62"/>
  <c r="J59" i="34"/>
  <c r="J8" i="47"/>
  <c r="H27" i="62"/>
  <c r="G21" i="67" s="1"/>
  <c r="G10" i="67" s="1"/>
  <c r="G39" i="34"/>
  <c r="G12" i="34"/>
  <c r="H417" i="62"/>
  <c r="H57" i="61"/>
  <c r="I31" i="62"/>
  <c r="G23" i="34"/>
  <c r="H459" i="62"/>
  <c r="H405" i="62"/>
  <c r="H38" i="62" s="1"/>
  <c r="F56" i="61"/>
  <c r="F61" i="61" s="1"/>
  <c r="H38" i="67"/>
  <c r="G405" i="62"/>
  <c r="G38" i="62" s="1"/>
  <c r="H40" i="67"/>
  <c r="H39" i="67"/>
  <c r="H36" i="67"/>
  <c r="H31" i="67"/>
  <c r="I18" i="62"/>
  <c r="I23" i="62" s="1"/>
  <c r="H33" i="67"/>
  <c r="H27" i="67"/>
  <c r="I114" i="67"/>
  <c r="J297" i="62"/>
  <c r="I258" i="62"/>
  <c r="I398" i="62" s="1"/>
  <c r="G27" i="62"/>
  <c r="F21" i="67" s="1"/>
  <c r="F10" i="67" s="1"/>
  <c r="G400" i="62"/>
  <c r="G40" i="34"/>
  <c r="I85" i="46"/>
  <c r="G38" i="34"/>
  <c r="G17" i="34"/>
  <c r="H414" i="62"/>
  <c r="H35" i="62"/>
  <c r="G22" i="34"/>
  <c r="J63" i="46"/>
  <c r="J71" i="46" s="1"/>
  <c r="J74" i="46" s="1"/>
  <c r="G417" i="62"/>
  <c r="G459" i="62"/>
  <c r="H408" i="62"/>
  <c r="H411" i="62"/>
  <c r="I137" i="62"/>
  <c r="J238" i="62"/>
  <c r="J134" i="62"/>
  <c r="J21" i="62" s="1"/>
  <c r="I59" i="61" s="1"/>
  <c r="J86" i="62"/>
  <c r="J9" i="47"/>
  <c r="K10" i="62"/>
  <c r="J106" i="62"/>
  <c r="J108" i="62" s="1"/>
  <c r="J120" i="62"/>
  <c r="J8" i="34"/>
  <c r="J60" i="34" s="1"/>
  <c r="H7" i="63"/>
  <c r="K80" i="46" s="1"/>
  <c r="J8" i="46"/>
  <c r="J8" i="18"/>
  <c r="J8" i="67" s="1"/>
  <c r="J76" i="46"/>
  <c r="G20" i="63" s="1"/>
  <c r="E27" i="38"/>
  <c r="D27" i="38" s="1"/>
  <c r="G414" i="62" l="1"/>
  <c r="G420" i="62"/>
  <c r="G423" i="62"/>
  <c r="K130" i="62"/>
  <c r="K293" i="62" s="1"/>
  <c r="K131" i="62"/>
  <c r="K294" i="62" s="1"/>
  <c r="K16" i="62"/>
  <c r="K262" i="62"/>
  <c r="K83" i="62"/>
  <c r="K245" i="62"/>
  <c r="K89" i="62"/>
  <c r="K252" i="62" s="1"/>
  <c r="K248" i="62"/>
  <c r="K82" i="62"/>
  <c r="K246" i="62" s="1"/>
  <c r="K244" i="62"/>
  <c r="K90" i="62"/>
  <c r="G22" i="67"/>
  <c r="G48" i="67" s="1"/>
  <c r="Q128" i="38"/>
  <c r="G128" i="38"/>
  <c r="I128" i="38"/>
  <c r="O128" i="38"/>
  <c r="M128" i="38"/>
  <c r="F128" i="38"/>
  <c r="H128" i="38"/>
  <c r="N128" i="38"/>
  <c r="L128" i="38"/>
  <c r="J128" i="38"/>
  <c r="K128" i="38"/>
  <c r="P128" i="38"/>
  <c r="R128" i="38"/>
  <c r="H56" i="61"/>
  <c r="H61" i="61" s="1"/>
  <c r="H28" i="67"/>
  <c r="H35" i="67"/>
  <c r="H32" i="67"/>
  <c r="J22" i="62"/>
  <c r="I60" i="61" s="1"/>
  <c r="I26" i="67"/>
  <c r="J19" i="62"/>
  <c r="I24" i="67"/>
  <c r="I405" i="62"/>
  <c r="I38" i="62" s="1"/>
  <c r="H37" i="67"/>
  <c r="H34" i="67"/>
  <c r="J20" i="62"/>
  <c r="I58" i="61" s="1"/>
  <c r="I25" i="67"/>
  <c r="J17" i="62"/>
  <c r="I55" i="61" s="1"/>
  <c r="I30" i="67"/>
  <c r="F22" i="67"/>
  <c r="I400" i="62"/>
  <c r="K254" i="62"/>
  <c r="H12" i="34"/>
  <c r="K51" i="62"/>
  <c r="K299" i="62"/>
  <c r="G35" i="62"/>
  <c r="I27" i="62"/>
  <c r="H21" i="67" s="1"/>
  <c r="H10" i="67" s="1"/>
  <c r="G411" i="62"/>
  <c r="G39" i="62" s="1"/>
  <c r="H94" i="61"/>
  <c r="G408" i="62"/>
  <c r="H425" i="62"/>
  <c r="J85" i="46"/>
  <c r="H39" i="34"/>
  <c r="H39" i="62"/>
  <c r="I417" i="62"/>
  <c r="H17" i="34"/>
  <c r="H38" i="34"/>
  <c r="H40" i="34"/>
  <c r="H23" i="34"/>
  <c r="H22" i="34"/>
  <c r="I459" i="62"/>
  <c r="J283" i="62"/>
  <c r="J271" i="62"/>
  <c r="K7" i="46"/>
  <c r="K63" i="46" s="1"/>
  <c r="L9" i="62"/>
  <c r="L50" i="62" s="1"/>
  <c r="J136" i="62"/>
  <c r="J239" i="62" s="1"/>
  <c r="J94" i="62"/>
  <c r="J256" i="62"/>
  <c r="J249" i="62"/>
  <c r="K263" i="62"/>
  <c r="K264" i="62"/>
  <c r="K265" i="62"/>
  <c r="K101" i="62"/>
  <c r="K266" i="62" s="1"/>
  <c r="K102" i="62"/>
  <c r="K267" i="62" s="1"/>
  <c r="K103" i="62"/>
  <c r="K268" i="62" s="1"/>
  <c r="K104" i="62"/>
  <c r="K269" i="62" s="1"/>
  <c r="K105" i="62"/>
  <c r="K270" i="62" s="1"/>
  <c r="K253" i="62"/>
  <c r="K255" i="62"/>
  <c r="K303" i="62"/>
  <c r="K304" i="62"/>
  <c r="K305" i="62"/>
  <c r="K150" i="62"/>
  <c r="K306" i="62" s="1"/>
  <c r="K307" i="62"/>
  <c r="K111" i="62"/>
  <c r="K274" i="62" s="1"/>
  <c r="K112" i="62"/>
  <c r="K275" i="62" s="1"/>
  <c r="K113" i="62"/>
  <c r="K276" i="62" s="1"/>
  <c r="K114" i="62"/>
  <c r="K277" i="62" s="1"/>
  <c r="K115" i="62"/>
  <c r="K278" i="62" s="1"/>
  <c r="K116" i="62"/>
  <c r="K279" i="62" s="1"/>
  <c r="K117" i="62"/>
  <c r="K280" i="62" s="1"/>
  <c r="K118" i="62"/>
  <c r="K281" i="62" s="1"/>
  <c r="K119" i="62"/>
  <c r="K282" i="62" s="1"/>
  <c r="K286" i="62"/>
  <c r="K288" i="62"/>
  <c r="K127" i="62"/>
  <c r="K290" i="62" s="1"/>
  <c r="K309" i="62"/>
  <c r="K154" i="62"/>
  <c r="K310" i="62" s="1"/>
  <c r="K311" i="62"/>
  <c r="K291" i="62"/>
  <c r="K129" i="62"/>
  <c r="K292" i="62" s="1"/>
  <c r="K316" i="62"/>
  <c r="K162" i="62"/>
  <c r="K318" i="62" s="1"/>
  <c r="K166" i="62"/>
  <c r="K322" i="62" s="1"/>
  <c r="K167" i="62"/>
  <c r="K323" i="62" s="1"/>
  <c r="K168" i="62"/>
  <c r="K324" i="62" s="1"/>
  <c r="K169" i="62"/>
  <c r="K325" i="62" s="1"/>
  <c r="K189" i="62"/>
  <c r="K345" i="62" s="1"/>
  <c r="K190" i="62"/>
  <c r="K346" i="62" s="1"/>
  <c r="K191" i="62"/>
  <c r="K347" i="62" s="1"/>
  <c r="K192" i="62"/>
  <c r="K348" i="62" s="1"/>
  <c r="K193" i="62"/>
  <c r="K349" i="62" s="1"/>
  <c r="K194" i="62"/>
  <c r="K350" i="62" s="1"/>
  <c r="K214" i="62"/>
  <c r="K370" i="62" s="1"/>
  <c r="K215" i="62"/>
  <c r="K371" i="62" s="1"/>
  <c r="K216" i="62"/>
  <c r="K372" i="62" s="1"/>
  <c r="K217" i="62"/>
  <c r="K373" i="62" s="1"/>
  <c r="K218" i="62"/>
  <c r="K374" i="62" s="1"/>
  <c r="K247" i="62"/>
  <c r="K126" i="62"/>
  <c r="K289" i="62" s="1"/>
  <c r="K132" i="62"/>
  <c r="K295" i="62" s="1"/>
  <c r="K144" i="62"/>
  <c r="K300" i="62" s="1"/>
  <c r="K145" i="62"/>
  <c r="K301" i="62" s="1"/>
  <c r="K165" i="62"/>
  <c r="K321" i="62" s="1"/>
  <c r="K171" i="62"/>
  <c r="K327" i="62" s="1"/>
  <c r="K172" i="62"/>
  <c r="K328" i="62" s="1"/>
  <c r="K173" i="62"/>
  <c r="K329" i="62" s="1"/>
  <c r="K174" i="62"/>
  <c r="K330" i="62" s="1"/>
  <c r="K175" i="62"/>
  <c r="K331" i="62" s="1"/>
  <c r="K196" i="62"/>
  <c r="K352" i="62" s="1"/>
  <c r="K197" i="62"/>
  <c r="K353" i="62" s="1"/>
  <c r="K198" i="62"/>
  <c r="K354" i="62" s="1"/>
  <c r="K199" i="62"/>
  <c r="K355" i="62" s="1"/>
  <c r="K200" i="62"/>
  <c r="K356" i="62" s="1"/>
  <c r="K313" i="62"/>
  <c r="K317" i="62"/>
  <c r="K177" i="62"/>
  <c r="K333" i="62" s="1"/>
  <c r="K181" i="62"/>
  <c r="K337" i="62" s="1"/>
  <c r="K204" i="62"/>
  <c r="K360" i="62" s="1"/>
  <c r="K223" i="62"/>
  <c r="K379" i="62" s="1"/>
  <c r="K233" i="62"/>
  <c r="K389" i="62" s="1"/>
  <c r="K235" i="62"/>
  <c r="K391" i="62" s="1"/>
  <c r="K156" i="62"/>
  <c r="K312" i="62" s="1"/>
  <c r="K315" i="62"/>
  <c r="K178" i="62"/>
  <c r="K334" i="62" s="1"/>
  <c r="K205" i="62"/>
  <c r="K361" i="62" s="1"/>
  <c r="K208" i="62"/>
  <c r="K364" i="62" s="1"/>
  <c r="K210" i="62"/>
  <c r="K366" i="62" s="1"/>
  <c r="K212" i="62"/>
  <c r="K368" i="62" s="1"/>
  <c r="K222" i="62"/>
  <c r="K378" i="62" s="1"/>
  <c r="K227" i="62"/>
  <c r="K383" i="62" s="1"/>
  <c r="K229" i="62"/>
  <c r="K385" i="62" s="1"/>
  <c r="K234" i="62"/>
  <c r="K390" i="62" s="1"/>
  <c r="K287" i="62"/>
  <c r="K163" i="62"/>
  <c r="K319" i="62" s="1"/>
  <c r="K179" i="62"/>
  <c r="K335" i="62" s="1"/>
  <c r="K180" i="62"/>
  <c r="K336" i="62" s="1"/>
  <c r="K184" i="62"/>
  <c r="K340" i="62" s="1"/>
  <c r="K186" i="62"/>
  <c r="K342" i="62" s="1"/>
  <c r="K202" i="62"/>
  <c r="K358" i="62" s="1"/>
  <c r="K203" i="62"/>
  <c r="K359" i="62" s="1"/>
  <c r="K206" i="62"/>
  <c r="K362" i="62" s="1"/>
  <c r="K211" i="62"/>
  <c r="K367" i="62" s="1"/>
  <c r="K230" i="62"/>
  <c r="K386" i="62" s="1"/>
  <c r="K232" i="62"/>
  <c r="K388" i="62" s="1"/>
  <c r="K133" i="62"/>
  <c r="K296" i="62" s="1"/>
  <c r="K220" i="62"/>
  <c r="K376" i="62" s="1"/>
  <c r="K224" i="62"/>
  <c r="K380" i="62" s="1"/>
  <c r="K226" i="62"/>
  <c r="K382" i="62" s="1"/>
  <c r="K185" i="62"/>
  <c r="K341" i="62" s="1"/>
  <c r="K209" i="62"/>
  <c r="K365" i="62" s="1"/>
  <c r="K183" i="62"/>
  <c r="K339" i="62" s="1"/>
  <c r="K187" i="62"/>
  <c r="K343" i="62" s="1"/>
  <c r="K221" i="62"/>
  <c r="K377" i="62" s="1"/>
  <c r="K228" i="62"/>
  <c r="K384" i="62" s="1"/>
  <c r="K236" i="62"/>
  <c r="K392" i="62" s="1"/>
  <c r="J394" i="62"/>
  <c r="J45" i="18"/>
  <c r="J77" i="46"/>
  <c r="K7" i="34"/>
  <c r="H8" i="63"/>
  <c r="K81" i="46" s="1"/>
  <c r="K76" i="46"/>
  <c r="H20" i="63" s="1"/>
  <c r="E24" i="38"/>
  <c r="I420" i="62" l="1"/>
  <c r="I423" i="62"/>
  <c r="K59" i="34"/>
  <c r="K8" i="47"/>
  <c r="H22" i="67"/>
  <c r="H48" i="67" s="1"/>
  <c r="Q129" i="38"/>
  <c r="Q130" i="38"/>
  <c r="I57" i="61"/>
  <c r="J31" i="62"/>
  <c r="I39" i="67"/>
  <c r="I38" i="67"/>
  <c r="I27" i="67"/>
  <c r="I40" i="67"/>
  <c r="J18" i="62"/>
  <c r="I56" i="61" s="1"/>
  <c r="I33" i="67"/>
  <c r="I36" i="67"/>
  <c r="I31" i="67"/>
  <c r="J114" i="67"/>
  <c r="I411" i="62"/>
  <c r="I39" i="62" s="1"/>
  <c r="I414" i="62"/>
  <c r="I35" i="62"/>
  <c r="I408" i="62"/>
  <c r="K297" i="62"/>
  <c r="H461" i="62"/>
  <c r="C39" i="38" s="1"/>
  <c r="G425" i="62"/>
  <c r="G461" i="62" s="1"/>
  <c r="P130" i="38"/>
  <c r="L130" i="38"/>
  <c r="H130" i="38"/>
  <c r="P129" i="38"/>
  <c r="L129" i="38"/>
  <c r="H129" i="38"/>
  <c r="O130" i="38"/>
  <c r="K130" i="38"/>
  <c r="G130" i="38"/>
  <c r="O129" i="38"/>
  <c r="K129" i="38"/>
  <c r="G129" i="38"/>
  <c r="I130" i="38"/>
  <c r="M129" i="38"/>
  <c r="N130" i="38"/>
  <c r="J130" i="38"/>
  <c r="F130" i="38"/>
  <c r="N129" i="38"/>
  <c r="J129" i="38"/>
  <c r="F129" i="38"/>
  <c r="R130" i="38"/>
  <c r="M130" i="38"/>
  <c r="R129" i="38"/>
  <c r="I129" i="38"/>
  <c r="K85" i="46"/>
  <c r="H426" i="62"/>
  <c r="H37" i="62"/>
  <c r="H40" i="62"/>
  <c r="J23" i="62"/>
  <c r="K62" i="46"/>
  <c r="K71" i="46" s="1"/>
  <c r="K74" i="46" s="1"/>
  <c r="K77" i="46" s="1"/>
  <c r="I8" i="63"/>
  <c r="L81" i="46" s="1"/>
  <c r="L10" i="62"/>
  <c r="K106" i="62"/>
  <c r="K108" i="62" s="1"/>
  <c r="J258" i="62"/>
  <c r="J398" i="62" s="1"/>
  <c r="K120" i="62"/>
  <c r="J137" i="62"/>
  <c r="K86" i="62"/>
  <c r="K238" i="62"/>
  <c r="K134" i="62"/>
  <c r="K21" i="62" s="1"/>
  <c r="J59" i="61" s="1"/>
  <c r="K8" i="34"/>
  <c r="K60" i="34" s="1"/>
  <c r="K45" i="18"/>
  <c r="K9" i="47"/>
  <c r="K8" i="18"/>
  <c r="K8" i="67" s="1"/>
  <c r="K8" i="46"/>
  <c r="L131" i="62" l="1"/>
  <c r="L294" i="62" s="1"/>
  <c r="L130" i="62"/>
  <c r="L293" i="62" s="1"/>
  <c r="L16" i="62"/>
  <c r="L248" i="62"/>
  <c r="L82" i="62"/>
  <c r="L246" i="62" s="1"/>
  <c r="L244" i="62"/>
  <c r="L90" i="62"/>
  <c r="L262" i="62"/>
  <c r="L83" i="62"/>
  <c r="L247" i="62" s="1"/>
  <c r="L245" i="62"/>
  <c r="L89" i="62"/>
  <c r="L252" i="62" s="1"/>
  <c r="I61" i="61"/>
  <c r="K17" i="62"/>
  <c r="J55" i="61" s="1"/>
  <c r="J30" i="67"/>
  <c r="K19" i="62"/>
  <c r="J24" i="67"/>
  <c r="J405" i="62"/>
  <c r="J38" i="62" s="1"/>
  <c r="K20" i="62"/>
  <c r="J58" i="61" s="1"/>
  <c r="J25" i="67"/>
  <c r="I37" i="67"/>
  <c r="I34" i="67"/>
  <c r="K22" i="62"/>
  <c r="J60" i="61" s="1"/>
  <c r="J26" i="67"/>
  <c r="I28" i="67"/>
  <c r="I32" i="67"/>
  <c r="I35" i="67"/>
  <c r="K114" i="67"/>
  <c r="I425" i="62"/>
  <c r="I461" i="62" s="1"/>
  <c r="G37" i="62"/>
  <c r="G40" i="62"/>
  <c r="G426" i="62"/>
  <c r="L254" i="62"/>
  <c r="I12" i="34"/>
  <c r="L51" i="62"/>
  <c r="L299" i="62"/>
  <c r="J27" i="62"/>
  <c r="I21" i="67" s="1"/>
  <c r="I10" i="67" s="1"/>
  <c r="I94" i="61"/>
  <c r="J400" i="62"/>
  <c r="L7" i="18"/>
  <c r="L7" i="67" s="1"/>
  <c r="I7" i="63"/>
  <c r="L80" i="46" s="1"/>
  <c r="F44" i="18"/>
  <c r="F76" i="67" s="1"/>
  <c r="G42" i="62"/>
  <c r="C12" i="63" s="1"/>
  <c r="G44" i="18"/>
  <c r="H42" i="62"/>
  <c r="I23" i="34"/>
  <c r="I38" i="34"/>
  <c r="I40" i="34"/>
  <c r="I22" i="34"/>
  <c r="J459" i="62"/>
  <c r="I17" i="34"/>
  <c r="I39" i="34"/>
  <c r="J417" i="62"/>
  <c r="L7" i="34"/>
  <c r="M10" i="62"/>
  <c r="K271" i="62"/>
  <c r="K283" i="62"/>
  <c r="K136" i="62"/>
  <c r="K239" i="62" s="1"/>
  <c r="K394" i="62"/>
  <c r="L111" i="62"/>
  <c r="L274" i="62" s="1"/>
  <c r="L112" i="62"/>
  <c r="L275" i="62" s="1"/>
  <c r="L113" i="62"/>
  <c r="L276" i="62" s="1"/>
  <c r="L114" i="62"/>
  <c r="L277" i="62" s="1"/>
  <c r="L115" i="62"/>
  <c r="L278" i="62" s="1"/>
  <c r="L116" i="62"/>
  <c r="L279" i="62" s="1"/>
  <c r="L117" i="62"/>
  <c r="L280" i="62" s="1"/>
  <c r="L118" i="62"/>
  <c r="L281" i="62" s="1"/>
  <c r="L119" i="62"/>
  <c r="L282" i="62" s="1"/>
  <c r="L263" i="62"/>
  <c r="L264" i="62"/>
  <c r="L265" i="62"/>
  <c r="L101" i="62"/>
  <c r="L266" i="62" s="1"/>
  <c r="L102" i="62"/>
  <c r="L267" i="62" s="1"/>
  <c r="L103" i="62"/>
  <c r="L268" i="62" s="1"/>
  <c r="L104" i="62"/>
  <c r="L269" i="62" s="1"/>
  <c r="L105" i="62"/>
  <c r="L270" i="62" s="1"/>
  <c r="L253" i="62"/>
  <c r="L287" i="62"/>
  <c r="L126" i="62"/>
  <c r="L289" i="62" s="1"/>
  <c r="L291" i="62"/>
  <c r="L144" i="62"/>
  <c r="L300" i="62" s="1"/>
  <c r="L145" i="62"/>
  <c r="L301" i="62" s="1"/>
  <c r="L165" i="62"/>
  <c r="L321" i="62" s="1"/>
  <c r="L255" i="62"/>
  <c r="L303" i="62"/>
  <c r="L304" i="62"/>
  <c r="L305" i="62"/>
  <c r="L150" i="62"/>
  <c r="L306" i="62" s="1"/>
  <c r="L307" i="62"/>
  <c r="L154" i="62"/>
  <c r="L310" i="62" s="1"/>
  <c r="L156" i="62"/>
  <c r="L312" i="62" s="1"/>
  <c r="L183" i="62"/>
  <c r="L339" i="62" s="1"/>
  <c r="L184" i="62"/>
  <c r="L340" i="62" s="1"/>
  <c r="L185" i="62"/>
  <c r="L341" i="62" s="1"/>
  <c r="L186" i="62"/>
  <c r="L342" i="62" s="1"/>
  <c r="L187" i="62"/>
  <c r="L343" i="62" s="1"/>
  <c r="L208" i="62"/>
  <c r="L364" i="62" s="1"/>
  <c r="L209" i="62"/>
  <c r="L365" i="62" s="1"/>
  <c r="L210" i="62"/>
  <c r="L366" i="62" s="1"/>
  <c r="L211" i="62"/>
  <c r="L367" i="62" s="1"/>
  <c r="L212" i="62"/>
  <c r="L368" i="62" s="1"/>
  <c r="L232" i="62"/>
  <c r="L388" i="62" s="1"/>
  <c r="L233" i="62"/>
  <c r="L389" i="62" s="1"/>
  <c r="L234" i="62"/>
  <c r="L390" i="62" s="1"/>
  <c r="L235" i="62"/>
  <c r="L391" i="62" s="1"/>
  <c r="L236" i="62"/>
  <c r="L392" i="62" s="1"/>
  <c r="L127" i="62"/>
  <c r="L290" i="62" s="1"/>
  <c r="L129" i="62"/>
  <c r="L292" i="62" s="1"/>
  <c r="L311" i="62"/>
  <c r="L316" i="62"/>
  <c r="L162" i="62"/>
  <c r="L318" i="62" s="1"/>
  <c r="L166" i="62"/>
  <c r="L322" i="62" s="1"/>
  <c r="L167" i="62"/>
  <c r="L323" i="62" s="1"/>
  <c r="L168" i="62"/>
  <c r="L324" i="62" s="1"/>
  <c r="L169" i="62"/>
  <c r="L325" i="62" s="1"/>
  <c r="L189" i="62"/>
  <c r="L345" i="62" s="1"/>
  <c r="L190" i="62"/>
  <c r="L346" i="62" s="1"/>
  <c r="L191" i="62"/>
  <c r="L347" i="62" s="1"/>
  <c r="L192" i="62"/>
  <c r="L348" i="62" s="1"/>
  <c r="L193" i="62"/>
  <c r="L349" i="62" s="1"/>
  <c r="L194" i="62"/>
  <c r="L350" i="62" s="1"/>
  <c r="L132" i="62"/>
  <c r="L295" i="62" s="1"/>
  <c r="L309" i="62"/>
  <c r="L163" i="62"/>
  <c r="L319" i="62" s="1"/>
  <c r="L173" i="62"/>
  <c r="L329" i="62" s="1"/>
  <c r="L180" i="62"/>
  <c r="L336" i="62" s="1"/>
  <c r="L196" i="62"/>
  <c r="L352" i="62" s="1"/>
  <c r="L200" i="62"/>
  <c r="L356" i="62" s="1"/>
  <c r="L203" i="62"/>
  <c r="L359" i="62" s="1"/>
  <c r="L214" i="62"/>
  <c r="L370" i="62" s="1"/>
  <c r="L216" i="62"/>
  <c r="L372" i="62" s="1"/>
  <c r="L218" i="62"/>
  <c r="L374" i="62" s="1"/>
  <c r="L220" i="62"/>
  <c r="L376" i="62" s="1"/>
  <c r="L224" i="62"/>
  <c r="L380" i="62" s="1"/>
  <c r="L226" i="62"/>
  <c r="L382" i="62" s="1"/>
  <c r="L228" i="62"/>
  <c r="L384" i="62" s="1"/>
  <c r="L230" i="62"/>
  <c r="L386" i="62" s="1"/>
  <c r="L286" i="62"/>
  <c r="L288" i="62"/>
  <c r="L313" i="62"/>
  <c r="L317" i="62"/>
  <c r="L174" i="62"/>
  <c r="L330" i="62" s="1"/>
  <c r="L177" i="62"/>
  <c r="L333" i="62" s="1"/>
  <c r="L181" i="62"/>
  <c r="L337" i="62" s="1"/>
  <c r="L197" i="62"/>
  <c r="L353" i="62" s="1"/>
  <c r="L204" i="62"/>
  <c r="L360" i="62" s="1"/>
  <c r="L223" i="62"/>
  <c r="L379" i="62" s="1"/>
  <c r="L133" i="62"/>
  <c r="L296" i="62" s="1"/>
  <c r="L215" i="62"/>
  <c r="L371" i="62" s="1"/>
  <c r="L315" i="62"/>
  <c r="L172" i="62"/>
  <c r="L328" i="62" s="1"/>
  <c r="L199" i="62"/>
  <c r="L355" i="62" s="1"/>
  <c r="L179" i="62"/>
  <c r="L335" i="62" s="1"/>
  <c r="L202" i="62"/>
  <c r="L358" i="62" s="1"/>
  <c r="L227" i="62"/>
  <c r="L383" i="62" s="1"/>
  <c r="L229" i="62"/>
  <c r="L385" i="62" s="1"/>
  <c r="L175" i="62"/>
  <c r="L331" i="62" s="1"/>
  <c r="L198" i="62"/>
  <c r="L354" i="62" s="1"/>
  <c r="L205" i="62"/>
  <c r="L361" i="62" s="1"/>
  <c r="L171" i="62"/>
  <c r="L327" i="62" s="1"/>
  <c r="L206" i="62"/>
  <c r="L362" i="62" s="1"/>
  <c r="L221" i="62"/>
  <c r="L377" i="62" s="1"/>
  <c r="L178" i="62"/>
  <c r="L334" i="62" s="1"/>
  <c r="L217" i="62"/>
  <c r="L373" i="62" s="1"/>
  <c r="L222" i="62"/>
  <c r="L378" i="62" s="1"/>
  <c r="K94" i="62"/>
  <c r="K249" i="62"/>
  <c r="K256" i="62"/>
  <c r="L7" i="46"/>
  <c r="M9" i="62"/>
  <c r="M50" i="62" s="1"/>
  <c r="L76" i="46"/>
  <c r="L8" i="46"/>
  <c r="L9" i="47"/>
  <c r="L8" i="18"/>
  <c r="L8" i="67" s="1"/>
  <c r="L8" i="34"/>
  <c r="L60" i="34" s="1"/>
  <c r="K10" i="46"/>
  <c r="J35" i="62" l="1"/>
  <c r="J423" i="62"/>
  <c r="J420" i="62"/>
  <c r="L59" i="34"/>
  <c r="L8" i="47"/>
  <c r="M130" i="62"/>
  <c r="M293" i="62" s="1"/>
  <c r="M131" i="62"/>
  <c r="M294" i="62" s="1"/>
  <c r="C294" i="62" s="1"/>
  <c r="M16" i="62"/>
  <c r="M262" i="62"/>
  <c r="M83" i="62"/>
  <c r="M247" i="62" s="1"/>
  <c r="M245" i="62"/>
  <c r="M89" i="62"/>
  <c r="M252" i="62" s="1"/>
  <c r="M248" i="62"/>
  <c r="M82" i="62"/>
  <c r="M246" i="62" s="1"/>
  <c r="M90" i="62"/>
  <c r="M253" i="62" s="1"/>
  <c r="J57" i="61"/>
  <c r="K31" i="62"/>
  <c r="J38" i="67"/>
  <c r="J39" i="67"/>
  <c r="I22" i="67"/>
  <c r="J27" i="67"/>
  <c r="J36" i="67"/>
  <c r="J31" i="67"/>
  <c r="K18" i="62"/>
  <c r="K23" i="62" s="1"/>
  <c r="J33" i="67"/>
  <c r="J37" i="67" s="1"/>
  <c r="J40" i="67"/>
  <c r="G113" i="67"/>
  <c r="I426" i="62"/>
  <c r="I37" i="62"/>
  <c r="I40" i="62"/>
  <c r="L297" i="62"/>
  <c r="M254" i="62"/>
  <c r="C254" i="62" s="1"/>
  <c r="M244" i="62"/>
  <c r="E14" i="45"/>
  <c r="M202" i="62"/>
  <c r="M358" i="62" s="1"/>
  <c r="M299" i="62"/>
  <c r="K19" i="13"/>
  <c r="K16" i="61" s="1"/>
  <c r="K32" i="61" s="1"/>
  <c r="K21" i="13"/>
  <c r="K29" i="67" s="1"/>
  <c r="L41" i="34"/>
  <c r="J414" i="62"/>
  <c r="J408" i="62"/>
  <c r="J411" i="62"/>
  <c r="J39" i="62" s="1"/>
  <c r="D12" i="63"/>
  <c r="K174" i="61"/>
  <c r="H9" i="63"/>
  <c r="E76" i="46"/>
  <c r="I20" i="63"/>
  <c r="I21" i="63" s="1"/>
  <c r="C38" i="63"/>
  <c r="C14" i="63"/>
  <c r="G44" i="62" s="1"/>
  <c r="H44" i="18"/>
  <c r="I42" i="62"/>
  <c r="E12" i="63" s="1"/>
  <c r="M51" i="62"/>
  <c r="M216" i="62"/>
  <c r="M372" i="62" s="1"/>
  <c r="M315" i="62"/>
  <c r="M210" i="62"/>
  <c r="M366" i="62" s="1"/>
  <c r="M115" i="62"/>
  <c r="M278" i="62" s="1"/>
  <c r="M166" i="62"/>
  <c r="M322" i="62" s="1"/>
  <c r="M190" i="62"/>
  <c r="M346" i="62" s="1"/>
  <c r="M183" i="62"/>
  <c r="M339" i="62" s="1"/>
  <c r="M171" i="62"/>
  <c r="M327" i="62" s="1"/>
  <c r="M229" i="62"/>
  <c r="M385" i="62" s="1"/>
  <c r="M288" i="62"/>
  <c r="M174" i="62"/>
  <c r="M330" i="62" s="1"/>
  <c r="M307" i="62"/>
  <c r="M145" i="62"/>
  <c r="M301" i="62" s="1"/>
  <c r="M311" i="62"/>
  <c r="M223" i="62"/>
  <c r="M379" i="62" s="1"/>
  <c r="M200" i="62"/>
  <c r="M356" i="62" s="1"/>
  <c r="M303" i="62"/>
  <c r="M154" i="62"/>
  <c r="M310" i="62" s="1"/>
  <c r="M227" i="62"/>
  <c r="M383" i="62" s="1"/>
  <c r="M180" i="62"/>
  <c r="M336" i="62" s="1"/>
  <c r="M132" i="62"/>
  <c r="M295" i="62" s="1"/>
  <c r="C295" i="62" s="1"/>
  <c r="M113" i="62"/>
  <c r="M276" i="62" s="1"/>
  <c r="M286" i="62"/>
  <c r="M194" i="62"/>
  <c r="M350" i="62" s="1"/>
  <c r="M101" i="62"/>
  <c r="M266" i="62" s="1"/>
  <c r="M105" i="62"/>
  <c r="M270" i="62" s="1"/>
  <c r="M215" i="62"/>
  <c r="M371" i="62" s="1"/>
  <c r="M217" i="62"/>
  <c r="M373" i="62" s="1"/>
  <c r="M233" i="62"/>
  <c r="M389" i="62" s="1"/>
  <c r="M173" i="62"/>
  <c r="M329" i="62" s="1"/>
  <c r="M211" i="62"/>
  <c r="M367" i="62" s="1"/>
  <c r="M187" i="62"/>
  <c r="M343" i="62" s="1"/>
  <c r="M102" i="62"/>
  <c r="M267" i="62" s="1"/>
  <c r="M206" i="62"/>
  <c r="M362" i="62" s="1"/>
  <c r="M178" i="62"/>
  <c r="M334" i="62" s="1"/>
  <c r="M163" i="62"/>
  <c r="M319" i="62" s="1"/>
  <c r="M119" i="62"/>
  <c r="M282" i="62" s="1"/>
  <c r="M111" i="62"/>
  <c r="M274" i="62" s="1"/>
  <c r="M255" i="62"/>
  <c r="M193" i="62"/>
  <c r="M349" i="62" s="1"/>
  <c r="M197" i="62"/>
  <c r="M353" i="62" s="1"/>
  <c r="M192" i="62"/>
  <c r="M348" i="62" s="1"/>
  <c r="M220" i="62"/>
  <c r="M376" i="62" s="1"/>
  <c r="M168" i="62"/>
  <c r="M324" i="62" s="1"/>
  <c r="M199" i="62"/>
  <c r="M355" i="62" s="1"/>
  <c r="M185" i="62"/>
  <c r="M341" i="62" s="1"/>
  <c r="M263" i="62"/>
  <c r="M204" i="62"/>
  <c r="M360" i="62" s="1"/>
  <c r="M313" i="62"/>
  <c r="M317" i="62"/>
  <c r="M117" i="62"/>
  <c r="M280" i="62" s="1"/>
  <c r="M127" i="62"/>
  <c r="M290" i="62" s="1"/>
  <c r="M189" i="62"/>
  <c r="M345" i="62" s="1"/>
  <c r="M264" i="62"/>
  <c r="M232" i="62"/>
  <c r="M388" i="62" s="1"/>
  <c r="M234" i="62"/>
  <c r="M390" i="62" s="1"/>
  <c r="M191" i="62"/>
  <c r="M347" i="62" s="1"/>
  <c r="M222" i="62"/>
  <c r="M378" i="62" s="1"/>
  <c r="M175" i="62"/>
  <c r="M331" i="62" s="1"/>
  <c r="M235" i="62"/>
  <c r="M391" i="62" s="1"/>
  <c r="M218" i="62"/>
  <c r="M374" i="62" s="1"/>
  <c r="M196" i="62"/>
  <c r="M352" i="62" s="1"/>
  <c r="M167" i="62"/>
  <c r="M323" i="62" s="1"/>
  <c r="M221" i="62"/>
  <c r="M377" i="62" s="1"/>
  <c r="M172" i="62"/>
  <c r="M328" i="62" s="1"/>
  <c r="M103" i="62"/>
  <c r="M268" i="62" s="1"/>
  <c r="M184" i="62"/>
  <c r="M340" i="62" s="1"/>
  <c r="M104" i="62"/>
  <c r="M269" i="62" s="1"/>
  <c r="M230" i="62"/>
  <c r="M386" i="62" s="1"/>
  <c r="M226" i="62"/>
  <c r="M382" i="62" s="1"/>
  <c r="M203" i="62"/>
  <c r="M359" i="62" s="1"/>
  <c r="M179" i="62"/>
  <c r="M335" i="62" s="1"/>
  <c r="M309" i="62"/>
  <c r="M316" i="62"/>
  <c r="M129" i="62"/>
  <c r="M292" i="62" s="1"/>
  <c r="M116" i="62"/>
  <c r="M279" i="62" s="1"/>
  <c r="M112" i="62"/>
  <c r="M275" i="62" s="1"/>
  <c r="M126" i="62"/>
  <c r="M289" i="62" s="1"/>
  <c r="K80" i="61"/>
  <c r="K147" i="61"/>
  <c r="K73" i="61"/>
  <c r="K146" i="61"/>
  <c r="K81" i="61"/>
  <c r="K72" i="61"/>
  <c r="L69" i="61"/>
  <c r="L84" i="61"/>
  <c r="M150" i="62"/>
  <c r="M306" i="62" s="1"/>
  <c r="M208" i="62"/>
  <c r="M364" i="62" s="1"/>
  <c r="M304" i="62"/>
  <c r="M212" i="62"/>
  <c r="M368" i="62" s="1"/>
  <c r="M236" i="62"/>
  <c r="M392" i="62" s="1"/>
  <c r="M198" i="62"/>
  <c r="M354" i="62" s="1"/>
  <c r="M224" i="62"/>
  <c r="M380" i="62" s="1"/>
  <c r="M214" i="62"/>
  <c r="M370" i="62" s="1"/>
  <c r="M169" i="62"/>
  <c r="M325" i="62" s="1"/>
  <c r="M165" i="62"/>
  <c r="M321" i="62" s="1"/>
  <c r="M209" i="62"/>
  <c r="M365" i="62" s="1"/>
  <c r="M305" i="62"/>
  <c r="M186" i="62"/>
  <c r="M342" i="62" s="1"/>
  <c r="M156" i="62"/>
  <c r="M312" i="62" s="1"/>
  <c r="M265" i="62"/>
  <c r="M228" i="62"/>
  <c r="M384" i="62" s="1"/>
  <c r="M205" i="62"/>
  <c r="M361" i="62" s="1"/>
  <c r="M181" i="62"/>
  <c r="M337" i="62" s="1"/>
  <c r="M177" i="62"/>
  <c r="M333" i="62" s="1"/>
  <c r="M144" i="62"/>
  <c r="M300" i="62" s="1"/>
  <c r="M162" i="62"/>
  <c r="M318" i="62" s="1"/>
  <c r="M133" i="62"/>
  <c r="M296" i="62" s="1"/>
  <c r="C296" i="62" s="1"/>
  <c r="M118" i="62"/>
  <c r="M281" i="62" s="1"/>
  <c r="M114" i="62"/>
  <c r="M277" i="62" s="1"/>
  <c r="M291" i="62"/>
  <c r="M287" i="62"/>
  <c r="L63" i="46"/>
  <c r="L62" i="46"/>
  <c r="K258" i="62"/>
  <c r="K398" i="62" s="1"/>
  <c r="L106" i="62"/>
  <c r="L108" i="62" s="1"/>
  <c r="L120" i="62"/>
  <c r="L134" i="62"/>
  <c r="L21" i="62" s="1"/>
  <c r="K59" i="61" s="1"/>
  <c r="K137" i="62"/>
  <c r="L238" i="62"/>
  <c r="L86" i="62"/>
  <c r="K9" i="46"/>
  <c r="L4" i="53"/>
  <c r="L45" i="18"/>
  <c r="K95" i="13"/>
  <c r="K45" i="13"/>
  <c r="K11" i="34"/>
  <c r="J56" i="61" l="1"/>
  <c r="J61" i="61" s="1"/>
  <c r="L20" i="62"/>
  <c r="K58" i="61" s="1"/>
  <c r="K25" i="67"/>
  <c r="I48" i="67"/>
  <c r="J34" i="67"/>
  <c r="K405" i="62"/>
  <c r="K38" i="62" s="1"/>
  <c r="J32" i="67"/>
  <c r="J35" i="67"/>
  <c r="J28" i="67"/>
  <c r="L17" i="62"/>
  <c r="K55" i="61" s="1"/>
  <c r="K30" i="67"/>
  <c r="L22" i="62"/>
  <c r="K60" i="61" s="1"/>
  <c r="K26" i="67"/>
  <c r="L19" i="62"/>
  <c r="K24" i="67"/>
  <c r="L114" i="67"/>
  <c r="C114" i="67" s="1"/>
  <c r="H113" i="67"/>
  <c r="K30" i="34"/>
  <c r="K28" i="34"/>
  <c r="K31" i="34"/>
  <c r="K29" i="34"/>
  <c r="K27" i="34"/>
  <c r="L19" i="34"/>
  <c r="M297" i="62"/>
  <c r="J12" i="34"/>
  <c r="D45" i="18"/>
  <c r="H33" i="63"/>
  <c r="H31" i="63"/>
  <c r="H21" i="63"/>
  <c r="K86" i="46" s="1"/>
  <c r="K27" i="62"/>
  <c r="J21" i="67" s="1"/>
  <c r="J10" i="67" s="1"/>
  <c r="J425" i="62"/>
  <c r="J461" i="62" s="1"/>
  <c r="J94" i="61"/>
  <c r="K400" i="62"/>
  <c r="K173" i="61"/>
  <c r="J39" i="34"/>
  <c r="K175" i="61"/>
  <c r="L177" i="61"/>
  <c r="L30" i="62"/>
  <c r="K61" i="34"/>
  <c r="K82" i="46"/>
  <c r="F68" i="34"/>
  <c r="G46" i="62"/>
  <c r="F89" i="46"/>
  <c r="F51" i="61"/>
  <c r="L85" i="46"/>
  <c r="L86" i="46"/>
  <c r="B20" i="63"/>
  <c r="J22" i="34"/>
  <c r="J40" i="34"/>
  <c r="K459" i="62"/>
  <c r="J17" i="34"/>
  <c r="J38" i="34"/>
  <c r="J23" i="34"/>
  <c r="K417" i="62"/>
  <c r="C334" i="62"/>
  <c r="C371" i="62"/>
  <c r="C336" i="62"/>
  <c r="C379" i="62"/>
  <c r="C300" i="62"/>
  <c r="C306" i="62"/>
  <c r="C305" i="62"/>
  <c r="C329" i="62"/>
  <c r="C391" i="62"/>
  <c r="C307" i="62"/>
  <c r="C269" i="62"/>
  <c r="C356" i="62"/>
  <c r="C345" i="62"/>
  <c r="C318" i="62"/>
  <c r="C361" i="62"/>
  <c r="C342" i="62"/>
  <c r="C325" i="62"/>
  <c r="C262" i="62"/>
  <c r="C299" i="62"/>
  <c r="C312" i="62"/>
  <c r="K151" i="61"/>
  <c r="C246" i="62"/>
  <c r="C360" i="62"/>
  <c r="C293" i="62"/>
  <c r="M120" i="62"/>
  <c r="C263" i="62"/>
  <c r="M86" i="62"/>
  <c r="C335" i="62"/>
  <c r="C354" i="62"/>
  <c r="C364" i="62"/>
  <c r="M238" i="62"/>
  <c r="M134" i="62"/>
  <c r="M21" i="62" s="1"/>
  <c r="L59" i="61" s="1"/>
  <c r="M106" i="62"/>
  <c r="M108" i="62" s="1"/>
  <c r="L71" i="46"/>
  <c r="L74" i="46" s="1"/>
  <c r="C277" i="62"/>
  <c r="L394" i="62"/>
  <c r="C370" i="62"/>
  <c r="C265" i="62"/>
  <c r="C367" i="62"/>
  <c r="C352" i="62"/>
  <c r="C343" i="62"/>
  <c r="C337" i="62"/>
  <c r="C341" i="62"/>
  <c r="C368" i="62"/>
  <c r="C346" i="62"/>
  <c r="C304" i="62"/>
  <c r="C377" i="62"/>
  <c r="C386" i="62"/>
  <c r="C276" i="62"/>
  <c r="C380" i="62"/>
  <c r="C282" i="62"/>
  <c r="C287" i="62"/>
  <c r="C322" i="62"/>
  <c r="C373" i="62"/>
  <c r="L94" i="62"/>
  <c r="C264" i="62"/>
  <c r="C309" i="62"/>
  <c r="C288" i="62"/>
  <c r="C383" i="62"/>
  <c r="C267" i="62"/>
  <c r="C316" i="62"/>
  <c r="C286" i="62"/>
  <c r="C315" i="62"/>
  <c r="L283" i="62"/>
  <c r="C274" i="62"/>
  <c r="C278" i="62"/>
  <c r="C339" i="62"/>
  <c r="C319" i="62"/>
  <c r="C313" i="62"/>
  <c r="C327" i="62"/>
  <c r="C253" i="62"/>
  <c r="C279" i="62"/>
  <c r="L271" i="62"/>
  <c r="C266" i="62"/>
  <c r="C301" i="62"/>
  <c r="C359" i="62"/>
  <c r="C353" i="62"/>
  <c r="C362" i="62"/>
  <c r="C291" i="62"/>
  <c r="C347" i="62"/>
  <c r="C358" i="62"/>
  <c r="C255" i="62"/>
  <c r="C366" i="62"/>
  <c r="C372" i="62"/>
  <c r="C374" i="62"/>
  <c r="C355" i="62"/>
  <c r="M256" i="62"/>
  <c r="C270" i="62"/>
  <c r="C350" i="62"/>
  <c r="C365" i="62"/>
  <c r="L249" i="62"/>
  <c r="C244" i="62"/>
  <c r="C268" i="62"/>
  <c r="C333" i="62"/>
  <c r="C281" i="62"/>
  <c r="L256" i="62"/>
  <c r="C252" i="62"/>
  <c r="C348" i="62"/>
  <c r="C382" i="62"/>
  <c r="C328" i="62"/>
  <c r="C388" i="62"/>
  <c r="C245" i="62"/>
  <c r="C390" i="62"/>
  <c r="C384" i="62"/>
  <c r="C385" i="62"/>
  <c r="C247" i="62"/>
  <c r="C330" i="62"/>
  <c r="L136" i="62"/>
  <c r="L239" i="62" s="1"/>
  <c r="C289" i="62"/>
  <c r="C340" i="62"/>
  <c r="C317" i="62"/>
  <c r="C331" i="62"/>
  <c r="C392" i="62"/>
  <c r="L5" i="53"/>
  <c r="M16" i="48"/>
  <c r="M32" i="48" s="1"/>
  <c r="I12" i="41"/>
  <c r="I28" i="41" s="1"/>
  <c r="L26" i="34"/>
  <c r="C45" i="18"/>
  <c r="K35" i="62" l="1"/>
  <c r="K420" i="62"/>
  <c r="K423" i="62"/>
  <c r="L180" i="61"/>
  <c r="L50" i="18" s="1"/>
  <c r="L178" i="61"/>
  <c r="K38" i="67"/>
  <c r="K57" i="61"/>
  <c r="L31" i="62"/>
  <c r="L32" i="62" s="1"/>
  <c r="M19" i="62"/>
  <c r="L24" i="67"/>
  <c r="C24" i="67" s="1"/>
  <c r="M20" i="62"/>
  <c r="L58" i="61" s="1"/>
  <c r="L25" i="67"/>
  <c r="K40" i="67"/>
  <c r="J22" i="67"/>
  <c r="L18" i="62"/>
  <c r="K56" i="61" s="1"/>
  <c r="K33" i="67"/>
  <c r="M22" i="62"/>
  <c r="L60" i="61" s="1"/>
  <c r="L26" i="67"/>
  <c r="M17" i="62"/>
  <c r="L55" i="61" s="1"/>
  <c r="L30" i="67"/>
  <c r="C30" i="67" s="1"/>
  <c r="K27" i="67"/>
  <c r="K36" i="67"/>
  <c r="K31" i="67"/>
  <c r="K39" i="67"/>
  <c r="K411" i="62"/>
  <c r="K39" i="62" s="1"/>
  <c r="K414" i="62"/>
  <c r="K408" i="62"/>
  <c r="I28" i="63"/>
  <c r="E85" i="46"/>
  <c r="M94" i="62"/>
  <c r="J40" i="62"/>
  <c r="J37" i="62"/>
  <c r="C292" i="62"/>
  <c r="C321" i="62"/>
  <c r="M283" i="62"/>
  <c r="C283" i="62" s="1"/>
  <c r="C311" i="62"/>
  <c r="M271" i="62"/>
  <c r="C280" i="62"/>
  <c r="C275" i="62"/>
  <c r="C310" i="62"/>
  <c r="C324" i="62"/>
  <c r="C389" i="62"/>
  <c r="C378" i="62"/>
  <c r="C376" i="62"/>
  <c r="C303" i="62"/>
  <c r="C323" i="62"/>
  <c r="C297" i="62"/>
  <c r="C290" i="62"/>
  <c r="M249" i="62"/>
  <c r="C349" i="62"/>
  <c r="M394" i="62"/>
  <c r="M136" i="62"/>
  <c r="M239" i="62" s="1"/>
  <c r="C248" i="62"/>
  <c r="E74" i="46"/>
  <c r="L77" i="46"/>
  <c r="J426" i="62"/>
  <c r="L258" i="62"/>
  <c r="L398" i="62" s="1"/>
  <c r="L137" i="62"/>
  <c r="C256" i="62"/>
  <c r="K33" i="18"/>
  <c r="K71" i="67" s="1"/>
  <c r="K31" i="18"/>
  <c r="K27" i="18"/>
  <c r="K65" i="67" s="1"/>
  <c r="K25" i="18"/>
  <c r="K7" i="18"/>
  <c r="K7" i="67" s="1"/>
  <c r="K6" i="18"/>
  <c r="J33" i="18"/>
  <c r="J71" i="67" s="1"/>
  <c r="J31" i="18"/>
  <c r="J27" i="18"/>
  <c r="J65" i="67" s="1"/>
  <c r="J25" i="18"/>
  <c r="J7" i="18"/>
  <c r="J7" i="67" s="1"/>
  <c r="J6" i="18"/>
  <c r="L37" i="34"/>
  <c r="L33" i="34"/>
  <c r="L32" i="34"/>
  <c r="K37" i="34"/>
  <c r="K33" i="34"/>
  <c r="K32" i="34"/>
  <c r="J10" i="46"/>
  <c r="J14" i="67" l="1"/>
  <c r="J75" i="67"/>
  <c r="J51" i="67"/>
  <c r="J112" i="67"/>
  <c r="L23" i="62"/>
  <c r="L417" i="62" s="1"/>
  <c r="K14" i="67"/>
  <c r="K75" i="67"/>
  <c r="K112" i="67"/>
  <c r="K51" i="67"/>
  <c r="K61" i="61"/>
  <c r="L57" i="61"/>
  <c r="M31" i="62"/>
  <c r="M32" i="62" s="1"/>
  <c r="L38" i="67"/>
  <c r="C38" i="67" s="1"/>
  <c r="L40" i="67"/>
  <c r="C40" i="67" s="1"/>
  <c r="C26" i="67"/>
  <c r="L39" i="67"/>
  <c r="C39" i="67" s="1"/>
  <c r="C25" i="67"/>
  <c r="M18" i="62"/>
  <c r="L56" i="61" s="1"/>
  <c r="L33" i="67"/>
  <c r="C33" i="67" s="1"/>
  <c r="K32" i="67"/>
  <c r="K35" i="67"/>
  <c r="K28" i="67"/>
  <c r="L36" i="67"/>
  <c r="C36" i="67" s="1"/>
  <c r="L31" i="67"/>
  <c r="C31" i="67" s="1"/>
  <c r="K37" i="67"/>
  <c r="K34" i="67"/>
  <c r="J48" i="67"/>
  <c r="L27" i="67"/>
  <c r="J108" i="67"/>
  <c r="K104" i="67"/>
  <c r="L119" i="67"/>
  <c r="K106" i="67"/>
  <c r="J104" i="67"/>
  <c r="K108" i="67"/>
  <c r="J103" i="67"/>
  <c r="J63" i="67"/>
  <c r="K14" i="18"/>
  <c r="K91" i="67"/>
  <c r="J14" i="18"/>
  <c r="J91" i="67"/>
  <c r="J106" i="67"/>
  <c r="K103" i="67"/>
  <c r="K63" i="67"/>
  <c r="C271" i="62"/>
  <c r="M258" i="62"/>
  <c r="M398" i="62" s="1"/>
  <c r="I34" i="63"/>
  <c r="I35" i="63" s="1"/>
  <c r="I29" i="63"/>
  <c r="K41" i="34"/>
  <c r="J19" i="13"/>
  <c r="J16" i="61" s="1"/>
  <c r="J32" i="61" s="1"/>
  <c r="J21" i="13"/>
  <c r="J29" i="67" s="1"/>
  <c r="K425" i="62"/>
  <c r="K461" i="62" s="1"/>
  <c r="C394" i="62"/>
  <c r="L400" i="62"/>
  <c r="K43" i="18"/>
  <c r="J43" i="18"/>
  <c r="J175" i="61"/>
  <c r="G9" i="63"/>
  <c r="I44" i="18"/>
  <c r="J42" i="62"/>
  <c r="C249" i="62"/>
  <c r="M137" i="62"/>
  <c r="J73" i="61"/>
  <c r="J146" i="61"/>
  <c r="J147" i="61"/>
  <c r="J72" i="61"/>
  <c r="J80" i="61"/>
  <c r="J81" i="61"/>
  <c r="K84" i="61"/>
  <c r="K69" i="61"/>
  <c r="J9" i="46"/>
  <c r="K4" i="53"/>
  <c r="J95" i="13"/>
  <c r="J45" i="13"/>
  <c r="J11" i="34"/>
  <c r="J130" i="13"/>
  <c r="J128" i="13"/>
  <c r="J19" i="18" s="1"/>
  <c r="K131" i="13"/>
  <c r="K22" i="18" s="1"/>
  <c r="K128" i="13"/>
  <c r="K19" i="18" s="1"/>
  <c r="K125" i="13"/>
  <c r="K17" i="18" s="1"/>
  <c r="J126" i="13"/>
  <c r="J18" i="18" s="1"/>
  <c r="J125" i="13"/>
  <c r="J17" i="18" s="1"/>
  <c r="K126" i="13"/>
  <c r="K18" i="18" s="1"/>
  <c r="K130" i="13"/>
  <c r="K132" i="13"/>
  <c r="K23" i="18" s="1"/>
  <c r="K136" i="13"/>
  <c r="J131" i="13"/>
  <c r="J22" i="18" s="1"/>
  <c r="J136" i="13"/>
  <c r="J132" i="13"/>
  <c r="J23" i="18" s="1"/>
  <c r="K12" i="34" l="1"/>
  <c r="L405" i="62"/>
  <c r="L38" i="62" s="1"/>
  <c r="K94" i="61"/>
  <c r="K39" i="34"/>
  <c r="K40" i="34"/>
  <c r="K17" i="34"/>
  <c r="L459" i="62"/>
  <c r="K38" i="34"/>
  <c r="L27" i="62"/>
  <c r="K21" i="67" s="1"/>
  <c r="K10" i="67" s="1"/>
  <c r="K23" i="34"/>
  <c r="K22" i="34"/>
  <c r="L423" i="62"/>
  <c r="L420" i="62"/>
  <c r="M23" i="62"/>
  <c r="M405" i="62" s="1"/>
  <c r="M38" i="62" s="1"/>
  <c r="L61" i="61"/>
  <c r="L28" i="67"/>
  <c r="C28" i="67" s="1"/>
  <c r="L32" i="67"/>
  <c r="C32" i="67" s="1"/>
  <c r="L35" i="67"/>
  <c r="C35" i="67" s="1"/>
  <c r="L41" i="67"/>
  <c r="C27" i="67"/>
  <c r="L37" i="67"/>
  <c r="C37" i="67" s="1"/>
  <c r="L34" i="67"/>
  <c r="C34" i="67" s="1"/>
  <c r="J101" i="67"/>
  <c r="K96" i="67"/>
  <c r="J100" i="67"/>
  <c r="K97" i="67"/>
  <c r="K41" i="67"/>
  <c r="K98" i="67"/>
  <c r="I113" i="67"/>
  <c r="J96" i="67"/>
  <c r="K100" i="67"/>
  <c r="K101" i="67"/>
  <c r="J97" i="67"/>
  <c r="J41" i="67"/>
  <c r="J98" i="67"/>
  <c r="K21" i="18"/>
  <c r="K143" i="13"/>
  <c r="K144" i="13" s="1"/>
  <c r="J21" i="18"/>
  <c r="J143" i="13"/>
  <c r="J144" i="13" s="1"/>
  <c r="J30" i="34"/>
  <c r="J28" i="34"/>
  <c r="J31" i="34"/>
  <c r="J29" i="34"/>
  <c r="J27" i="34"/>
  <c r="M400" i="62"/>
  <c r="C258" i="62"/>
  <c r="G33" i="63"/>
  <c r="G31" i="63"/>
  <c r="G21" i="63"/>
  <c r="J86" i="46" s="1"/>
  <c r="K19" i="34"/>
  <c r="K177" i="61"/>
  <c r="J174" i="61"/>
  <c r="J173" i="61"/>
  <c r="F12" i="63"/>
  <c r="J9" i="18"/>
  <c r="J12" i="18" s="1"/>
  <c r="K9" i="18"/>
  <c r="K12" i="18" s="1"/>
  <c r="J61" i="34"/>
  <c r="J82" i="46"/>
  <c r="K30" i="62"/>
  <c r="K32" i="62" s="1"/>
  <c r="K426" i="62"/>
  <c r="K37" i="62"/>
  <c r="K40" i="62"/>
  <c r="L414" i="62"/>
  <c r="L35" i="62"/>
  <c r="L408" i="62"/>
  <c r="L411" i="62"/>
  <c r="L39" i="62" s="1"/>
  <c r="J151" i="61"/>
  <c r="J32" i="18"/>
  <c r="J70" i="67" s="1"/>
  <c r="K32" i="18"/>
  <c r="K70" i="67" s="1"/>
  <c r="L16" i="48"/>
  <c r="L32" i="48" s="1"/>
  <c r="H12" i="41"/>
  <c r="H28" i="41" s="1"/>
  <c r="K26" i="34"/>
  <c r="K28" i="18"/>
  <c r="K66" i="67" s="1"/>
  <c r="J28" i="18"/>
  <c r="J66" i="67" s="1"/>
  <c r="K16" i="34"/>
  <c r="L16" i="34"/>
  <c r="K22" i="67" l="1"/>
  <c r="K48" i="67" s="1"/>
  <c r="L94" i="61"/>
  <c r="L17" i="34"/>
  <c r="M417" i="62"/>
  <c r="L23" i="34"/>
  <c r="L40" i="34"/>
  <c r="M459" i="62"/>
  <c r="C459" i="62" s="1"/>
  <c r="M27" i="62"/>
  <c r="L21" i="67" s="1"/>
  <c r="L10" i="67" s="1"/>
  <c r="L38" i="34"/>
  <c r="L22" i="34"/>
  <c r="L39" i="34"/>
  <c r="L12" i="34"/>
  <c r="M420" i="62"/>
  <c r="M423" i="62"/>
  <c r="K180" i="61"/>
  <c r="K50" i="18" s="1"/>
  <c r="K178" i="61"/>
  <c r="K107" i="67"/>
  <c r="J99" i="67"/>
  <c r="J105" i="67"/>
  <c r="J49" i="67"/>
  <c r="J107" i="67"/>
  <c r="K105" i="67"/>
  <c r="K49" i="67"/>
  <c r="K99" i="67"/>
  <c r="C400" i="62"/>
  <c r="M35" i="62"/>
  <c r="C35" i="62" s="1"/>
  <c r="M414" i="62"/>
  <c r="M408" i="62"/>
  <c r="M411" i="62"/>
  <c r="M39" i="62" s="1"/>
  <c r="H28" i="63"/>
  <c r="L425" i="62"/>
  <c r="L461" i="62" s="1"/>
  <c r="J44" i="18"/>
  <c r="K42" i="62"/>
  <c r="H31" i="18"/>
  <c r="I31" i="18"/>
  <c r="L22" i="67" l="1"/>
  <c r="L48" i="67" s="1"/>
  <c r="C48" i="67" s="1"/>
  <c r="C21" i="67"/>
  <c r="J113" i="67"/>
  <c r="K119" i="67"/>
  <c r="I106" i="67"/>
  <c r="H106" i="67"/>
  <c r="M425" i="62"/>
  <c r="M461" i="62" s="1"/>
  <c r="M42" i="62" s="1"/>
  <c r="I12" i="63" s="1"/>
  <c r="H34" i="63"/>
  <c r="H35" i="63" s="1"/>
  <c r="H29" i="63"/>
  <c r="D31" i="18"/>
  <c r="G12" i="63"/>
  <c r="M35" i="53"/>
  <c r="M36" i="53" s="1"/>
  <c r="M37" i="53" s="1"/>
  <c r="M38" i="53" s="1"/>
  <c r="L37" i="62"/>
  <c r="L40" i="62"/>
  <c r="L426" i="62"/>
  <c r="C31" i="18"/>
  <c r="C22" i="67" l="1"/>
  <c r="C106" i="67"/>
  <c r="M37" i="62"/>
  <c r="C37" i="62" s="1"/>
  <c r="M40" i="62"/>
  <c r="M426" i="62"/>
  <c r="G13" i="63"/>
  <c r="K43" i="62" s="1"/>
  <c r="I13" i="63"/>
  <c r="M43" i="62" s="1"/>
  <c r="M39" i="53"/>
  <c r="M40" i="53"/>
  <c r="K44" i="18"/>
  <c r="L42" i="62"/>
  <c r="C461" i="62"/>
  <c r="L44" i="18"/>
  <c r="L113" i="67" l="1"/>
  <c r="K113" i="67"/>
  <c r="D44" i="18"/>
  <c r="H12" i="63"/>
  <c r="C42" i="62"/>
  <c r="E45" i="38"/>
  <c r="E48" i="38"/>
  <c r="E50" i="38"/>
  <c r="D50" i="38" s="1"/>
  <c r="E19" i="38"/>
  <c r="E22" i="38"/>
  <c r="E23" i="38"/>
  <c r="E25" i="38"/>
  <c r="E26" i="38"/>
  <c r="G34" i="38"/>
  <c r="C113" i="67" l="1"/>
  <c r="H13" i="63"/>
  <c r="L43" i="62" s="1"/>
  <c r="B12" i="63"/>
  <c r="G89" i="38"/>
  <c r="G113" i="38"/>
  <c r="G115" i="38"/>
  <c r="G118" i="38"/>
  <c r="G117" i="38"/>
  <c r="G110" i="38"/>
  <c r="G108" i="38"/>
  <c r="G105" i="38"/>
  <c r="G102" i="38"/>
  <c r="G98" i="38"/>
  <c r="G114" i="38"/>
  <c r="G112" i="38"/>
  <c r="G111" i="38"/>
  <c r="G109" i="38"/>
  <c r="G107" i="38"/>
  <c r="G104" i="38"/>
  <c r="G101" i="38"/>
  <c r="G97" i="38"/>
  <c r="G116" i="38"/>
  <c r="G106" i="38"/>
  <c r="G103" i="38"/>
  <c r="G100" i="38"/>
  <c r="G99" i="38"/>
  <c r="D45" i="38"/>
  <c r="G86" i="38"/>
  <c r="G90" i="38"/>
  <c r="G88" i="38"/>
  <c r="G87" i="38"/>
  <c r="G85" i="38"/>
  <c r="G84" i="38"/>
  <c r="G83" i="38"/>
  <c r="G82" i="38"/>
  <c r="G81" i="38"/>
  <c r="G80" i="38"/>
  <c r="G79" i="38"/>
  <c r="G78" i="38"/>
  <c r="G77" i="38"/>
  <c r="G76" i="38"/>
  <c r="G75" i="38"/>
  <c r="G91" i="38" l="1"/>
  <c r="J32" i="34"/>
  <c r="I32" i="34"/>
  <c r="K39" i="45" l="1"/>
  <c r="H7" i="18"/>
  <c r="H7" i="67" s="1"/>
  <c r="I7" i="18"/>
  <c r="I7" i="67" s="1"/>
  <c r="H25" i="18"/>
  <c r="I25" i="18"/>
  <c r="H27" i="18"/>
  <c r="H65" i="67" s="1"/>
  <c r="I27" i="18"/>
  <c r="I65" i="67" s="1"/>
  <c r="H33" i="18"/>
  <c r="H71" i="67" s="1"/>
  <c r="I33" i="18"/>
  <c r="I71" i="67" s="1"/>
  <c r="H6" i="18"/>
  <c r="I6" i="18"/>
  <c r="I33" i="34"/>
  <c r="J33" i="34"/>
  <c r="H37" i="34"/>
  <c r="I37" i="34"/>
  <c r="J37" i="34"/>
  <c r="H10" i="46"/>
  <c r="I10" i="46"/>
  <c r="I14" i="67" l="1"/>
  <c r="I112" i="67"/>
  <c r="I75" i="67"/>
  <c r="I51" i="67"/>
  <c r="H14" i="67"/>
  <c r="H112" i="67"/>
  <c r="H75" i="67"/>
  <c r="H51" i="67"/>
  <c r="I108" i="67"/>
  <c r="H108" i="67"/>
  <c r="H14" i="18"/>
  <c r="H91" i="67"/>
  <c r="H104" i="67"/>
  <c r="I103" i="67"/>
  <c r="I63" i="67"/>
  <c r="H103" i="67"/>
  <c r="H63" i="67"/>
  <c r="I14" i="18"/>
  <c r="I91" i="67"/>
  <c r="I104" i="67"/>
  <c r="G10" i="46"/>
  <c r="H19" i="13"/>
  <c r="H16" i="61" s="1"/>
  <c r="H32" i="61" s="1"/>
  <c r="H41" i="34"/>
  <c r="H21" i="13"/>
  <c r="H29" i="67" s="1"/>
  <c r="G21" i="13"/>
  <c r="G29" i="67" s="1"/>
  <c r="G16" i="61"/>
  <c r="G32" i="61" s="1"/>
  <c r="I19" i="13"/>
  <c r="I16" i="61" s="1"/>
  <c r="I32" i="61" s="1"/>
  <c r="I41" i="34"/>
  <c r="I21" i="13"/>
  <c r="I29" i="67" s="1"/>
  <c r="J41" i="34"/>
  <c r="D33" i="18"/>
  <c r="D25" i="18"/>
  <c r="D27" i="18"/>
  <c r="D9" i="63"/>
  <c r="H43" i="18"/>
  <c r="I43" i="18"/>
  <c r="E9" i="63"/>
  <c r="I173" i="61"/>
  <c r="F9" i="63"/>
  <c r="H81" i="61"/>
  <c r="H80" i="61"/>
  <c r="H147" i="61"/>
  <c r="H73" i="61"/>
  <c r="H146" i="61"/>
  <c r="H72" i="61"/>
  <c r="H84" i="61"/>
  <c r="G80" i="61"/>
  <c r="G73" i="61"/>
  <c r="G146" i="61"/>
  <c r="G72" i="61"/>
  <c r="G84" i="61"/>
  <c r="G81" i="61"/>
  <c r="I72" i="61"/>
  <c r="I84" i="61"/>
  <c r="I69" i="61"/>
  <c r="I81" i="61"/>
  <c r="I146" i="61"/>
  <c r="I80" i="61"/>
  <c r="I147" i="61"/>
  <c r="I73" i="61"/>
  <c r="J84" i="61"/>
  <c r="J69" i="61"/>
  <c r="C27" i="18"/>
  <c r="C33" i="18"/>
  <c r="C25" i="18"/>
  <c r="H9" i="46"/>
  <c r="I4" i="53"/>
  <c r="G9" i="46"/>
  <c r="H4" i="53"/>
  <c r="I9" i="46"/>
  <c r="J4" i="53"/>
  <c r="I39" i="45"/>
  <c r="J39" i="45"/>
  <c r="I45" i="13"/>
  <c r="I95" i="13"/>
  <c r="G95" i="13"/>
  <c r="G45" i="13"/>
  <c r="H45" i="13"/>
  <c r="H95" i="13"/>
  <c r="H11" i="34"/>
  <c r="G11" i="34"/>
  <c r="G41" i="34"/>
  <c r="I11" i="34"/>
  <c r="H128" i="13"/>
  <c r="H19" i="18" s="1"/>
  <c r="H131" i="13"/>
  <c r="H22" i="18" s="1"/>
  <c r="H132" i="13"/>
  <c r="I128" i="13"/>
  <c r="I19" i="18" s="1"/>
  <c r="I130" i="13"/>
  <c r="H130" i="13"/>
  <c r="I126" i="13"/>
  <c r="I18" i="18" s="1"/>
  <c r="I125" i="13"/>
  <c r="H125" i="13"/>
  <c r="H126" i="13"/>
  <c r="H18" i="18" s="1"/>
  <c r="C19" i="38"/>
  <c r="I132" i="13"/>
  <c r="I23" i="18" s="1"/>
  <c r="C25" i="38"/>
  <c r="D25" i="38" s="1"/>
  <c r="I136" i="13"/>
  <c r="C41" i="38"/>
  <c r="D41" i="38" s="1"/>
  <c r="G136" i="13"/>
  <c r="G143" i="13" s="1"/>
  <c r="H136" i="13"/>
  <c r="I131" i="13"/>
  <c r="H171" i="61" l="1"/>
  <c r="H175" i="61" s="1"/>
  <c r="G145" i="13"/>
  <c r="G144" i="13"/>
  <c r="D19" i="38"/>
  <c r="C108" i="67"/>
  <c r="I101" i="67"/>
  <c r="H98" i="67"/>
  <c r="C104" i="67"/>
  <c r="H97" i="67"/>
  <c r="H41" i="67"/>
  <c r="H100" i="67"/>
  <c r="I97" i="67"/>
  <c r="I41" i="67"/>
  <c r="I98" i="67"/>
  <c r="C103" i="67"/>
  <c r="H143" i="13"/>
  <c r="H144" i="13" s="1"/>
  <c r="I21" i="18"/>
  <c r="I143" i="13"/>
  <c r="I144" i="13" s="1"/>
  <c r="H31" i="34"/>
  <c r="H29" i="34"/>
  <c r="H27" i="34"/>
  <c r="H30" i="34"/>
  <c r="H28" i="34"/>
  <c r="I31" i="34"/>
  <c r="I29" i="34"/>
  <c r="I27" i="34"/>
  <c r="I30" i="34"/>
  <c r="I28" i="34"/>
  <c r="G30" i="34"/>
  <c r="G28" i="34"/>
  <c r="G31" i="34"/>
  <c r="G29" i="34"/>
  <c r="G27" i="34"/>
  <c r="G19" i="34"/>
  <c r="E33" i="63"/>
  <c r="E31" i="63"/>
  <c r="E21" i="63"/>
  <c r="H86" i="46" s="1"/>
  <c r="E13" i="63"/>
  <c r="I43" i="62" s="1"/>
  <c r="F33" i="63"/>
  <c r="F31" i="63"/>
  <c r="F21" i="63"/>
  <c r="I86" i="46" s="1"/>
  <c r="F13" i="63"/>
  <c r="J43" i="62" s="1"/>
  <c r="G61" i="34"/>
  <c r="D33" i="63"/>
  <c r="D31" i="63"/>
  <c r="D21" i="63"/>
  <c r="G86" i="46" s="1"/>
  <c r="D13" i="63"/>
  <c r="H43" i="62" s="1"/>
  <c r="H19" i="34"/>
  <c r="H30" i="62"/>
  <c r="H32" i="62" s="1"/>
  <c r="I19" i="34"/>
  <c r="J19" i="34"/>
  <c r="H23" i="18"/>
  <c r="C132" i="13"/>
  <c r="H17" i="18"/>
  <c r="C125" i="13"/>
  <c r="G82" i="46"/>
  <c r="C136" i="13"/>
  <c r="C24" i="38"/>
  <c r="D24" i="38" s="1"/>
  <c r="C131" i="13"/>
  <c r="C23" i="38"/>
  <c r="D23" i="38" s="1"/>
  <c r="C130" i="13"/>
  <c r="C20" i="38"/>
  <c r="D20" i="38" s="1"/>
  <c r="C126" i="13"/>
  <c r="C22" i="38"/>
  <c r="D22" i="38" s="1"/>
  <c r="C128" i="13"/>
  <c r="H9" i="18"/>
  <c r="H12" i="18" s="1"/>
  <c r="I9" i="18"/>
  <c r="I12" i="18" s="1"/>
  <c r="J177" i="61"/>
  <c r="I175" i="61"/>
  <c r="B9" i="63"/>
  <c r="I174" i="61"/>
  <c r="I30" i="62"/>
  <c r="I32" i="62" s="1"/>
  <c r="H61" i="34"/>
  <c r="H82" i="46"/>
  <c r="J30" i="62"/>
  <c r="J32" i="62" s="1"/>
  <c r="I61" i="34"/>
  <c r="I82" i="46"/>
  <c r="G151" i="61"/>
  <c r="G173" i="61"/>
  <c r="G175" i="61"/>
  <c r="G174" i="61"/>
  <c r="H151" i="61"/>
  <c r="I151" i="61"/>
  <c r="C29" i="38"/>
  <c r="D29" i="38" s="1"/>
  <c r="C30" i="38"/>
  <c r="D30" i="38" s="1"/>
  <c r="H32" i="18"/>
  <c r="H70" i="67" s="1"/>
  <c r="I32" i="18"/>
  <c r="I70" i="67" s="1"/>
  <c r="G9" i="18"/>
  <c r="D26" i="38"/>
  <c r="J16" i="48"/>
  <c r="J32" i="48" s="1"/>
  <c r="F12" i="41"/>
  <c r="F28" i="41" s="1"/>
  <c r="H26" i="34"/>
  <c r="I16" i="48"/>
  <c r="I32" i="48" s="1"/>
  <c r="E12" i="41"/>
  <c r="E28" i="41" s="1"/>
  <c r="G26" i="34"/>
  <c r="K16" i="48"/>
  <c r="K32" i="48" s="1"/>
  <c r="G12" i="41"/>
  <c r="G28" i="41" s="1"/>
  <c r="I26" i="34"/>
  <c r="J26" i="34"/>
  <c r="G28" i="18"/>
  <c r="G66" i="67" s="1"/>
  <c r="H28" i="18"/>
  <c r="H66" i="67" s="1"/>
  <c r="G16" i="34"/>
  <c r="G19" i="18"/>
  <c r="G21" i="18"/>
  <c r="G32" i="18"/>
  <c r="G22" i="18"/>
  <c r="G23" i="18"/>
  <c r="G17" i="18"/>
  <c r="R34" i="38"/>
  <c r="M34" i="38"/>
  <c r="P34" i="38"/>
  <c r="N34" i="38"/>
  <c r="K34" i="38"/>
  <c r="J34" i="38"/>
  <c r="E42" i="38"/>
  <c r="E43" i="38"/>
  <c r="H21" i="18"/>
  <c r="I28" i="18"/>
  <c r="I66" i="67" s="1"/>
  <c r="I16" i="34"/>
  <c r="I17" i="18"/>
  <c r="H16" i="34"/>
  <c r="J16" i="34"/>
  <c r="I22" i="18"/>
  <c r="G43" i="34" l="1"/>
  <c r="G12" i="18"/>
  <c r="C9" i="18"/>
  <c r="G35" i="18"/>
  <c r="H173" i="61"/>
  <c r="H172" i="61"/>
  <c r="I172" i="61"/>
  <c r="J180" i="61"/>
  <c r="J50" i="18" s="1"/>
  <c r="J178" i="61"/>
  <c r="H174" i="61"/>
  <c r="I177" i="61"/>
  <c r="D10" i="63"/>
  <c r="D11" i="63" s="1"/>
  <c r="G36" i="18"/>
  <c r="G70" i="67"/>
  <c r="C32" i="18"/>
  <c r="I96" i="67"/>
  <c r="H99" i="67"/>
  <c r="G107" i="67"/>
  <c r="H107" i="67"/>
  <c r="I99" i="67"/>
  <c r="G96" i="67"/>
  <c r="G99" i="67"/>
  <c r="H105" i="67"/>
  <c r="H49" i="67"/>
  <c r="H96" i="67"/>
  <c r="I100" i="67"/>
  <c r="G101" i="67"/>
  <c r="G98" i="67"/>
  <c r="C98" i="67" s="1"/>
  <c r="G105" i="67"/>
  <c r="G49" i="67"/>
  <c r="I105" i="67"/>
  <c r="I49" i="67"/>
  <c r="G100" i="67"/>
  <c r="D18" i="18"/>
  <c r="G97" i="67"/>
  <c r="C97" i="67" s="1"/>
  <c r="G41" i="67"/>
  <c r="C41" i="67" s="1"/>
  <c r="I107" i="67"/>
  <c r="H101" i="67"/>
  <c r="D19" i="18"/>
  <c r="D61" i="34"/>
  <c r="B33" i="63"/>
  <c r="B31" i="63"/>
  <c r="B21" i="63"/>
  <c r="E86" i="46" s="1"/>
  <c r="B13" i="63"/>
  <c r="C30" i="62"/>
  <c r="D23" i="18"/>
  <c r="D28" i="18"/>
  <c r="D22" i="18"/>
  <c r="D21" i="18"/>
  <c r="D32" i="18"/>
  <c r="P89" i="38"/>
  <c r="P116" i="38"/>
  <c r="P114" i="38"/>
  <c r="P112" i="38"/>
  <c r="P117" i="38"/>
  <c r="P110" i="38"/>
  <c r="P108" i="38"/>
  <c r="P106" i="38"/>
  <c r="P104" i="38"/>
  <c r="P102" i="38"/>
  <c r="P100" i="38"/>
  <c r="P98" i="38"/>
  <c r="P115" i="38"/>
  <c r="P111" i="38"/>
  <c r="P107" i="38"/>
  <c r="P103" i="38"/>
  <c r="P99" i="38"/>
  <c r="P113" i="38"/>
  <c r="P118" i="38"/>
  <c r="P109" i="38"/>
  <c r="P105" i="38"/>
  <c r="P101" i="38"/>
  <c r="P97" i="38"/>
  <c r="R89" i="38"/>
  <c r="R116" i="38"/>
  <c r="R117" i="38"/>
  <c r="R108" i="38"/>
  <c r="R104" i="38"/>
  <c r="R100" i="38"/>
  <c r="R98" i="38"/>
  <c r="R115" i="38"/>
  <c r="R113" i="38"/>
  <c r="R118" i="38"/>
  <c r="R111" i="38"/>
  <c r="R109" i="38"/>
  <c r="R107" i="38"/>
  <c r="R105" i="38"/>
  <c r="R103" i="38"/>
  <c r="R101" i="38"/>
  <c r="R99" i="38"/>
  <c r="R97" i="38"/>
  <c r="R114" i="38"/>
  <c r="R112" i="38"/>
  <c r="R110" i="38"/>
  <c r="R106" i="38"/>
  <c r="R102" i="38"/>
  <c r="D17" i="18"/>
  <c r="G28" i="63"/>
  <c r="C43" i="62"/>
  <c r="E82" i="46"/>
  <c r="G177" i="61"/>
  <c r="G180" i="61" s="1"/>
  <c r="G50" i="18" s="1"/>
  <c r="G105" i="61"/>
  <c r="G45" i="61"/>
  <c r="M89" i="38"/>
  <c r="M113" i="38"/>
  <c r="M112" i="38"/>
  <c r="M118" i="38"/>
  <c r="M117" i="38"/>
  <c r="M110" i="38"/>
  <c r="M109" i="38"/>
  <c r="M106" i="38"/>
  <c r="M103" i="38"/>
  <c r="M100" i="38"/>
  <c r="M116" i="38"/>
  <c r="M115" i="38"/>
  <c r="M105" i="38"/>
  <c r="M102" i="38"/>
  <c r="M99" i="38"/>
  <c r="M98" i="38"/>
  <c r="M114" i="38"/>
  <c r="M111" i="38"/>
  <c r="M108" i="38"/>
  <c r="M107" i="38"/>
  <c r="M104" i="38"/>
  <c r="M101" i="38"/>
  <c r="M97" i="38"/>
  <c r="K89" i="38"/>
  <c r="K115" i="38"/>
  <c r="K114" i="38"/>
  <c r="K118" i="38"/>
  <c r="K117" i="38"/>
  <c r="K111" i="38"/>
  <c r="K110" i="38"/>
  <c r="K109" i="38"/>
  <c r="K108" i="38"/>
  <c r="K107" i="38"/>
  <c r="K106" i="38"/>
  <c r="K105" i="38"/>
  <c r="K104" i="38"/>
  <c r="K103" i="38"/>
  <c r="K102" i="38"/>
  <c r="K101" i="38"/>
  <c r="K100" i="38"/>
  <c r="K99" i="38"/>
  <c r="K98" i="38"/>
  <c r="K97" i="38"/>
  <c r="K113" i="38"/>
  <c r="K112" i="38"/>
  <c r="K116" i="38"/>
  <c r="N89" i="38"/>
  <c r="N116" i="38"/>
  <c r="N115" i="38"/>
  <c r="N114" i="38"/>
  <c r="N113" i="38"/>
  <c r="N112" i="38"/>
  <c r="N118" i="38"/>
  <c r="N117" i="38"/>
  <c r="N111" i="38"/>
  <c r="N110" i="38"/>
  <c r="N109" i="38"/>
  <c r="N108" i="38"/>
  <c r="N107" i="38"/>
  <c r="N106" i="38"/>
  <c r="N105" i="38"/>
  <c r="N104" i="38"/>
  <c r="N103" i="38"/>
  <c r="N102" i="38"/>
  <c r="N101" i="38"/>
  <c r="N100" i="38"/>
  <c r="N99" i="38"/>
  <c r="N98" i="38"/>
  <c r="N97" i="38"/>
  <c r="J89" i="38"/>
  <c r="J116" i="38"/>
  <c r="J115" i="38"/>
  <c r="J114" i="38"/>
  <c r="J118" i="38"/>
  <c r="J117" i="38"/>
  <c r="J111" i="38"/>
  <c r="J110" i="38"/>
  <c r="J109" i="38"/>
  <c r="J108" i="38"/>
  <c r="J107" i="38"/>
  <c r="J106" i="38"/>
  <c r="J105" i="38"/>
  <c r="J104" i="38"/>
  <c r="J103" i="38"/>
  <c r="J102" i="38"/>
  <c r="J101" i="38"/>
  <c r="J100" i="38"/>
  <c r="J99" i="38"/>
  <c r="J98" i="38"/>
  <c r="J97" i="38"/>
  <c r="J113" i="38"/>
  <c r="J112" i="38"/>
  <c r="D43" i="38"/>
  <c r="F18" i="38"/>
  <c r="C17" i="18"/>
  <c r="C28" i="18"/>
  <c r="C21" i="18"/>
  <c r="C22" i="18"/>
  <c r="C23" i="18"/>
  <c r="C19" i="18"/>
  <c r="C18" i="18"/>
  <c r="G146" i="13"/>
  <c r="G39" i="18" s="1"/>
  <c r="F13" i="45"/>
  <c r="C34" i="38"/>
  <c r="N86" i="38"/>
  <c r="N88" i="38"/>
  <c r="N90" i="38"/>
  <c r="N87" i="38"/>
  <c r="K87" i="38"/>
  <c r="K86" i="38"/>
  <c r="K88" i="38"/>
  <c r="K90" i="38"/>
  <c r="P87" i="38"/>
  <c r="P86" i="38"/>
  <c r="P88" i="38"/>
  <c r="P90" i="38"/>
  <c r="J86" i="38"/>
  <c r="J88" i="38"/>
  <c r="J90" i="38"/>
  <c r="J87" i="38"/>
  <c r="M87" i="38"/>
  <c r="M88" i="38"/>
  <c r="M90" i="38"/>
  <c r="M86" i="38"/>
  <c r="R86" i="38"/>
  <c r="R87" i="38"/>
  <c r="R88" i="38"/>
  <c r="R90" i="38"/>
  <c r="R85" i="38"/>
  <c r="N85" i="38"/>
  <c r="P85" i="38"/>
  <c r="K85" i="38"/>
  <c r="J85" i="38"/>
  <c r="M85" i="38"/>
  <c r="P84" i="38"/>
  <c r="P83" i="38"/>
  <c r="P82" i="38"/>
  <c r="P81" i="38"/>
  <c r="P80" i="38"/>
  <c r="P79" i="38"/>
  <c r="P78" i="38"/>
  <c r="P77" i="38"/>
  <c r="P76" i="38"/>
  <c r="P75" i="38"/>
  <c r="J84" i="38"/>
  <c r="J83" i="38"/>
  <c r="J82" i="38"/>
  <c r="J81" i="38"/>
  <c r="J80" i="38"/>
  <c r="J78" i="38"/>
  <c r="J75" i="38"/>
  <c r="J79" i="38"/>
  <c r="J77" i="38"/>
  <c r="J76" i="38"/>
  <c r="M84" i="38"/>
  <c r="M83" i="38"/>
  <c r="M82" i="38"/>
  <c r="M81" i="38"/>
  <c r="M80" i="38"/>
  <c r="M79" i="38"/>
  <c r="M78" i="38"/>
  <c r="M77" i="38"/>
  <c r="M76" i="38"/>
  <c r="M75" i="38"/>
  <c r="K84" i="38"/>
  <c r="K83" i="38"/>
  <c r="K82" i="38"/>
  <c r="K81" i="38"/>
  <c r="K80" i="38"/>
  <c r="K79" i="38"/>
  <c r="K78" i="38"/>
  <c r="K77" i="38"/>
  <c r="K76" i="38"/>
  <c r="K75" i="38"/>
  <c r="R84" i="38"/>
  <c r="R83" i="38"/>
  <c r="R82" i="38"/>
  <c r="R81" i="38"/>
  <c r="R80" i="38"/>
  <c r="R79" i="38"/>
  <c r="R78" i="38"/>
  <c r="R77" i="38"/>
  <c r="R76" i="38"/>
  <c r="R75" i="38"/>
  <c r="N84" i="38"/>
  <c r="N83" i="38"/>
  <c r="N82" i="38"/>
  <c r="N81" i="38"/>
  <c r="N80" i="38"/>
  <c r="N79" i="38"/>
  <c r="N77" i="38"/>
  <c r="N78" i="38"/>
  <c r="N76" i="38"/>
  <c r="N75" i="38"/>
  <c r="H34" i="38"/>
  <c r="E46" i="38"/>
  <c r="G67" i="67" l="1"/>
  <c r="G68" i="67"/>
  <c r="G62" i="67"/>
  <c r="G69" i="67"/>
  <c r="G195" i="61"/>
  <c r="H177" i="61"/>
  <c r="H180" i="61" s="1"/>
  <c r="I180" i="61"/>
  <c r="I50" i="18" s="1"/>
  <c r="I178" i="61"/>
  <c r="G178" i="61"/>
  <c r="D14" i="63"/>
  <c r="D15" i="63" s="1"/>
  <c r="H45" i="62" s="1"/>
  <c r="G83" i="46"/>
  <c r="D22" i="63"/>
  <c r="D23" i="63" s="1"/>
  <c r="G88" i="46" s="1"/>
  <c r="H34" i="62"/>
  <c r="G62" i="34"/>
  <c r="C100" i="67"/>
  <c r="C99" i="67"/>
  <c r="C49" i="67"/>
  <c r="C96" i="67"/>
  <c r="G110" i="67"/>
  <c r="J119" i="67"/>
  <c r="C105" i="67"/>
  <c r="C101" i="67"/>
  <c r="C107" i="67"/>
  <c r="G106" i="61"/>
  <c r="G34" i="63"/>
  <c r="G29" i="63"/>
  <c r="D24" i="18"/>
  <c r="C24" i="18"/>
  <c r="D28" i="63"/>
  <c r="D29" i="63" s="1"/>
  <c r="F28" i="63"/>
  <c r="F29" i="63" s="1"/>
  <c r="K35" i="53"/>
  <c r="K36" i="53" s="1"/>
  <c r="K37" i="53" s="1"/>
  <c r="K40" i="53" s="1"/>
  <c r="G63" i="34"/>
  <c r="G84" i="46"/>
  <c r="G46" i="61"/>
  <c r="G41" i="18"/>
  <c r="H89" i="38"/>
  <c r="H114" i="38"/>
  <c r="H113" i="38"/>
  <c r="H112" i="38"/>
  <c r="H116" i="38"/>
  <c r="H115" i="38"/>
  <c r="H118" i="38"/>
  <c r="H117" i="38"/>
  <c r="H111" i="38"/>
  <c r="H110" i="38"/>
  <c r="H109" i="38"/>
  <c r="H108" i="38"/>
  <c r="H107" i="38"/>
  <c r="H106" i="38"/>
  <c r="H105" i="38"/>
  <c r="H104" i="38"/>
  <c r="H103" i="38"/>
  <c r="H102" i="38"/>
  <c r="H101" i="38"/>
  <c r="H100" i="38"/>
  <c r="H99" i="38"/>
  <c r="H98" i="38"/>
  <c r="H97" i="38"/>
  <c r="I34" i="38"/>
  <c r="D46" i="38"/>
  <c r="F39" i="45"/>
  <c r="C49" i="38" s="1"/>
  <c r="D49" i="38" s="1"/>
  <c r="G39" i="45"/>
  <c r="H86" i="38"/>
  <c r="H88" i="38"/>
  <c r="H90" i="38"/>
  <c r="H87" i="38"/>
  <c r="P91" i="38"/>
  <c r="N91" i="38"/>
  <c r="J91" i="38"/>
  <c r="M91" i="38"/>
  <c r="R91" i="38"/>
  <c r="H85" i="38"/>
  <c r="K91" i="38"/>
  <c r="H84" i="38"/>
  <c r="H83" i="38"/>
  <c r="H82" i="38"/>
  <c r="H81" i="38"/>
  <c r="H80" i="38"/>
  <c r="H79" i="38"/>
  <c r="H78" i="38"/>
  <c r="H77" i="38"/>
  <c r="H76" i="38"/>
  <c r="H75" i="38"/>
  <c r="C177" i="61" l="1"/>
  <c r="E28" i="63"/>
  <c r="E29" i="63" s="1"/>
  <c r="H178" i="61"/>
  <c r="H50" i="18"/>
  <c r="C180" i="61"/>
  <c r="C42" i="38"/>
  <c r="D42" i="38" s="1"/>
  <c r="H44" i="62"/>
  <c r="G87" i="46"/>
  <c r="G73" i="67"/>
  <c r="G37" i="18"/>
  <c r="G58" i="67"/>
  <c r="G38" i="18"/>
  <c r="G40" i="18" s="1"/>
  <c r="G147" i="13"/>
  <c r="G148" i="13" s="1"/>
  <c r="I119" i="67"/>
  <c r="G84" i="67"/>
  <c r="G43" i="67"/>
  <c r="G53" i="67"/>
  <c r="G80" i="67"/>
  <c r="G83" i="67"/>
  <c r="G77" i="67"/>
  <c r="G76" i="67"/>
  <c r="G57" i="67"/>
  <c r="G60" i="67"/>
  <c r="G56" i="67"/>
  <c r="G59" i="67"/>
  <c r="G61" i="67"/>
  <c r="G55" i="67"/>
  <c r="G119" i="67"/>
  <c r="G82" i="67"/>
  <c r="H119" i="67"/>
  <c r="G35" i="63"/>
  <c r="K38" i="53"/>
  <c r="K39" i="53"/>
  <c r="D50" i="18"/>
  <c r="B28" i="63"/>
  <c r="D34" i="63"/>
  <c r="D35" i="63" s="1"/>
  <c r="E34" i="63"/>
  <c r="E35" i="63" s="1"/>
  <c r="F34" i="63"/>
  <c r="F35" i="63" s="1"/>
  <c r="L34" i="38"/>
  <c r="L81" i="38" s="1"/>
  <c r="I113" i="38"/>
  <c r="I112" i="38"/>
  <c r="I116" i="38"/>
  <c r="I115" i="38"/>
  <c r="I114" i="38"/>
  <c r="I89" i="38"/>
  <c r="I118" i="38"/>
  <c r="I117" i="38"/>
  <c r="I111" i="38"/>
  <c r="I107" i="38"/>
  <c r="I103" i="38"/>
  <c r="I99" i="38"/>
  <c r="I109" i="38"/>
  <c r="I105" i="38"/>
  <c r="I101" i="38"/>
  <c r="I97" i="38"/>
  <c r="I108" i="38"/>
  <c r="I110" i="38"/>
  <c r="I106" i="38"/>
  <c r="I102" i="38"/>
  <c r="I98" i="38"/>
  <c r="I104" i="38"/>
  <c r="I100" i="38"/>
  <c r="F10" i="18"/>
  <c r="K10" i="18"/>
  <c r="H39" i="45"/>
  <c r="D39" i="45" s="1"/>
  <c r="I88" i="38"/>
  <c r="I86" i="38"/>
  <c r="I87" i="38"/>
  <c r="I90" i="38"/>
  <c r="I85" i="38"/>
  <c r="H91" i="38"/>
  <c r="I84" i="38"/>
  <c r="I83" i="38"/>
  <c r="I82" i="38"/>
  <c r="I81" i="38"/>
  <c r="I80" i="38"/>
  <c r="I79" i="38"/>
  <c r="I78" i="38"/>
  <c r="I77" i="38"/>
  <c r="I76" i="38"/>
  <c r="I75" i="38"/>
  <c r="F34" i="38"/>
  <c r="G197" i="61" l="1"/>
  <c r="G199" i="61" s="1"/>
  <c r="G46" i="18" s="1"/>
  <c r="G115" i="67" s="1"/>
  <c r="C44" i="38"/>
  <c r="D44" i="38" s="1"/>
  <c r="C119" i="67"/>
  <c r="B34" i="63"/>
  <c r="B35" i="63" s="1"/>
  <c r="B29" i="63"/>
  <c r="D36" i="63"/>
  <c r="D37" i="63" s="1"/>
  <c r="F115" i="38"/>
  <c r="F112" i="38"/>
  <c r="F116" i="38"/>
  <c r="F114" i="38"/>
  <c r="F113" i="38"/>
  <c r="L87" i="38"/>
  <c r="L114" i="38"/>
  <c r="L113" i="38"/>
  <c r="L112" i="38"/>
  <c r="L116" i="38"/>
  <c r="L115" i="38"/>
  <c r="L77" i="38"/>
  <c r="L89" i="38"/>
  <c r="L108" i="38"/>
  <c r="L104" i="38"/>
  <c r="L100" i="38"/>
  <c r="L110" i="38"/>
  <c r="L102" i="38"/>
  <c r="L98" i="38"/>
  <c r="L105" i="38"/>
  <c r="L101" i="38"/>
  <c r="L118" i="38"/>
  <c r="L117" i="38"/>
  <c r="L111" i="38"/>
  <c r="L107" i="38"/>
  <c r="L103" i="38"/>
  <c r="L99" i="38"/>
  <c r="L106" i="38"/>
  <c r="L97" i="38"/>
  <c r="L109" i="38"/>
  <c r="L78" i="38"/>
  <c r="L82" i="38"/>
  <c r="L85" i="38"/>
  <c r="L90" i="38"/>
  <c r="F89" i="38"/>
  <c r="F110" i="38"/>
  <c r="F106" i="38"/>
  <c r="F102" i="38"/>
  <c r="F98" i="38"/>
  <c r="F108" i="38"/>
  <c r="F104" i="38"/>
  <c r="F100" i="38"/>
  <c r="F111" i="38"/>
  <c r="F109" i="38"/>
  <c r="F105" i="38"/>
  <c r="F101" i="38"/>
  <c r="F97" i="38"/>
  <c r="F118" i="38"/>
  <c r="F103" i="38"/>
  <c r="F117" i="38"/>
  <c r="F107" i="38"/>
  <c r="F99" i="38"/>
  <c r="L75" i="38"/>
  <c r="L79" i="38"/>
  <c r="L83" i="38"/>
  <c r="L88" i="38"/>
  <c r="L76" i="38"/>
  <c r="L80" i="38"/>
  <c r="L84" i="38"/>
  <c r="L86" i="38"/>
  <c r="L10" i="18"/>
  <c r="C50" i="18"/>
  <c r="F86" i="38"/>
  <c r="F90" i="38"/>
  <c r="F87" i="38"/>
  <c r="F88" i="38"/>
  <c r="F85" i="38"/>
  <c r="I91" i="38"/>
  <c r="F35" i="38"/>
  <c r="F84" i="38"/>
  <c r="F83" i="38"/>
  <c r="F82" i="38"/>
  <c r="F81" i="38"/>
  <c r="F80" i="38"/>
  <c r="F79" i="38"/>
  <c r="F77" i="38"/>
  <c r="F76" i="38"/>
  <c r="F78" i="38"/>
  <c r="F75" i="38"/>
  <c r="E39" i="38"/>
  <c r="D16" i="63" l="1"/>
  <c r="G47" i="61" s="1"/>
  <c r="G78" i="67"/>
  <c r="G35" i="38"/>
  <c r="E17" i="38"/>
  <c r="D17" i="38" s="1"/>
  <c r="L91" i="38"/>
  <c r="E18" i="38"/>
  <c r="D18" i="38" s="1"/>
  <c r="O34" i="38"/>
  <c r="D39" i="38"/>
  <c r="F91" i="38"/>
  <c r="D18" i="63" l="1"/>
  <c r="D19" i="63" s="1"/>
  <c r="G50" i="61" s="1"/>
  <c r="D17" i="63"/>
  <c r="G48" i="61" s="1"/>
  <c r="H35" i="38"/>
  <c r="O116" i="38"/>
  <c r="O115" i="38"/>
  <c r="O114" i="38"/>
  <c r="O113" i="38"/>
  <c r="O112" i="38"/>
  <c r="O89" i="38"/>
  <c r="O109" i="38"/>
  <c r="O105" i="38"/>
  <c r="O101" i="38"/>
  <c r="O97" i="38"/>
  <c r="O117" i="38"/>
  <c r="O98" i="38"/>
  <c r="O108" i="38"/>
  <c r="O104" i="38"/>
  <c r="O100" i="38"/>
  <c r="O111" i="38"/>
  <c r="O107" i="38"/>
  <c r="O103" i="38"/>
  <c r="O99" i="38"/>
  <c r="O110" i="38"/>
  <c r="O106" i="38"/>
  <c r="O118" i="38"/>
  <c r="O102" i="38"/>
  <c r="O88" i="38"/>
  <c r="O82" i="38"/>
  <c r="O78" i="38"/>
  <c r="O87" i="38"/>
  <c r="O79" i="38"/>
  <c r="O86" i="38"/>
  <c r="O81" i="38"/>
  <c r="O77" i="38"/>
  <c r="O90" i="38"/>
  <c r="O84" i="38"/>
  <c r="O80" i="38"/>
  <c r="O85" i="38"/>
  <c r="O83" i="38"/>
  <c r="O75" i="38"/>
  <c r="O76" i="38"/>
  <c r="E34" i="38"/>
  <c r="E121" i="38" s="1"/>
  <c r="I10" i="18"/>
  <c r="H10" i="18"/>
  <c r="F51" i="38"/>
  <c r="L51" i="38"/>
  <c r="L53" i="38" s="1"/>
  <c r="O51" i="38"/>
  <c r="O53" i="38" s="1"/>
  <c r="M51" i="38"/>
  <c r="M53" i="38" s="1"/>
  <c r="N51" i="38"/>
  <c r="N53" i="38" s="1"/>
  <c r="R51" i="38"/>
  <c r="R53" i="38" s="1"/>
  <c r="R63" i="38" s="1"/>
  <c r="I51" i="38"/>
  <c r="I53" i="38" s="1"/>
  <c r="K51" i="38"/>
  <c r="K53" i="38" s="1"/>
  <c r="J51" i="38"/>
  <c r="J53" i="38" s="1"/>
  <c r="P51" i="38"/>
  <c r="P53" i="38" s="1"/>
  <c r="H51" i="38"/>
  <c r="H53" i="38" s="1"/>
  <c r="G49" i="61" l="1"/>
  <c r="F53" i="38"/>
  <c r="F92" i="38"/>
  <c r="F36" i="38"/>
  <c r="G36" i="38"/>
  <c r="G92" i="38"/>
  <c r="I35" i="38"/>
  <c r="H92" i="38"/>
  <c r="H36" i="38"/>
  <c r="O91" i="38"/>
  <c r="E112" i="38"/>
  <c r="E116" i="38"/>
  <c r="E115" i="38"/>
  <c r="E114" i="38"/>
  <c r="E113" i="38"/>
  <c r="E85" i="38"/>
  <c r="E99" i="38"/>
  <c r="E102" i="38"/>
  <c r="E101" i="38"/>
  <c r="E100" i="38"/>
  <c r="E104" i="38"/>
  <c r="E103" i="38"/>
  <c r="E107" i="38"/>
  <c r="E110" i="38"/>
  <c r="E117" i="38"/>
  <c r="E111" i="38"/>
  <c r="E105" i="38"/>
  <c r="E106" i="38"/>
  <c r="E108" i="38"/>
  <c r="E82" i="38"/>
  <c r="E81" i="38"/>
  <c r="E75" i="38"/>
  <c r="E87" i="38"/>
  <c r="E109" i="38"/>
  <c r="E97" i="38"/>
  <c r="E78" i="38"/>
  <c r="E84" i="38"/>
  <c r="D34" i="38"/>
  <c r="D35" i="38" s="1"/>
  <c r="E88" i="38"/>
  <c r="E86" i="38"/>
  <c r="E90" i="38"/>
  <c r="E89" i="38"/>
  <c r="E80" i="38"/>
  <c r="E83" i="38"/>
  <c r="E77" i="38"/>
  <c r="E79" i="38"/>
  <c r="E76" i="38"/>
  <c r="J10" i="18"/>
  <c r="F52" i="38"/>
  <c r="P52" i="38"/>
  <c r="R52" i="38"/>
  <c r="O52" i="38"/>
  <c r="J52" i="38"/>
  <c r="N52" i="38"/>
  <c r="L52" i="38"/>
  <c r="H52" i="38"/>
  <c r="I52" i="38"/>
  <c r="M52" i="38"/>
  <c r="K52" i="38"/>
  <c r="F56" i="38"/>
  <c r="G51" i="38"/>
  <c r="G53" i="38" s="1"/>
  <c r="E98" i="38"/>
  <c r="F54" i="38" l="1"/>
  <c r="G54" i="38"/>
  <c r="H54" i="38" s="1"/>
  <c r="I54" i="38" s="1"/>
  <c r="J54" i="38" s="1"/>
  <c r="K54" i="38" s="1"/>
  <c r="L54" i="38" s="1"/>
  <c r="M54" i="38" s="1"/>
  <c r="N54" i="38" s="1"/>
  <c r="O54" i="38" s="1"/>
  <c r="P54" i="38" s="1"/>
  <c r="Q54" i="38" s="1"/>
  <c r="R54" i="38" s="1"/>
  <c r="J35" i="38"/>
  <c r="I92" i="38"/>
  <c r="I36" i="38"/>
  <c r="E91" i="38"/>
  <c r="G52" i="38"/>
  <c r="E51" i="38"/>
  <c r="G56" i="38"/>
  <c r="F64" i="38" l="1"/>
  <c r="F66" i="38" s="1"/>
  <c r="F68" i="38" s="1"/>
  <c r="E63" i="38"/>
  <c r="F57" i="38"/>
  <c r="F58" i="38" s="1"/>
  <c r="G57" i="38"/>
  <c r="G58" i="38" s="1"/>
  <c r="K35" i="38"/>
  <c r="J92" i="38"/>
  <c r="J36" i="38"/>
  <c r="E52" i="38"/>
  <c r="E125" i="38"/>
  <c r="H56" i="38"/>
  <c r="H57" i="38" s="1"/>
  <c r="H58" i="38" s="1"/>
  <c r="F67" i="38" l="1"/>
  <c r="F121" i="38" s="1"/>
  <c r="L35" i="38"/>
  <c r="K92" i="38"/>
  <c r="K36" i="38"/>
  <c r="I56" i="38"/>
  <c r="I57" i="38" s="1"/>
  <c r="I58" i="38" s="1"/>
  <c r="G62" i="38" l="1"/>
  <c r="F125" i="38"/>
  <c r="G123" i="38" s="1"/>
  <c r="M35" i="38"/>
  <c r="L92" i="38"/>
  <c r="L36" i="38"/>
  <c r="J56" i="38"/>
  <c r="J57" i="38" s="1"/>
  <c r="J58" i="38" s="1"/>
  <c r="G64" i="38" l="1"/>
  <c r="G65" i="38"/>
  <c r="N35" i="38"/>
  <c r="M92" i="38"/>
  <c r="M36" i="38"/>
  <c r="K56" i="38"/>
  <c r="K57" i="38" s="1"/>
  <c r="K58" i="38" s="1"/>
  <c r="G66" i="38" l="1"/>
  <c r="G68" i="38" s="1"/>
  <c r="G70" i="38" s="1"/>
  <c r="N92" i="38"/>
  <c r="N36" i="38"/>
  <c r="O35" i="38"/>
  <c r="Q35" i="38" s="1"/>
  <c r="L56" i="38"/>
  <c r="L57" i="38" s="1"/>
  <c r="L58" i="38" s="1"/>
  <c r="G67" i="38" l="1"/>
  <c r="G121" i="38" s="1"/>
  <c r="G125" i="38" s="1"/>
  <c r="H123" i="38" s="1"/>
  <c r="Q36" i="38"/>
  <c r="Q92" i="38"/>
  <c r="P35" i="38"/>
  <c r="O92" i="38"/>
  <c r="O36" i="38"/>
  <c r="M56" i="38"/>
  <c r="M57" i="38" s="1"/>
  <c r="M58" i="38" s="1"/>
  <c r="H62" i="38" l="1"/>
  <c r="H65" i="38" s="1"/>
  <c r="R35" i="38"/>
  <c r="P92" i="38"/>
  <c r="P36" i="38"/>
  <c r="N56" i="38"/>
  <c r="N57" i="38" s="1"/>
  <c r="N58" i="38" s="1"/>
  <c r="H64" i="38" l="1"/>
  <c r="H66" i="38" s="1"/>
  <c r="H67" i="38" s="1"/>
  <c r="R92" i="38"/>
  <c r="R36" i="38"/>
  <c r="O56" i="38"/>
  <c r="H68" i="38" l="1"/>
  <c r="H70" i="38" s="1"/>
  <c r="H121" i="38"/>
  <c r="I62" i="38"/>
  <c r="I65" i="38" s="1"/>
  <c r="O57" i="38"/>
  <c r="O58" i="38" s="1"/>
  <c r="P56" i="38"/>
  <c r="Q56" i="38" s="1"/>
  <c r="I64" i="38" l="1"/>
  <c r="I66" i="38" s="1"/>
  <c r="I67" i="38" s="1"/>
  <c r="R56" i="38"/>
  <c r="R57" i="38" s="1"/>
  <c r="R58" i="38" s="1"/>
  <c r="Q57" i="38"/>
  <c r="Q58" i="38" s="1"/>
  <c r="P57" i="38"/>
  <c r="P58" i="38" s="1"/>
  <c r="I68" i="38" l="1"/>
  <c r="I70" i="38" s="1"/>
  <c r="J62" i="38"/>
  <c r="L47" i="18"/>
  <c r="I47" i="18"/>
  <c r="J47" i="18"/>
  <c r="K47" i="18"/>
  <c r="G47" i="18"/>
  <c r="H47" i="18"/>
  <c r="I121" i="38" l="1"/>
  <c r="J65" i="38"/>
  <c r="J64" i="38"/>
  <c r="K116" i="67"/>
  <c r="H116" i="67"/>
  <c r="I116" i="67"/>
  <c r="J116" i="67"/>
  <c r="G79" i="67"/>
  <c r="G116" i="67"/>
  <c r="L116" i="67"/>
  <c r="D47" i="18"/>
  <c r="C47" i="18"/>
  <c r="J66" i="38" l="1"/>
  <c r="J67" i="38" s="1"/>
  <c r="C116" i="67"/>
  <c r="G10" i="18"/>
  <c r="C10" i="18" s="1"/>
  <c r="H43" i="34"/>
  <c r="E24" i="63" s="1"/>
  <c r="L43" i="34"/>
  <c r="I24" i="63" s="1"/>
  <c r="I43" i="34"/>
  <c r="F24" i="63" s="1"/>
  <c r="J43" i="34"/>
  <c r="G24" i="63" s="1"/>
  <c r="K43" i="34"/>
  <c r="H24" i="63" s="1"/>
  <c r="J68" i="38" l="1"/>
  <c r="J70" i="38" s="1"/>
  <c r="J121" i="38"/>
  <c r="K62" i="38"/>
  <c r="K64" i="34"/>
  <c r="H25" i="63"/>
  <c r="K65" i="34" s="1"/>
  <c r="J64" i="34"/>
  <c r="G25" i="63"/>
  <c r="J65" i="34" s="1"/>
  <c r="I64" i="34"/>
  <c r="F25" i="63"/>
  <c r="I65" i="34" s="1"/>
  <c r="L64" i="34"/>
  <c r="I25" i="63"/>
  <c r="L65" i="34" s="1"/>
  <c r="H64" i="34"/>
  <c r="E25" i="63"/>
  <c r="H65" i="34" s="1"/>
  <c r="C48" i="38"/>
  <c r="D24" i="63"/>
  <c r="C40" i="38"/>
  <c r="D40" i="38" s="1"/>
  <c r="K65" i="38" l="1"/>
  <c r="K64" i="38"/>
  <c r="G64" i="34"/>
  <c r="D25" i="63"/>
  <c r="G65" i="34" s="1"/>
  <c r="B24" i="63"/>
  <c r="B25" i="63" s="1"/>
  <c r="D26" i="63"/>
  <c r="D27" i="63" s="1"/>
  <c r="D38" i="63"/>
  <c r="D39" i="63" s="1"/>
  <c r="G49" i="18"/>
  <c r="H49" i="18"/>
  <c r="K66" i="38" l="1"/>
  <c r="H118" i="67"/>
  <c r="G118" i="67"/>
  <c r="G81" i="67"/>
  <c r="F14" i="45"/>
  <c r="D64" i="34"/>
  <c r="D65" i="34"/>
  <c r="H46" i="62"/>
  <c r="G51" i="61"/>
  <c r="G89" i="46"/>
  <c r="G68" i="34"/>
  <c r="G67" i="34"/>
  <c r="G66" i="34"/>
  <c r="G52" i="18"/>
  <c r="G53" i="18" s="1"/>
  <c r="D48" i="38"/>
  <c r="D51" i="38" s="1"/>
  <c r="C51" i="38"/>
  <c r="C53" i="38" s="1"/>
  <c r="I49" i="18"/>
  <c r="K67" i="38" l="1"/>
  <c r="L62" i="38" s="1"/>
  <c r="K68" i="38"/>
  <c r="K70" i="38" s="1"/>
  <c r="E53" i="38"/>
  <c r="D53" i="38"/>
  <c r="I118" i="67"/>
  <c r="G122" i="67"/>
  <c r="G85" i="67"/>
  <c r="G44" i="67"/>
  <c r="C52" i="38"/>
  <c r="G69" i="34"/>
  <c r="G52" i="61"/>
  <c r="G90" i="46"/>
  <c r="H47" i="62"/>
  <c r="G55" i="18"/>
  <c r="J49" i="18"/>
  <c r="K121" i="38" l="1"/>
  <c r="L65" i="38"/>
  <c r="L64" i="38"/>
  <c r="G64" i="18"/>
  <c r="G124" i="67"/>
  <c r="G125" i="67" s="1"/>
  <c r="G45" i="67"/>
  <c r="G86" i="67"/>
  <c r="G15" i="67"/>
  <c r="G16" i="67" s="1"/>
  <c r="J118" i="67"/>
  <c r="G79" i="18"/>
  <c r="G56" i="18"/>
  <c r="G87" i="67" s="1"/>
  <c r="G81" i="18"/>
  <c r="G82" i="18" s="1"/>
  <c r="C43" i="34"/>
  <c r="K49" i="18"/>
  <c r="L49" i="18"/>
  <c r="L66" i="38" l="1"/>
  <c r="K118" i="67"/>
  <c r="G126" i="67"/>
  <c r="L118" i="67"/>
  <c r="D49" i="18"/>
  <c r="C49" i="18"/>
  <c r="L68" i="38" l="1"/>
  <c r="L70" i="38" s="1"/>
  <c r="L67" i="38"/>
  <c r="L121" i="38" s="1"/>
  <c r="C118" i="67"/>
  <c r="F52" i="18"/>
  <c r="C44" i="18"/>
  <c r="M62" i="38" l="1"/>
  <c r="F85" i="67"/>
  <c r="F53" i="18"/>
  <c r="F55" i="18"/>
  <c r="M65" i="38" l="1"/>
  <c r="M64" i="38"/>
  <c r="F64" i="18"/>
  <c r="F68" i="18" s="1"/>
  <c r="F73" i="18"/>
  <c r="F74" i="18" s="1"/>
  <c r="F70" i="18"/>
  <c r="F86" i="67"/>
  <c r="F17" i="67"/>
  <c r="F79" i="18"/>
  <c r="F81" i="18"/>
  <c r="F57" i="18"/>
  <c r="G57" i="18" s="1"/>
  <c r="M66" i="38" l="1"/>
  <c r="F69" i="18"/>
  <c r="F66" i="18"/>
  <c r="F71" i="18"/>
  <c r="G63" i="18" s="1"/>
  <c r="G65" i="18" s="1"/>
  <c r="F89" i="67"/>
  <c r="G17" i="67"/>
  <c r="M68" i="38" l="1"/>
  <c r="M70" i="38" s="1"/>
  <c r="M67" i="38"/>
  <c r="G68" i="18"/>
  <c r="G70" i="18" s="1"/>
  <c r="G73" i="18" s="1"/>
  <c r="G74" i="18" s="1"/>
  <c r="G89" i="67"/>
  <c r="G18" i="67"/>
  <c r="M121" i="38" l="1"/>
  <c r="N62" i="38"/>
  <c r="G66" i="18"/>
  <c r="G69" i="18"/>
  <c r="G71" i="18"/>
  <c r="H63" i="18" s="1"/>
  <c r="H65" i="18" s="1"/>
  <c r="F324" i="35"/>
  <c r="N64" i="38" l="1"/>
  <c r="N65" i="38"/>
  <c r="F265" i="35"/>
  <c r="N66" i="38" l="1"/>
  <c r="N67" i="38" s="1"/>
  <c r="F239" i="35"/>
  <c r="F323" i="35"/>
  <c r="I265" i="35"/>
  <c r="I324" i="35"/>
  <c r="H265" i="35"/>
  <c r="H324" i="35"/>
  <c r="G265" i="35"/>
  <c r="G324" i="35"/>
  <c r="N68" i="38" l="1"/>
  <c r="N121" i="38" s="1"/>
  <c r="O62" i="38"/>
  <c r="J265" i="35"/>
  <c r="F331" i="35"/>
  <c r="F308" i="35" s="1"/>
  <c r="F240" i="35"/>
  <c r="I323" i="35"/>
  <c r="I239" i="35"/>
  <c r="G323" i="35"/>
  <c r="G239" i="35"/>
  <c r="J323" i="35"/>
  <c r="F327" i="35"/>
  <c r="J327" i="35" s="1"/>
  <c r="F310" i="35"/>
  <c r="H323" i="35"/>
  <c r="H239" i="35"/>
  <c r="J324" i="35"/>
  <c r="N70" i="38" l="1"/>
  <c r="O64" i="38"/>
  <c r="O65" i="38"/>
  <c r="F332" i="35"/>
  <c r="F242" i="35"/>
  <c r="F334" i="35" s="1"/>
  <c r="I331" i="35"/>
  <c r="I308" i="35" s="1"/>
  <c r="I240" i="35"/>
  <c r="H331" i="35"/>
  <c r="H308" i="35" s="1"/>
  <c r="H240" i="35"/>
  <c r="G331" i="35"/>
  <c r="G240" i="35"/>
  <c r="J239" i="35"/>
  <c r="G310" i="35"/>
  <c r="G327" i="35"/>
  <c r="H310" i="35"/>
  <c r="H327" i="35"/>
  <c r="I310" i="35"/>
  <c r="I327" i="35"/>
  <c r="O66" i="38" l="1"/>
  <c r="O68" i="38" s="1"/>
  <c r="O70" i="38" s="1"/>
  <c r="J331" i="35"/>
  <c r="G308" i="35"/>
  <c r="J308" i="35" s="1"/>
  <c r="G242" i="35"/>
  <c r="G334" i="35" s="1"/>
  <c r="G311" i="35" s="1"/>
  <c r="G332" i="35"/>
  <c r="G309" i="35" s="1"/>
  <c r="F311" i="35"/>
  <c r="H332" i="35"/>
  <c r="H242" i="35"/>
  <c r="H334" i="35" s="1"/>
  <c r="H311" i="35" s="1"/>
  <c r="J240" i="35"/>
  <c r="J242" i="35" s="1"/>
  <c r="I332" i="35"/>
  <c r="I242" i="35"/>
  <c r="I334" i="35" s="1"/>
  <c r="I311" i="35" s="1"/>
  <c r="F309" i="35"/>
  <c r="F337" i="35"/>
  <c r="F339" i="35" s="1"/>
  <c r="O67" i="38" l="1"/>
  <c r="O121" i="38" s="1"/>
  <c r="G314" i="35"/>
  <c r="G316" i="35" s="1"/>
  <c r="J332" i="35"/>
  <c r="G337" i="35"/>
  <c r="G339" i="35" s="1"/>
  <c r="F314" i="35"/>
  <c r="F316" i="35" s="1"/>
  <c r="H309" i="35"/>
  <c r="H314" i="35" s="1"/>
  <c r="H316" i="35" s="1"/>
  <c r="H337" i="35"/>
  <c r="H339" i="35" s="1"/>
  <c r="I309" i="35"/>
  <c r="I314" i="35" s="1"/>
  <c r="I316" i="35" s="1"/>
  <c r="I337" i="35"/>
  <c r="I339" i="35" s="1"/>
  <c r="J334" i="35"/>
  <c r="J311" i="35"/>
  <c r="P62" i="38" l="1"/>
  <c r="P65" i="38" s="1"/>
  <c r="J309" i="35"/>
  <c r="P64" i="38" l="1"/>
  <c r="P66" i="38" s="1"/>
  <c r="P67" i="38" l="1"/>
  <c r="Q62" i="38" s="1"/>
  <c r="P68" i="38"/>
  <c r="P70" i="38" s="1"/>
  <c r="H125" i="38"/>
  <c r="I123" i="38" s="1"/>
  <c r="I125" i="38" s="1"/>
  <c r="J123" i="38" s="1"/>
  <c r="J125" i="38" s="1"/>
  <c r="K123" i="38" s="1"/>
  <c r="K125" i="38" s="1"/>
  <c r="L123" i="38" s="1"/>
  <c r="L125" i="38" s="1"/>
  <c r="M123" i="38" s="1"/>
  <c r="M125" i="38" s="1"/>
  <c r="N123" i="38" s="1"/>
  <c r="N125" i="38" s="1"/>
  <c r="O123" i="38" s="1"/>
  <c r="O125" i="38" s="1"/>
  <c r="P121" i="38" l="1"/>
  <c r="Q65" i="38"/>
  <c r="Q64" i="38"/>
  <c r="P123" i="38"/>
  <c r="Q123" i="38"/>
  <c r="P125" i="38" l="1"/>
  <c r="R123" i="38" s="1"/>
  <c r="Q66" i="38"/>
  <c r="Q67" i="38" l="1"/>
  <c r="Q68" i="38"/>
  <c r="Q70" i="38" s="1"/>
  <c r="Q121" i="38" l="1"/>
  <c r="Q125" i="38" s="1"/>
  <c r="R62" i="38"/>
  <c r="R64" i="38" s="1"/>
  <c r="R65" i="38" l="1"/>
  <c r="E65" i="38" s="1"/>
  <c r="R66" i="38" l="1"/>
  <c r="R68" i="38" s="1"/>
  <c r="R70" i="38" s="1"/>
  <c r="R67" i="38" l="1"/>
  <c r="R121" i="38" s="1"/>
  <c r="R125" i="38" s="1"/>
  <c r="E66" i="38"/>
  <c r="H69" i="13" l="1"/>
  <c r="I85" i="13" s="1"/>
  <c r="H85" i="13" l="1"/>
  <c r="I69" i="13"/>
  <c r="J85" i="13" s="1"/>
  <c r="L69" i="13"/>
  <c r="K69" i="13"/>
  <c r="L85" i="13" s="1"/>
  <c r="J69" i="13"/>
  <c r="K85" i="13" s="1"/>
  <c r="H86" i="13"/>
  <c r="K70" i="13" l="1"/>
  <c r="L86" i="13" s="1"/>
  <c r="H70" i="13"/>
  <c r="I86" i="13" s="1"/>
  <c r="I70" i="13"/>
  <c r="J86" i="13" s="1"/>
  <c r="L70" i="13"/>
  <c r="J70" i="13"/>
  <c r="K86" i="13" s="1"/>
  <c r="H74" i="13" l="1"/>
  <c r="I87" i="13"/>
  <c r="I115" i="13" s="1"/>
  <c r="H72" i="13"/>
  <c r="H76" i="13" s="1"/>
  <c r="L74" i="13"/>
  <c r="G74" i="13" l="1"/>
  <c r="H87" i="13"/>
  <c r="J74" i="13"/>
  <c r="K87" i="13"/>
  <c r="I74" i="13"/>
  <c r="J87" i="13"/>
  <c r="K74" i="13"/>
  <c r="L87" i="13"/>
  <c r="H73" i="13"/>
  <c r="H75" i="13" s="1"/>
  <c r="J72" i="13"/>
  <c r="J76" i="13" s="1"/>
  <c r="K72" i="13"/>
  <c r="K76" i="13" s="1"/>
  <c r="I72" i="13"/>
  <c r="I76" i="13" s="1"/>
  <c r="L72" i="13"/>
  <c r="L76" i="13" s="1"/>
  <c r="G72" i="13"/>
  <c r="G76" i="13" s="1"/>
  <c r="I118" i="13" l="1"/>
  <c r="I120" i="13"/>
  <c r="L115" i="13"/>
  <c r="L120" i="13"/>
  <c r="K115" i="13"/>
  <c r="K120" i="13"/>
  <c r="H115" i="13"/>
  <c r="J115" i="13"/>
  <c r="J120" i="13"/>
  <c r="G73" i="13"/>
  <c r="G75" i="13" s="1"/>
  <c r="J73" i="13"/>
  <c r="J75" i="13" s="1"/>
  <c r="K73" i="13"/>
  <c r="K75" i="13" s="1"/>
  <c r="L73" i="13"/>
  <c r="L75" i="13" s="1"/>
  <c r="I73" i="13"/>
  <c r="I75" i="13" s="1"/>
  <c r="I119" i="13" l="1"/>
  <c r="I15" i="18" s="1"/>
  <c r="H120" i="13"/>
  <c r="H118" i="13"/>
  <c r="H119" i="13" s="1"/>
  <c r="H15" i="18" s="1"/>
  <c r="I74" i="61"/>
  <c r="I16" i="18"/>
  <c r="I54" i="67" s="1"/>
  <c r="J118" i="13"/>
  <c r="J119" i="13" s="1"/>
  <c r="J15" i="18" s="1"/>
  <c r="L118" i="13"/>
  <c r="L119" i="13" s="1"/>
  <c r="L15" i="18" s="1"/>
  <c r="K118" i="13"/>
  <c r="K119" i="13" s="1"/>
  <c r="K15" i="18" s="1"/>
  <c r="I75" i="61" l="1"/>
  <c r="I105" i="61" s="1"/>
  <c r="I121" i="13"/>
  <c r="I145" i="13" s="1"/>
  <c r="I93" i="67"/>
  <c r="I94" i="67"/>
  <c r="I35" i="18"/>
  <c r="J75" i="61"/>
  <c r="J16" i="18"/>
  <c r="J54" i="67" s="1"/>
  <c r="J74" i="61"/>
  <c r="L74" i="61"/>
  <c r="L16" i="18"/>
  <c r="L54" i="67" s="1"/>
  <c r="L75" i="61"/>
  <c r="H16" i="18"/>
  <c r="H54" i="67" s="1"/>
  <c r="H74" i="61"/>
  <c r="H75" i="61"/>
  <c r="K74" i="61"/>
  <c r="K16" i="18"/>
  <c r="K54" i="67" s="1"/>
  <c r="K75" i="61"/>
  <c r="I67" i="67" l="1"/>
  <c r="I68" i="67"/>
  <c r="I41" i="18"/>
  <c r="I69" i="67"/>
  <c r="I195" i="61"/>
  <c r="I197" i="61" s="1"/>
  <c r="F16" i="63" s="1"/>
  <c r="I106" i="61"/>
  <c r="H13" i="45"/>
  <c r="I36" i="18"/>
  <c r="I37" i="18" s="1"/>
  <c r="I73" i="67"/>
  <c r="I58" i="67"/>
  <c r="I38" i="18"/>
  <c r="I147" i="13"/>
  <c r="I148" i="13" s="1"/>
  <c r="I122" i="13"/>
  <c r="I45" i="61"/>
  <c r="I46" i="61" s="1"/>
  <c r="L93" i="67"/>
  <c r="J93" i="67"/>
  <c r="H93" i="67"/>
  <c r="H94" i="67"/>
  <c r="L94" i="67"/>
  <c r="I110" i="67"/>
  <c r="K94" i="67"/>
  <c r="J94" i="67"/>
  <c r="K93" i="67"/>
  <c r="I84" i="67"/>
  <c r="I43" i="67"/>
  <c r="I62" i="67"/>
  <c r="I80" i="67"/>
  <c r="I83" i="67"/>
  <c r="I77" i="67"/>
  <c r="I76" i="67"/>
  <c r="I56" i="67"/>
  <c r="I61" i="67"/>
  <c r="I57" i="67"/>
  <c r="I60" i="67"/>
  <c r="I55" i="67"/>
  <c r="I59" i="67"/>
  <c r="I82" i="67"/>
  <c r="I79" i="67"/>
  <c r="I81" i="67"/>
  <c r="I53" i="67"/>
  <c r="F10" i="63"/>
  <c r="J34" i="62" s="1"/>
  <c r="I146" i="13"/>
  <c r="I39" i="18" s="1"/>
  <c r="K105" i="61"/>
  <c r="K121" i="13"/>
  <c r="L105" i="61"/>
  <c r="L121" i="13"/>
  <c r="H121" i="13"/>
  <c r="D15" i="18"/>
  <c r="C15" i="18"/>
  <c r="H35" i="18"/>
  <c r="L35" i="18"/>
  <c r="K35" i="18"/>
  <c r="J121" i="13"/>
  <c r="J35" i="18"/>
  <c r="D16" i="18"/>
  <c r="C16" i="18"/>
  <c r="H105" i="61"/>
  <c r="J105" i="61"/>
  <c r="J67" i="67" l="1"/>
  <c r="J68" i="67"/>
  <c r="K67" i="67"/>
  <c r="K68" i="67"/>
  <c r="H67" i="67"/>
  <c r="H68" i="67"/>
  <c r="L67" i="67"/>
  <c r="L68" i="67"/>
  <c r="H41" i="18"/>
  <c r="H69" i="67"/>
  <c r="J41" i="18"/>
  <c r="J69" i="67"/>
  <c r="K41" i="18"/>
  <c r="K69" i="67"/>
  <c r="L41" i="18"/>
  <c r="L69" i="67"/>
  <c r="L106" i="61"/>
  <c r="H195" i="61"/>
  <c r="H197" i="61" s="1"/>
  <c r="H199" i="61" s="1"/>
  <c r="K106" i="61"/>
  <c r="K195" i="61"/>
  <c r="K197" i="61" s="1"/>
  <c r="K199" i="61" s="1"/>
  <c r="K46" i="18" s="1"/>
  <c r="I199" i="61"/>
  <c r="I46" i="18" s="1"/>
  <c r="H14" i="45" s="1"/>
  <c r="L73" i="67"/>
  <c r="H73" i="67"/>
  <c r="J73" i="67"/>
  <c r="K73" i="67"/>
  <c r="I40" i="18"/>
  <c r="K110" i="67"/>
  <c r="K58" i="67"/>
  <c r="K38" i="18"/>
  <c r="K147" i="13"/>
  <c r="L147" i="13"/>
  <c r="L38" i="18"/>
  <c r="J58" i="67"/>
  <c r="J38" i="18"/>
  <c r="J147" i="13"/>
  <c r="H58" i="67"/>
  <c r="H147" i="13"/>
  <c r="H38" i="18"/>
  <c r="L53" i="67"/>
  <c r="L58" i="67"/>
  <c r="F22" i="63"/>
  <c r="I87" i="46" s="1"/>
  <c r="F11" i="63"/>
  <c r="I84" i="46" s="1"/>
  <c r="F26" i="63"/>
  <c r="F27" i="63" s="1"/>
  <c r="I67" i="34" s="1"/>
  <c r="F36" i="63"/>
  <c r="F37" i="63" s="1"/>
  <c r="L195" i="61"/>
  <c r="F14" i="63"/>
  <c r="F15" i="63" s="1"/>
  <c r="J45" i="62" s="1"/>
  <c r="F38" i="63"/>
  <c r="J46" i="62" s="1"/>
  <c r="H84" i="67"/>
  <c r="H43" i="67"/>
  <c r="H62" i="67"/>
  <c r="H80" i="67"/>
  <c r="H83" i="67"/>
  <c r="H77" i="67"/>
  <c r="H76" i="67"/>
  <c r="H57" i="67"/>
  <c r="H60" i="67"/>
  <c r="H56" i="67"/>
  <c r="H61" i="67"/>
  <c r="H55" i="67"/>
  <c r="H59" i="67"/>
  <c r="H82" i="67"/>
  <c r="H79" i="67"/>
  <c r="H81" i="67"/>
  <c r="C94" i="67"/>
  <c r="J110" i="67"/>
  <c r="J84" i="67"/>
  <c r="J43" i="67"/>
  <c r="J62" i="67"/>
  <c r="J80" i="67"/>
  <c r="J83" i="67"/>
  <c r="J77" i="67"/>
  <c r="J61" i="67"/>
  <c r="J60" i="67"/>
  <c r="J56" i="67"/>
  <c r="J55" i="67"/>
  <c r="J57" i="67"/>
  <c r="J59" i="67"/>
  <c r="J76" i="67"/>
  <c r="J82" i="67"/>
  <c r="J79" i="67"/>
  <c r="J81" i="67"/>
  <c r="K84" i="67"/>
  <c r="K43" i="67"/>
  <c r="K62" i="67"/>
  <c r="K80" i="67"/>
  <c r="K83" i="67"/>
  <c r="K77" i="67"/>
  <c r="K56" i="67"/>
  <c r="K60" i="67"/>
  <c r="K57" i="67"/>
  <c r="K61" i="67"/>
  <c r="K55" i="67"/>
  <c r="K59" i="67"/>
  <c r="K82" i="67"/>
  <c r="K76" i="67"/>
  <c r="K79" i="67"/>
  <c r="K81" i="67"/>
  <c r="H53" i="67"/>
  <c r="J53" i="67"/>
  <c r="L84" i="67"/>
  <c r="L43" i="67"/>
  <c r="L62" i="67"/>
  <c r="L80" i="67"/>
  <c r="L83" i="67"/>
  <c r="L60" i="67"/>
  <c r="L61" i="67"/>
  <c r="L56" i="67"/>
  <c r="L55" i="67"/>
  <c r="L57" i="67"/>
  <c r="L59" i="67"/>
  <c r="L77" i="67"/>
  <c r="L82" i="67"/>
  <c r="L76" i="67"/>
  <c r="L79" i="67"/>
  <c r="L81" i="67"/>
  <c r="K53" i="67"/>
  <c r="H110" i="67"/>
  <c r="C93" i="67"/>
  <c r="L110" i="67"/>
  <c r="I62" i="34"/>
  <c r="I83" i="46"/>
  <c r="F18" i="63"/>
  <c r="F19" i="63" s="1"/>
  <c r="I50" i="61" s="1"/>
  <c r="L145" i="13"/>
  <c r="L36" i="18" s="1"/>
  <c r="L37" i="18" s="1"/>
  <c r="L122" i="13"/>
  <c r="H145" i="13"/>
  <c r="H122" i="13"/>
  <c r="J145" i="13"/>
  <c r="J122" i="13"/>
  <c r="K145" i="13"/>
  <c r="K36" i="18" s="1"/>
  <c r="K37" i="18" s="1"/>
  <c r="K122" i="13"/>
  <c r="J106" i="61"/>
  <c r="J195" i="61"/>
  <c r="C35" i="18"/>
  <c r="H106" i="61"/>
  <c r="D35" i="18"/>
  <c r="I47" i="61"/>
  <c r="F17" i="63"/>
  <c r="I48" i="61" s="1"/>
  <c r="I115" i="67" l="1"/>
  <c r="I122" i="67" s="1"/>
  <c r="I124" i="67" s="1"/>
  <c r="I125" i="67" s="1"/>
  <c r="I52" i="18"/>
  <c r="I53" i="18" s="1"/>
  <c r="I78" i="67"/>
  <c r="L197" i="61"/>
  <c r="L199" i="61" s="1"/>
  <c r="L46" i="18" s="1"/>
  <c r="J197" i="61"/>
  <c r="J199" i="61" s="1"/>
  <c r="E16" i="18"/>
  <c r="D41" i="18"/>
  <c r="C54" i="67"/>
  <c r="C41" i="18"/>
  <c r="E10" i="63"/>
  <c r="H83" i="46" s="1"/>
  <c r="H36" i="18"/>
  <c r="H37" i="18" s="1"/>
  <c r="G10" i="63"/>
  <c r="G14" i="63" s="1"/>
  <c r="J36" i="18"/>
  <c r="J37" i="18" s="1"/>
  <c r="F23" i="63"/>
  <c r="I88" i="46" s="1"/>
  <c r="J148" i="13"/>
  <c r="L148" i="13"/>
  <c r="C53" i="67"/>
  <c r="C71" i="67"/>
  <c r="C69" i="67"/>
  <c r="C64" i="67"/>
  <c r="C68" i="67"/>
  <c r="C66" i="67"/>
  <c r="C72" i="67"/>
  <c r="C70" i="67"/>
  <c r="C67" i="67"/>
  <c r="C65" i="67"/>
  <c r="K148" i="13"/>
  <c r="H148" i="13"/>
  <c r="I63" i="34"/>
  <c r="I66" i="34"/>
  <c r="H16" i="63"/>
  <c r="K47" i="61" s="1"/>
  <c r="F39" i="63"/>
  <c r="I90" i="46" s="1"/>
  <c r="J44" i="62"/>
  <c r="I89" i="46"/>
  <c r="I68" i="34"/>
  <c r="I51" i="61"/>
  <c r="I49" i="61"/>
  <c r="I13" i="45"/>
  <c r="H46" i="18"/>
  <c r="C110" i="67"/>
  <c r="K115" i="67"/>
  <c r="K122" i="67" s="1"/>
  <c r="K124" i="67" s="1"/>
  <c r="K125" i="67" s="1"/>
  <c r="K78" i="67"/>
  <c r="C43" i="67"/>
  <c r="C73" i="67"/>
  <c r="C58" i="67"/>
  <c r="C80" i="67"/>
  <c r="C83" i="67"/>
  <c r="C84" i="67"/>
  <c r="C77" i="67"/>
  <c r="C63" i="67"/>
  <c r="C60" i="67"/>
  <c r="C55" i="67"/>
  <c r="C56" i="67"/>
  <c r="C57" i="67"/>
  <c r="C59" i="67"/>
  <c r="C61" i="67"/>
  <c r="C62" i="67"/>
  <c r="C82" i="67"/>
  <c r="C79" i="67"/>
  <c r="C81" i="67"/>
  <c r="C76" i="67"/>
  <c r="J146" i="13"/>
  <c r="J39" i="18" s="1"/>
  <c r="J40" i="18" s="1"/>
  <c r="J45" i="61"/>
  <c r="J46" i="61" s="1"/>
  <c r="H146" i="13"/>
  <c r="H39" i="18" s="1"/>
  <c r="H40" i="18" s="1"/>
  <c r="G13" i="45"/>
  <c r="H45" i="61"/>
  <c r="H46" i="61" s="1"/>
  <c r="C145" i="13"/>
  <c r="K146" i="13"/>
  <c r="K39" i="18" s="1"/>
  <c r="K40" i="18" s="1"/>
  <c r="J13" i="45"/>
  <c r="K45" i="61"/>
  <c r="K46" i="61" s="1"/>
  <c r="H10" i="63"/>
  <c r="L45" i="61"/>
  <c r="L46" i="61" s="1"/>
  <c r="L146" i="13"/>
  <c r="L39" i="18" s="1"/>
  <c r="L40" i="18" s="1"/>
  <c r="I10" i="63"/>
  <c r="K13" i="45"/>
  <c r="E34" i="18"/>
  <c r="E50" i="18"/>
  <c r="E51" i="18"/>
  <c r="E33" i="18"/>
  <c r="E22" i="18"/>
  <c r="E19" i="18"/>
  <c r="E30" i="18"/>
  <c r="E45" i="18"/>
  <c r="E32" i="18"/>
  <c r="E26" i="18"/>
  <c r="E20" i="18"/>
  <c r="E48" i="18"/>
  <c r="E27" i="18"/>
  <c r="E23" i="18"/>
  <c r="E17" i="18"/>
  <c r="E18" i="18"/>
  <c r="E24" i="18"/>
  <c r="E44" i="18"/>
  <c r="E31" i="18"/>
  <c r="E28" i="18"/>
  <c r="E21" i="18"/>
  <c r="E29" i="18"/>
  <c r="E35" i="18"/>
  <c r="E25" i="18"/>
  <c r="E47" i="18"/>
  <c r="E49" i="18"/>
  <c r="E16" i="63"/>
  <c r="E15" i="18"/>
  <c r="I55" i="18"/>
  <c r="J14" i="45"/>
  <c r="K52" i="18"/>
  <c r="K53" i="18" s="1"/>
  <c r="I85" i="67" l="1"/>
  <c r="I44" i="67"/>
  <c r="I45" i="67" s="1"/>
  <c r="I126" i="67"/>
  <c r="G16" i="63"/>
  <c r="G18" i="63" s="1"/>
  <c r="G19" i="63" s="1"/>
  <c r="J50" i="61" s="1"/>
  <c r="I16" i="63"/>
  <c r="L47" i="61" s="1"/>
  <c r="C197" i="61"/>
  <c r="I34" i="62"/>
  <c r="J46" i="18"/>
  <c r="J78" i="67" s="1"/>
  <c r="C199" i="61"/>
  <c r="L52" i="18"/>
  <c r="L53" i="18" s="1"/>
  <c r="K14" i="45"/>
  <c r="L115" i="67"/>
  <c r="L122" i="67" s="1"/>
  <c r="L124" i="67" s="1"/>
  <c r="L126" i="67" s="1"/>
  <c r="L78" i="67"/>
  <c r="K34" i="62"/>
  <c r="E41" i="18"/>
  <c r="E14" i="63"/>
  <c r="E15" i="63" s="1"/>
  <c r="I45" i="62" s="1"/>
  <c r="J83" i="46"/>
  <c r="J62" i="34"/>
  <c r="G11" i="63"/>
  <c r="J63" i="34" s="1"/>
  <c r="G26" i="63"/>
  <c r="G27" i="63" s="1"/>
  <c r="J67" i="34" s="1"/>
  <c r="G22" i="63"/>
  <c r="J87" i="46" s="1"/>
  <c r="G36" i="63"/>
  <c r="G37" i="63" s="1"/>
  <c r="E11" i="63"/>
  <c r="H63" i="34" s="1"/>
  <c r="E26" i="63"/>
  <c r="E27" i="63" s="1"/>
  <c r="H67" i="34" s="1"/>
  <c r="H62" i="34"/>
  <c r="E22" i="63"/>
  <c r="E23" i="63" s="1"/>
  <c r="H88" i="46" s="1"/>
  <c r="E36" i="63"/>
  <c r="E37" i="63" s="1"/>
  <c r="E18" i="63"/>
  <c r="E19" i="63" s="1"/>
  <c r="H50" i="61" s="1"/>
  <c r="I64" i="18"/>
  <c r="J47" i="62"/>
  <c r="I52" i="61"/>
  <c r="H17" i="63"/>
  <c r="K48" i="61" s="1"/>
  <c r="I69" i="34"/>
  <c r="K85" i="67"/>
  <c r="K44" i="67"/>
  <c r="K45" i="67" s="1"/>
  <c r="I86" i="67"/>
  <c r="I15" i="67"/>
  <c r="I16" i="67" s="1"/>
  <c r="H115" i="67"/>
  <c r="H78" i="67"/>
  <c r="K126" i="67"/>
  <c r="D13" i="45"/>
  <c r="C45" i="61"/>
  <c r="H36" i="63"/>
  <c r="H37" i="63" s="1"/>
  <c r="K62" i="34"/>
  <c r="H22" i="63"/>
  <c r="K83" i="46"/>
  <c r="H26" i="63"/>
  <c r="L34" i="62"/>
  <c r="H11" i="63"/>
  <c r="H14" i="63"/>
  <c r="B10" i="63"/>
  <c r="H18" i="63"/>
  <c r="H19" i="63" s="1"/>
  <c r="K50" i="61" s="1"/>
  <c r="H38" i="63"/>
  <c r="M34" i="62"/>
  <c r="I14" i="63"/>
  <c r="L62" i="34"/>
  <c r="I36" i="63"/>
  <c r="I37" i="63" s="1"/>
  <c r="I11" i="63"/>
  <c r="I26" i="63"/>
  <c r="L83" i="46"/>
  <c r="I22" i="63"/>
  <c r="G14" i="45"/>
  <c r="H52" i="18"/>
  <c r="H53" i="18" s="1"/>
  <c r="I79" i="18"/>
  <c r="I81" i="18"/>
  <c r="I56" i="18"/>
  <c r="I87" i="67" s="1"/>
  <c r="E17" i="63"/>
  <c r="H48" i="61" s="1"/>
  <c r="H47" i="61"/>
  <c r="G15" i="63"/>
  <c r="K45" i="62" s="1"/>
  <c r="K44" i="62"/>
  <c r="K55" i="18"/>
  <c r="E38" i="63"/>
  <c r="I18" i="63" l="1"/>
  <c r="L49" i="61" s="1"/>
  <c r="I38" i="63"/>
  <c r="I39" i="63" s="1"/>
  <c r="M47" i="62" s="1"/>
  <c r="I17" i="63"/>
  <c r="L48" i="61" s="1"/>
  <c r="B16" i="63"/>
  <c r="B38" i="63" s="1"/>
  <c r="G17" i="63"/>
  <c r="J48" i="61" s="1"/>
  <c r="J47" i="61"/>
  <c r="C47" i="61" s="1"/>
  <c r="G38" i="63"/>
  <c r="G39" i="63" s="1"/>
  <c r="J52" i="61" s="1"/>
  <c r="J115" i="67"/>
  <c r="J122" i="67" s="1"/>
  <c r="J124" i="67" s="1"/>
  <c r="J125" i="67" s="1"/>
  <c r="C46" i="18"/>
  <c r="C78" i="67" s="1"/>
  <c r="I14" i="45"/>
  <c r="D14" i="45" s="1"/>
  <c r="J52" i="18"/>
  <c r="J53" i="18" s="1"/>
  <c r="D46" i="18"/>
  <c r="E46" i="18" s="1"/>
  <c r="L125" i="67"/>
  <c r="L55" i="18"/>
  <c r="L56" i="18" s="1"/>
  <c r="L87" i="67" s="1"/>
  <c r="L85" i="67"/>
  <c r="L44" i="67"/>
  <c r="L45" i="67" s="1"/>
  <c r="I44" i="62"/>
  <c r="J84" i="46"/>
  <c r="J66" i="34"/>
  <c r="G23" i="63"/>
  <c r="J88" i="46" s="1"/>
  <c r="H66" i="34"/>
  <c r="H49" i="61"/>
  <c r="H84" i="46"/>
  <c r="H87" i="46"/>
  <c r="K64" i="18"/>
  <c r="J49" i="61"/>
  <c r="C34" i="62"/>
  <c r="K49" i="61"/>
  <c r="K86" i="67"/>
  <c r="K15" i="67"/>
  <c r="K16" i="67" s="1"/>
  <c r="H85" i="67"/>
  <c r="H44" i="67"/>
  <c r="H122" i="67"/>
  <c r="I27" i="63"/>
  <c r="L67" i="34" s="1"/>
  <c r="L66" i="34"/>
  <c r="M44" i="62"/>
  <c r="I15" i="63"/>
  <c r="M45" i="62" s="1"/>
  <c r="L84" i="46"/>
  <c r="L63" i="34"/>
  <c r="K84" i="46"/>
  <c r="K63" i="34"/>
  <c r="K87" i="46"/>
  <c r="H23" i="63"/>
  <c r="K88" i="46" s="1"/>
  <c r="H15" i="63"/>
  <c r="L45" i="62" s="1"/>
  <c r="L44" i="62"/>
  <c r="L87" i="46"/>
  <c r="I23" i="63"/>
  <c r="L88" i="46" s="1"/>
  <c r="B11" i="63"/>
  <c r="B22" i="63"/>
  <c r="E83" i="46"/>
  <c r="B36" i="63"/>
  <c r="B37" i="63" s="1"/>
  <c r="B14" i="63"/>
  <c r="B15" i="63" s="1"/>
  <c r="B26" i="63"/>
  <c r="D62" i="34"/>
  <c r="K89" i="46"/>
  <c r="L46" i="62"/>
  <c r="H39" i="63"/>
  <c r="K68" i="34"/>
  <c r="K51" i="61"/>
  <c r="H27" i="63"/>
  <c r="K67" i="34" s="1"/>
  <c r="K66" i="34"/>
  <c r="K79" i="18"/>
  <c r="K56" i="18"/>
  <c r="K87" i="67" s="1"/>
  <c r="K81" i="18"/>
  <c r="E39" i="63"/>
  <c r="H89" i="46"/>
  <c r="H51" i="61"/>
  <c r="H68" i="34"/>
  <c r="I46" i="62"/>
  <c r="H55" i="18"/>
  <c r="L69" i="34" l="1"/>
  <c r="L52" i="61"/>
  <c r="L51" i="61"/>
  <c r="L90" i="46"/>
  <c r="I19" i="63"/>
  <c r="L50" i="61" s="1"/>
  <c r="L68" i="34"/>
  <c r="L89" i="46"/>
  <c r="B18" i="63"/>
  <c r="B19" i="63" s="1"/>
  <c r="C50" i="61" s="1"/>
  <c r="B17" i="63"/>
  <c r="C48" i="61" s="1"/>
  <c r="M46" i="62"/>
  <c r="J69" i="34"/>
  <c r="K47" i="62"/>
  <c r="J89" i="46"/>
  <c r="J68" i="34"/>
  <c r="J90" i="46"/>
  <c r="C52" i="18"/>
  <c r="C85" i="67" s="1"/>
  <c r="K46" i="62"/>
  <c r="J44" i="67"/>
  <c r="J45" i="67" s="1"/>
  <c r="C115" i="67"/>
  <c r="J126" i="67"/>
  <c r="J85" i="67"/>
  <c r="J55" i="18"/>
  <c r="J86" i="67" s="1"/>
  <c r="D52" i="18"/>
  <c r="E52" i="18" s="1"/>
  <c r="J51" i="61"/>
  <c r="L79" i="18"/>
  <c r="L86" i="67"/>
  <c r="L15" i="67"/>
  <c r="L16" i="67" s="1"/>
  <c r="L64" i="18"/>
  <c r="L81" i="18"/>
  <c r="C44" i="62"/>
  <c r="H64" i="18"/>
  <c r="H66" i="18" s="1"/>
  <c r="C49" i="61"/>
  <c r="C45" i="62"/>
  <c r="H86" i="67"/>
  <c r="H15" i="67"/>
  <c r="H16" i="67" s="1"/>
  <c r="H17" i="67"/>
  <c r="H45" i="67"/>
  <c r="C122" i="67"/>
  <c r="C124" i="67" s="1"/>
  <c r="H124" i="67"/>
  <c r="H125" i="67" s="1"/>
  <c r="E84" i="46"/>
  <c r="D63" i="34"/>
  <c r="K69" i="34"/>
  <c r="L47" i="62"/>
  <c r="K52" i="61"/>
  <c r="K90" i="46"/>
  <c r="D66" i="34"/>
  <c r="B27" i="63"/>
  <c r="D67" i="34" s="1"/>
  <c r="B23" i="63"/>
  <c r="E88" i="46" s="1"/>
  <c r="E87" i="46"/>
  <c r="B39" i="63"/>
  <c r="C51" i="61"/>
  <c r="D68" i="34"/>
  <c r="E89" i="46"/>
  <c r="H81" i="18"/>
  <c r="H82" i="18" s="1"/>
  <c r="I82" i="18" s="1"/>
  <c r="H79" i="18"/>
  <c r="H56" i="18"/>
  <c r="H87" i="67" s="1"/>
  <c r="H57" i="18"/>
  <c r="I57" i="18" s="1"/>
  <c r="H90" i="46"/>
  <c r="H69" i="34"/>
  <c r="H52" i="61"/>
  <c r="I47" i="62"/>
  <c r="H68" i="18" l="1"/>
  <c r="H69" i="18" s="1"/>
  <c r="C46" i="62"/>
  <c r="C55" i="18"/>
  <c r="C86" i="67" s="1"/>
  <c r="C44" i="67"/>
  <c r="D55" i="18"/>
  <c r="E55" i="18" s="1"/>
  <c r="J56" i="18"/>
  <c r="J87" i="67" s="1"/>
  <c r="C45" i="67"/>
  <c r="J57" i="18"/>
  <c r="K57" i="18" s="1"/>
  <c r="L57" i="18" s="1"/>
  <c r="J79" i="18"/>
  <c r="J81" i="18"/>
  <c r="J82" i="18" s="1"/>
  <c r="K82" i="18" s="1"/>
  <c r="L82" i="18" s="1"/>
  <c r="J64" i="18"/>
  <c r="J15" i="67"/>
  <c r="J16" i="67" s="1"/>
  <c r="H126" i="67"/>
  <c r="H89" i="67"/>
  <c r="I17" i="67"/>
  <c r="H18" i="67"/>
  <c r="C47" i="62"/>
  <c r="E90" i="46"/>
  <c r="C52" i="61"/>
  <c r="D69" i="34"/>
  <c r="H70" i="18" l="1"/>
  <c r="H71" i="18" s="1"/>
  <c r="I63" i="18" s="1"/>
  <c r="I89" i="67"/>
  <c r="I18" i="67"/>
  <c r="J17" i="67"/>
  <c r="H73" i="18" l="1"/>
  <c r="H74" i="18" s="1"/>
  <c r="I65" i="18"/>
  <c r="I68" i="18" s="1"/>
  <c r="I69" i="18" s="1"/>
  <c r="J89" i="67"/>
  <c r="J18" i="67"/>
  <c r="K17" i="67"/>
  <c r="I66" i="18" l="1"/>
  <c r="I70" i="18"/>
  <c r="I73" i="18" s="1"/>
  <c r="I74" i="18" s="1"/>
  <c r="K89" i="67"/>
  <c r="L17" i="67"/>
  <c r="K18" i="67"/>
  <c r="I71" i="18" l="1"/>
  <c r="J63" i="18" s="1"/>
  <c r="L89" i="67"/>
  <c r="L18" i="67"/>
  <c r="J65" i="18" l="1"/>
  <c r="J68" i="18" l="1"/>
  <c r="J69" i="18" s="1"/>
  <c r="J66" i="18"/>
  <c r="J70" i="18" l="1"/>
  <c r="J73" i="18" l="1"/>
  <c r="J74" i="18" s="1"/>
  <c r="J71" i="18"/>
  <c r="K63" i="18" s="1"/>
  <c r="K68" i="18"/>
  <c r="K69" i="18" s="1"/>
  <c r="K65" i="18" l="1"/>
  <c r="K66" i="18" l="1"/>
  <c r="K70" i="18"/>
  <c r="K73" i="18" s="1"/>
  <c r="K74" i="18" s="1"/>
  <c r="L68" i="18"/>
  <c r="L69" i="18" s="1"/>
  <c r="K71" i="18" l="1"/>
  <c r="L63" i="18" s="1"/>
  <c r="L65" i="18" l="1"/>
  <c r="L70" i="18" s="1"/>
  <c r="L73" i="18" s="1"/>
  <c r="L74" i="18" s="1"/>
  <c r="L66" i="18" l="1"/>
  <c r="L7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tc={C9720B80-4DE7-4342-B7EE-57EDC974AF12}</author>
    <author>tc={9909DB41-4054-4051-8E9D-3A06A152DDC1}</author>
    <author>Michael Dang</author>
    <author>tc={AE8693CC-D799-40D8-BC0A-DDEFCADE3B8B}</author>
    <author>tc={14D4832A-A429-4B66-9D06-54B3C5043617}</author>
  </authors>
  <commentList>
    <comment ref="C9" authorId="0" shapeId="0" xr:uid="{C9720B80-4DE7-4342-B7EE-57EDC974AF12}">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B15" authorId="1" shapeId="0" xr:uid="{9909DB41-4054-4051-8E9D-3A06A152DDC1}">
      <text>
        <t>[Threaded comment]
Your version of Excel allows you to read this threaded comment; however, any edits to it will get removed if the file is opened in a newer version of Excel. Learn more: https://go.microsoft.com/fwlink/?linkid=870924
Comment:
    Lines renamed to match profile</t>
      </text>
    </comment>
    <comment ref="B26" authorId="2" shapeId="0" xr:uid="{768C8515-1DB4-4E55-B6AB-EB9342627BA2}">
      <text>
        <r>
          <rPr>
            <b/>
            <sz val="9"/>
            <color indexed="81"/>
            <rFont val="Tahoma"/>
            <family val="2"/>
          </rPr>
          <t>Michael Dang:</t>
        </r>
        <r>
          <rPr>
            <sz val="9"/>
            <color indexed="81"/>
            <rFont val="Tahoma"/>
            <family val="2"/>
          </rPr>
          <t xml:space="preserve">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 ref="B44" authorId="3" shapeId="0" xr:uid="{AE8693CC-D799-40D8-BC0A-DDEFCADE3B8B}">
      <text>
        <t>[Threaded comment]
Your version of Excel allows you to read this threaded comment; however, any edits to it will get removed if the file is opened in a newer version of Excel. Learn more: https://go.microsoft.com/fwlink/?linkid=870924
Comment:
    Lines renamed to match profile and other tabs</t>
      </text>
    </comment>
    <comment ref="C44" authorId="4" shapeId="0" xr:uid="{14D4832A-A429-4B66-9D06-54B3C5043617}">
      <text>
        <t>[Threaded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tc={3C354C26-ABAF-4990-B105-01215F15C21A}</author>
    <author>tc={B6F42B41-A78D-412D-AF3D-9126A5E0D606}</author>
    <author>tc={60129E67-CD70-46E7-91DA-906463589E3F}</author>
    <author>tc={E0B74DCF-2136-4060-977D-5542CAFEBFAB}</author>
  </authors>
  <commentList>
    <comment ref="C9" authorId="0" shapeId="0" xr:uid="{3C354C26-ABAF-4990-B105-01215F15C21A}">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B76" authorId="1" shapeId="0" xr:uid="{B6F42B41-A78D-412D-AF3D-9126A5E0D606}">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93" authorId="2" shapeId="0" xr:uid="{60129E67-CD70-46E7-91DA-906463589E3F}">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13" authorId="3" shapeId="0" xr:uid="{E0B74DCF-2136-4060-977D-5542CAFEBFAB}">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tc={87EFE0C2-FEF2-455B-9DF6-67099F02ADE0}</author>
    <author>tc={F01B7D95-1612-4E39-9CC5-6D2B6DA04B58}</author>
    <author>tc={561B544A-2D67-4E3A-99F3-D87FFDF6A489}</author>
    <author>tc={0811A250-739D-43A0-A3B3-E75FBF9A76FD}</author>
  </authors>
  <commentList>
    <comment ref="B34" authorId="0" shapeId="0" xr:uid="{87EFE0C2-FEF2-455B-9DF6-67099F02ADE0}">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I34" authorId="1" shapeId="0" xr:uid="{F01B7D95-1612-4E39-9CC5-6D2B6DA04B58}">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 ref="B66" authorId="2" shapeId="0" xr:uid="{561B544A-2D67-4E3A-99F3-D87FFDF6A489}">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I66" authorId="3" shapeId="0" xr:uid="{0811A250-739D-43A0-A3B3-E75FBF9A76FD}">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tc={44638AEC-F4AF-481B-B482-D02A8E76DFE4}</author>
    <author>tc={ACFF2C00-C68D-444F-A86C-AF37774166CB}</author>
    <author>Michael Dang</author>
    <author>tc={FAF9EAF0-2408-4BEA-AA7F-D3ED4C6366EF}</author>
    <author>tc={0F7764B7-2B20-4F23-826F-F6F42C20F046}</author>
  </authors>
  <commentList>
    <comment ref="D12" authorId="0" shapeId="0" xr:uid="{44638AEC-F4AF-481B-B482-D02A8E76DFE4}">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B47" authorId="1" shapeId="0" xr:uid="{ACFF2C00-C68D-444F-A86C-AF37774166CB}">
      <text>
        <t>[Threaded comment]
Your version of Excel allows you to read this threaded comment; however, any edits to it will get removed if the file is opened in a newer version of Excel. Learn more: https://go.microsoft.com/fwlink/?linkid=870924
Comment:
    I would call this "ENROLLMENT BY STUDENT GROUP (Federally Fundable)
Reply:
    Thank you.  It's updated.</t>
      </text>
    </comment>
    <comment ref="B60" authorId="2" shapeId="0" xr:uid="{DC8AFC5D-048B-412F-BF44-DE017AB625CB}">
      <text>
        <r>
          <rPr>
            <b/>
            <sz val="9"/>
            <color indexed="81"/>
            <rFont val="Tahoma"/>
            <family val="2"/>
          </rPr>
          <t>Michael Dang:</t>
        </r>
        <r>
          <rPr>
            <sz val="9"/>
            <color indexed="81"/>
            <rFont val="Tahoma"/>
            <family val="2"/>
          </rPr>
          <t xml:space="preserve">
Your revenue estimates begin with the State Adjusted...section.
Fill in the Total Enrollment section first.
Background information: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adjusted funds...</t>
        </r>
      </text>
    </comment>
    <comment ref="B73" authorId="2" shapeId="0" xr:uid="{075072D7-1F02-47A7-BD95-A0F8BA18552D}">
      <text>
        <r>
          <rPr>
            <b/>
            <sz val="9"/>
            <color indexed="81"/>
            <rFont val="Tahoma"/>
            <family val="2"/>
          </rPr>
          <t>Michael Dang:</t>
        </r>
        <r>
          <rPr>
            <sz val="9"/>
            <color indexed="81"/>
            <rFont val="Tahoma"/>
            <family val="2"/>
          </rPr>
          <t xml:space="preserve">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73" authorId="2" shapeId="0" xr:uid="{FA66FC41-B36F-464F-9741-76ACC3602D08}">
      <text>
        <r>
          <rPr>
            <b/>
            <sz val="9"/>
            <color indexed="81"/>
            <rFont val="Tahoma"/>
            <family val="2"/>
          </rPr>
          <t>Michael Dang:</t>
        </r>
        <r>
          <rPr>
            <sz val="9"/>
            <color indexed="81"/>
            <rFont val="Tahoma"/>
            <family val="2"/>
          </rPr>
          <t xml:space="preserve">
This may go over 100% as it is showing an estimate of overlap which is addressed in the rest of the table.</t>
        </r>
      </text>
    </comment>
    <comment ref="B76" authorId="2" shapeId="0" xr:uid="{DD99A304-AFD3-46B6-99BB-E37B5E465AA6}">
      <text>
        <r>
          <rPr>
            <b/>
            <sz val="9"/>
            <color indexed="81"/>
            <rFont val="Tahoma"/>
            <family val="2"/>
          </rPr>
          <t>Michael Dang:</t>
        </r>
        <r>
          <rPr>
            <sz val="9"/>
            <color indexed="81"/>
            <rFont val="Tahoma"/>
            <family val="2"/>
          </rPr>
          <t xml:space="preserve">
Greater accuracy will reduce over/under payments and payment adjustments.</t>
        </r>
      </text>
    </comment>
    <comment ref="G76" authorId="2" shapeId="0" xr:uid="{0B227838-9E1F-4DA8-8C79-53638C9D3969}">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76" authorId="2" shapeId="0" xr:uid="{28C64F2D-F642-4E4A-9321-562E0FD7215C}">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76" authorId="2" shapeId="0" xr:uid="{A03D6292-4CD8-425F-84F7-3E8CD631FAB2}">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76" authorId="2" shapeId="0" xr:uid="{335308CC-334B-47E5-8109-4F66B9C80105}">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76" authorId="2" shapeId="0" xr:uid="{15DFF793-ACF4-46B5-A925-F0CED6634203}">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76" authorId="2" shapeId="0" xr:uid="{59568439-FAD3-4BF8-B674-0EF8D0EC5FA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8" authorId="2" shapeId="0" xr:uid="{E22956E8-248D-445B-81CB-A561E06FF142}">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D84" authorId="2" shapeId="0" xr:uid="{ED5522CE-D02D-4F14-9BFD-A8BA72F86A70}">
      <text>
        <r>
          <rPr>
            <b/>
            <sz val="9"/>
            <color indexed="81"/>
            <rFont val="Tahoma"/>
            <family val="2"/>
          </rPr>
          <t>Michael Dang:</t>
        </r>
        <r>
          <rPr>
            <sz val="9"/>
            <color indexed="81"/>
            <rFont val="Tahoma"/>
            <family val="2"/>
          </rPr>
          <t xml:space="preserve">
2025 Rates: $3,845 PP
$3,694 PP w/o inflation, replaces
$2,755.30 per pupil (subject to change depending on actual enrollment of SPED students) 
SPED FY22 Payment Book- 7.6.21</t>
        </r>
      </text>
    </comment>
    <comment ref="C99" authorId="3" shapeId="0" xr:uid="{FAF9EAF0-2408-4BEA-AA7F-D3ED4C6366EF}">
      <text>
        <t>[Threaded comment]
Your version of Excel allows you to read this threaded comment; however, any edits to it will get removed if the file is opened in a newer version of Excel. Learn more: https://go.microsoft.com/fwlink/?linkid=870924
Comment:
    From $350. 2019.11.14
Reply:
    August 26, 2021 em from RF: $400 PP
Reply:
    RF 8/26/21 em @ $400</t>
      </text>
    </comment>
    <comment ref="C100" authorId="2" shapeId="0" xr:uid="{655FEEE1-A29D-46F5-8BD8-E22F00691222}">
      <text>
        <r>
          <rPr>
            <b/>
            <sz val="9"/>
            <color indexed="81"/>
            <rFont val="Tahoma"/>
            <family val="2"/>
          </rPr>
          <t>Michael Dang:</t>
        </r>
        <r>
          <rPr>
            <sz val="9"/>
            <color indexed="81"/>
            <rFont val="Tahoma"/>
            <family val="2"/>
          </rPr>
          <t xml:space="preserve">
RF 8/26/21 em @ $66</t>
        </r>
      </text>
    </comment>
    <comment ref="C101" authorId="2" shapeId="0" xr:uid="{965DF9B5-B015-406B-BAEE-50B6FD7CDEC9}">
      <text>
        <r>
          <rPr>
            <b/>
            <sz val="9"/>
            <color indexed="81"/>
            <rFont val="Tahoma"/>
            <family val="2"/>
          </rPr>
          <t>Michael Dang:</t>
        </r>
        <r>
          <rPr>
            <sz val="9"/>
            <color indexed="81"/>
            <rFont val="Tahoma"/>
            <family val="2"/>
          </rPr>
          <t xml:space="preserve">
RF 8/26/21 em @ $4</t>
        </r>
      </text>
    </comment>
    <comment ref="C102" authorId="2" shapeId="0" xr:uid="{0794F888-8B59-4A49-8CA2-7E9B36E377C7}">
      <text>
        <r>
          <rPr>
            <b/>
            <sz val="9"/>
            <color indexed="81"/>
            <rFont val="Tahoma"/>
            <family val="2"/>
          </rPr>
          <t>Michael Dang:</t>
        </r>
        <r>
          <rPr>
            <sz val="9"/>
            <color indexed="81"/>
            <rFont val="Tahoma"/>
            <family val="2"/>
          </rPr>
          <t xml:space="preserve">
RF 8/26/21 em @ $97</t>
        </r>
      </text>
    </comment>
    <comment ref="C104" authorId="2" shapeId="0" xr:uid="{AA4CB46E-B200-4282-8A51-A1F18223DFAD}">
      <text>
        <r>
          <rPr>
            <b/>
            <sz val="9"/>
            <color indexed="81"/>
            <rFont val="Tahoma"/>
            <family val="2"/>
          </rPr>
          <t>Michael Dang:</t>
        </r>
        <r>
          <rPr>
            <sz val="9"/>
            <color indexed="81"/>
            <rFont val="Tahoma"/>
            <family val="2"/>
          </rPr>
          <t xml:space="preserve">
8/26/2021 RF em
IDEA SPED-B @ $1005/Special Education Student</t>
        </r>
      </text>
    </comment>
    <comment ref="B118" authorId="4" shapeId="0" xr:uid="{0F7764B7-2B20-4F23-826F-F6F42C20F046}">
      <text>
        <t>[Threaded comment]
Your version of Excel allows you to read this threaded comment; however, any edits to it will get removed if the file is opened in a newer version of Excel. Learn more: https://go.microsoft.com/fwlink/?linkid=870924
Comment:
    Inflation adjustor applied to base rate only, to be conservative.</t>
      </text>
    </comment>
    <comment ref="B133" authorId="2" shapeId="0" xr:uid="{AEEF8039-F5E1-4EB1-9FAE-D7CD9ED76A31}">
      <text>
        <r>
          <rPr>
            <b/>
            <sz val="9"/>
            <color indexed="81"/>
            <rFont val="Tahoma"/>
            <family val="2"/>
          </rPr>
          <t>Michael Dang:</t>
        </r>
        <r>
          <rPr>
            <sz val="9"/>
            <color indexed="81"/>
            <rFont val="Tahoma"/>
            <family val="2"/>
          </rPr>
          <t xml:space="preserve">
Replication and Expansion of High-Quality Schools 
Grants for the Replication and Expansion of High-Quality Schools (R&amp;E grants) provide funding for nonprofit charter management organizations (CMOs) serving two or more schools. These funds do not flow through state education agencies; they are awarded directly by the U.S. Department of Education to CMOs that have successful track records in improving student achievement. These charter school leaders must show evidence of increasing academic achievement and attainment for all students, have sound financial and business management plans, and have plans in place to close schools that do not meet high standards of academic performance. Since 2010, 24 nonprofit CMOs have opened more than 400 new schools in 23 states and the District of Columbia. 
http://www.publiccharters.org/sites/default/files/migrated/wp-content/uploads/2016/01/National-Alliance-Federal-Role-Charters.pdf</t>
        </r>
      </text>
    </comment>
    <comment ref="B135" authorId="2" shapeId="0" xr:uid="{1BCAFEDB-8703-449A-8D78-FC6F5EDC1D44}">
      <text>
        <r>
          <rPr>
            <b/>
            <sz val="9"/>
            <color indexed="81"/>
            <rFont val="Tahoma"/>
            <family val="2"/>
          </rPr>
          <t>Michael Dang:</t>
        </r>
        <r>
          <rPr>
            <sz val="9"/>
            <color indexed="81"/>
            <rFont val="Tahoma"/>
            <family val="2"/>
          </rPr>
          <t xml:space="preserve">
State Education Agency grant program (SEA grants)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tc={428C169F-7646-4CB0-B350-6B3997D0EBEC}</author>
    <author>Michael Dang</author>
    <author>tc={747F349B-9CDE-4C7C-8445-7504F225BB0C}</author>
    <author>tc={5F5A5891-0F7E-438F-98FE-D46B19DAAF7A}</author>
    <author>tc={E1B0AABC-FE85-4305-BCDA-D864236FBEFC}</author>
    <author>tc={105A4EF2-9C02-45A7-B312-9628B5927DF1}</author>
  </authors>
  <commentList>
    <comment ref="B17" authorId="0" shapeId="0" xr:uid="{428C169F-7646-4CB0-B350-6B3997D0EBEC}">
      <text>
        <t>[Threaded comment]
Your version of Excel allows you to read this threaded comment; however, any edits to it will get removed if the file is opened in a newer version of Excel. Learn more: https://go.microsoft.com/fwlink/?linkid=870924
Comment:
    lines changed to align with profile tab</t>
      </text>
    </comment>
    <comment ref="U17" authorId="1" shapeId="0" xr:uid="{1E95732B-1664-433C-A43E-E31E167689AC}">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U19" authorId="1" shapeId="0" xr:uid="{856B2F2C-8AA0-42F4-96E7-1A67E58542F4}">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U21" authorId="1" shapeId="0" xr:uid="{9A72D26F-CCB1-442D-9D41-3AD970F16F40}">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B39" authorId="2" shapeId="0" xr:uid="{747F349B-9CDE-4C7C-8445-7504F225BB0C}">
      <text>
        <t>[Threaded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text>
    </comment>
    <comment ref="E39" authorId="3" shapeId="0" xr:uid="{5F5A5891-0F7E-438F-98FE-D46B19DAAF7A}">
      <text>
        <t>[Threaded comment]
Your version of Excel allows you to read this threaded comment; however, any edits to it will get removed if the file is opened in a newer version of Excel. Learn more: https://go.microsoft.com/fwlink/?linkid=870924
Comment:
    conditional formatting added</t>
      </text>
    </comment>
    <comment ref="U42" authorId="1" shapeId="0" xr:uid="{69088876-89C9-41B6-B552-C6309179CF36}">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B75" authorId="4" shapeId="0" xr:uid="{E1B0AABC-FE85-4305-BCDA-D864236FBEFC}">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97" authorId="5" shapeId="0" xr:uid="{105A4EF2-9C02-45A7-B312-9628B5927DF1}">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tc={5AB4F22B-B34E-46CC-85F4-92C228ADA667}</author>
    <author>tc={5B5C6FFC-D74F-4D89-957C-272E389EFD53}</author>
    <author>tc={3FB75770-6A7E-41E4-989A-899F878C4E99}</author>
    <author>tc={8B28DE3F-0513-4202-B787-159B600CA677}</author>
    <author>tc={31D788BA-A50C-47FC-8E94-21A195E0BD60}</author>
    <author>tc={9FA39296-9023-4041-80FE-8575CCE2873E}</author>
    <author>Michael Dang</author>
    <author>tc={D1F6324D-8682-456C-9C83-BF47E7B5D48E}</author>
  </authors>
  <commentList>
    <comment ref="C59" authorId="0" shapeId="0" xr:uid="{5AB4F22B-B34E-46CC-85F4-92C228ADA667}">
      <text>
        <t xml:space="preserve">[Threaded comment]
Your version of Excel allows you to read this threaded comment; however, any edits to it will get removed if the file is opened in a newer version of Excel. Learn more: https://go.microsoft.com/fwlink/?linkid=870924
Comment:
    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
      </text>
    </comment>
    <comment ref="C60" authorId="1" shapeId="0" xr:uid="{5B5C6FFC-D74F-4D89-957C-272E389EFD53}">
      <text>
        <t>[Threaded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text>
    </comment>
    <comment ref="C62" authorId="2" shapeId="0" xr:uid="{3FB75770-6A7E-41E4-989A-899F878C4E99}">
      <text>
        <t xml:space="preserve">[Threaded comment]
Your version of Excel allows you to read this threaded comment; however, any edits to it will get removed if the file is opened in a newer version of Excel. Learn more: https://go.microsoft.com/fwlink/?linkid=870924
Comment:
    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
      </text>
    </comment>
    <comment ref="C63" authorId="3" shapeId="0" xr:uid="{8B28DE3F-0513-4202-B787-159B600CA677}">
      <text>
        <t>[Threaded comment]
Your version of Excel allows you to read this threaded comment; however, any edits to it will get removed if the file is opened in a newer version of Excel. Learn more: https://go.microsoft.com/fwlink/?linkid=870924
Comment:
    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
      </text>
    </comment>
    <comment ref="C64" authorId="4" shapeId="0" xr:uid="{31D788BA-A50C-47FC-8E94-21A195E0BD60}">
      <text>
        <t xml:space="preserve">[Threaded comment]
Your version of Excel allows you to read this threaded comment; however, any edits to it will get removed if the file is opened in a newer version of Excel. Learn more: https://go.microsoft.com/fwlink/?linkid=870924
Comment:
    Employer costs for workers’ compensation insurance (per $100 of covered wages)
https://pieinsurance.com/blog/workers-comp/workers-comp-how-much/
</t>
      </text>
    </comment>
    <comment ref="G142" authorId="5" shapeId="0" xr:uid="{9FA39296-9023-4041-80FE-8575CCE2873E}">
      <text>
        <t>[Threaded comment]
Your version of Excel allows you to read this threaded comment; however, any edits to it will get removed if the file is opened in a newer version of Excel. Learn more: https://go.microsoft.com/fwlink/?linkid=870924
Comment:
    You may now increase/decrease staff counts in this section of the model.</t>
      </text>
    </comment>
    <comment ref="B398" authorId="6" shapeId="0" xr:uid="{14AC2698-762C-4ABE-A80D-71FA3654B7A1}">
      <text>
        <r>
          <rPr>
            <b/>
            <sz val="9"/>
            <color indexed="81"/>
            <rFont val="Tahoma"/>
            <family val="2"/>
          </rPr>
          <t>Michael Dang:</t>
        </r>
        <r>
          <rPr>
            <sz val="9"/>
            <color indexed="81"/>
            <rFont val="Tahoma"/>
            <family val="2"/>
          </rPr>
          <t xml:space="preserve">
This inflation formula provides a compound estimated inflation amount applied to the total of alll salaries above it.  The user does not need to apply a compounding inflator to their salaries as the formula being used here will apply the inflator each year.
We could allow for a custom inflator, if the demand is sufficient for it.
This model allows direct or manual data entry into the data entry cells--though not to the collecting/totalling cells.   </t>
        </r>
      </text>
    </comment>
    <comment ref="B431" authorId="7" shapeId="0" xr:uid="{D1F6324D-8682-456C-9C83-BF47E7B5D48E}">
      <text>
        <t>[Threaded comment]
Your version of Excel allows you to read this threaded comment; however, any edits to it will get removed if the file is opened in a newer version of Excel. Learn more: https://go.microsoft.com/fwlink/?linkid=870924
Comment:
    E.g., 0.5 + 0.5 + 0.25 + 0.6 = 1.85 PTE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tc={8EDDD725-5C94-46C0-924D-C11E83DCC10F}</author>
    <author>Michael Dang</author>
    <author>tc={049FD8B7-A556-4458-B741-9CE337C84F58}</author>
    <author>tc={7EE94EAF-B192-4E48-A3B1-248D938F898C}</author>
    <author>tc={DBC2E7CB-2685-404F-A07E-01603B5F45EF}</author>
    <author>tc={4D20B39F-CCD5-40F6-88A7-DA908090EB1A}</author>
    <author>tc={21BECB29-E1AE-4A1A-B3D7-3382A184FF5F}</author>
    <author>tc={CCEB1454-32E8-49D9-8901-DA3D297336F2}</author>
    <author>tc={37ECE0C7-2DF0-4069-83FB-34611AA80C80}</author>
    <author>tc={FEAE4CC4-5BE1-46EA-B674-1643248BBC0F}</author>
    <author>tc={E09D1AC0-CF29-4CCB-8732-58DCF484386E}</author>
    <author>tc={5A1E9927-B689-4F2F-9FDF-9AC411BA394B}</author>
    <author>tc={8B4CE012-06EE-44EF-B9A4-70A151D8CD64}</author>
    <author>tc={4A77444D-2667-414A-ACA6-5CACB9E7392C}</author>
    <author>tc={C044C3D4-0587-448F-AE58-11BAA9E73751}</author>
    <author>tc={CE06D8D1-4B55-4EF4-8B14-2444C8B0CA22}</author>
  </authors>
  <commentList>
    <comment ref="C9" authorId="0" shapeId="0" xr:uid="{8EDDD725-5C94-46C0-924D-C11E83DCC10F}">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F23" authorId="1" shapeId="0" xr:uid="{8705AAFD-D26B-499A-8B54-E198BD1DF8E0}">
      <text>
        <r>
          <rPr>
            <b/>
            <sz val="9"/>
            <color indexed="81"/>
            <rFont val="Tahoma"/>
            <family val="2"/>
          </rPr>
          <t>Michael Dang:</t>
        </r>
        <r>
          <rPr>
            <sz val="9"/>
            <color indexed="81"/>
            <rFont val="Tahoma"/>
            <family val="2"/>
          </rPr>
          <t xml:space="preserve">
Overwrite this with the actual lease rate likely for a new occupancy and partial year.</t>
        </r>
      </text>
    </comment>
    <comment ref="F40" authorId="2" shapeId="0" xr:uid="{049FD8B7-A556-4458-B741-9CE337C84F58}">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G40" authorId="3" shapeId="0" xr:uid="{7EE94EAF-B192-4E48-A3B1-248D938F898C}">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F41" authorId="4" shapeId="0" xr:uid="{DBC2E7CB-2685-404F-A07E-01603B5F45E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41" authorId="5" shapeId="0" xr:uid="{4D20B39F-CCD5-40F6-88A7-DA908090EB1A}">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H41" authorId="6" shapeId="0" xr:uid="{21BECB29-E1AE-4A1A-B3D7-3382A184FF5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I41" authorId="7" shapeId="0" xr:uid="{CCEB1454-32E8-49D9-8901-DA3D297336F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J41" authorId="8" shapeId="0" xr:uid="{37ECE0C7-2DF0-4069-83FB-34611AA80C80}">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K41" authorId="9" shapeId="0" xr:uid="{FEAE4CC4-5BE1-46EA-B674-1643248BBC0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L41" authorId="10" shapeId="0" xr:uid="{E09D1AC0-CF29-4CCB-8732-58DCF484386E}">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71" authorId="11" shapeId="0" xr:uid="{5A1E9927-B689-4F2F-9FDF-9AC411BA394B}">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71" authorId="12" shapeId="0" xr:uid="{8B4CE012-06EE-44EF-B9A4-70A151D8CD64}">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72" authorId="13" shapeId="0" xr:uid="{4A77444D-2667-414A-ACA6-5CACB9E7392C}">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G72" authorId="14" shapeId="0" xr:uid="{C044C3D4-0587-448F-AE58-11BAA9E73751}">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F76" authorId="15" shapeId="0" xr:uid="{CE06D8D1-4B55-4EF4-8B14-2444C8B0CA2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tc={88D99629-9430-4799-888B-536E1B48C1B0}</author>
    <author>tc={B7BA76B9-72DC-4B51-84FC-DCB653FB95D7}</author>
    <author>tc={9A98AA4F-1C78-4B0C-ADC0-E55A5537B0DC}</author>
    <author>tc={B89FAE20-3CE4-47C1-AE62-E249220CB33F}</author>
    <author>tc={8B1027DD-1690-4078-BE4E-8CCE2602C947}</author>
    <author>tc={081B3B9E-102C-4FB3-AD68-C0B3B1CBEAFF}</author>
    <author>Michael Dang</author>
  </authors>
  <commentList>
    <comment ref="D12" authorId="0" shapeId="0" xr:uid="{88D99629-9430-4799-888B-536E1B48C1B0}">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B66" authorId="1" shapeId="0" xr:uid="{B7BA76B9-72DC-4B51-84FC-DCB653FB95D7}">
      <text>
        <t>[Threaded comment]
Your version of Excel allows you to read this threaded comment; however, any edits to it will get removed if the file is opened in a newer version of Excel. Learn more: https://go.microsoft.com/fwlink/?linkid=870924
Comment:
    removed marketing from this section</t>
      </text>
    </comment>
    <comment ref="D146" authorId="2" shapeId="0" xr:uid="{9A98AA4F-1C78-4B0C-ADC0-E55A5537B0DC}">
      <text>
        <t>[Threaded comment]
Your version of Excel allows you to read this threaded comment; however, any edits to it will get removed if the file is opened in a newer version of Excel. Learn more: https://go.microsoft.com/fwlink/?linkid=870924
Comment:
    Per student</t>
      </text>
    </comment>
    <comment ref="D147" authorId="3" shapeId="0" xr:uid="{B89FAE20-3CE4-47C1-AE62-E249220CB33F}">
      <text>
        <t>[Threaded comment]
Your version of Excel allows you to read this threaded comment; however, any edits to it will get removed if the file is opened in a newer version of Excel. Learn more: https://go.microsoft.com/fwlink/?linkid=870924
Comment:
    Per student (not covered by Title I)</t>
      </text>
    </comment>
    <comment ref="D148" authorId="4" shapeId="0" xr:uid="{8B1027DD-1690-4078-BE4E-8CCE2602C947}">
      <text>
        <t>[Threaded comment]
Your version of Excel allows you to read this threaded comment; however, any edits to it will get removed if the file is opened in a newer version of Excel. Learn more: https://go.microsoft.com/fwlink/?linkid=870924
Comment:
    Per student</t>
      </text>
    </comment>
    <comment ref="D149" authorId="5" shapeId="0" xr:uid="{081B3B9E-102C-4FB3-AD68-C0B3B1CBEAFF}">
      <text>
        <t>[Threaded comment]
Your version of Excel allows you to read this threaded comment; however, any edits to it will get removed if the file is opened in a newer version of Excel. Learn more: https://go.microsoft.com/fwlink/?linkid=870924
Comment:
    Input "yes or "no"</t>
      </text>
    </comment>
    <comment ref="B195" authorId="6" shapeId="0" xr:uid="{7954B7BE-38F5-487C-9CDD-27658195CBA1}">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tc={F988B70B-290B-4766-ABAF-6F3E355164A9}</author>
    <author>tc={3FF9201C-DBC8-4F22-A8BB-367D4D170A1D}</author>
  </authors>
  <commentList>
    <comment ref="C13" authorId="0" shapeId="0" xr:uid="{F988B70B-290B-4766-ABAF-6F3E355164A9}">
      <text>
        <t>[Threaded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text>
    </comment>
    <comment ref="C18" authorId="1" shapeId="0" xr:uid="{3FF9201C-DBC8-4F22-A8BB-367D4D170A1D}">
      <text>
        <t>[Threaded comment]
Your version of Excel allows you to read this threaded comment; however, any edits to it will get removed if the file is opened in a newer version of Excel. Learn more: https://go.microsoft.com/fwlink/?linkid=870924
Comment:
    you can comment here</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5A0475E5-6B0D-4D68-9F79-BF251AC40EF8}">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3A938AAD-556B-4D4E-BDCA-B0961C23113C}">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<sst xmlns="http://schemas.openxmlformats.org/spreadsheetml/2006/main" count="2855" uniqueCount="1578">
  <si>
    <t>APPLICATION START PAGE</t>
  </si>
  <si>
    <t>Instructions</t>
  </si>
  <si>
    <t>Mike Dang, 702.486.8879</t>
  </si>
  <si>
    <t>TOC</t>
  </si>
  <si>
    <t>FINANCIAL PLAN WORKBOOK INSTRUCTIONS</t>
  </si>
  <si>
    <t xml:space="preserve">This New School Application Financial Plan/Pro Forma workbook was designed to show the financial implications of a school plan and assumptions before and during a six-year school contract.  It enables the applicant, the SPCSA and other stakeholders to analyze potential fiscal impacts of that plan.  This is a protected workbook and data should only be entered in the unprotected cells (yellow cells). To maximize usage of the Financial Plan Workbook, please familiarize yourself with the following general instructions prior to data entry.  
We have tried to design this to be as simple as possible yet as comprehensive as possible to help applicants think through fiscal impacting assumptions and for reviewers to see the impacts of those assumptions.
Contact us with any questions.  </t>
  </si>
  <si>
    <t>School Inputs</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</si>
  <si>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</si>
  <si>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Cover tab</t>
  </si>
  <si>
    <t>Begin filling out your application on this tab. Information loaded there is used and shown on other tabs.</t>
  </si>
  <si>
    <t>Checklist &amp; TOC tab</t>
  </si>
  <si>
    <t>Use this Checklist and Table of Contents tab to help ensure your application is complete and to navigate this pro forma part of your  application.</t>
  </si>
  <si>
    <t>Summary tab</t>
  </si>
  <si>
    <t>No entry needed on this tab</t>
  </si>
  <si>
    <t>Statistics tab</t>
  </si>
  <si>
    <t>Use this tab to review and contextualize your school plan in a fiscal/financial context.</t>
  </si>
  <si>
    <t>Market Research tab</t>
  </si>
  <si>
    <t>Use this tab to show your target market, planned enrollments, potential demand, estimated conversion rates and demographics of the "feeder" schools in your  planned service area.</t>
  </si>
  <si>
    <t>Enrol &amp; Rev tab</t>
  </si>
  <si>
    <t>Basic Information</t>
  </si>
  <si>
    <r>
      <rPr>
        <b/>
        <sz val="11"/>
        <color indexed="8"/>
        <rFont val="Calibri"/>
        <family val="2"/>
      </rPr>
      <t>1.</t>
    </r>
    <r>
      <rPr>
        <sz val="11"/>
        <color theme="1"/>
        <rFont val="Calibri"/>
        <family val="2"/>
        <scheme val="minor"/>
      </rPr>
      <t xml:space="preserve"> Please enter a Base Year into 'H2'. Additionally, please enter the appropriate school years in cells H5 through N5 as well as H6 through N6.</t>
    </r>
  </si>
  <si>
    <r>
      <rPr>
        <b/>
        <sz val="11"/>
        <color indexed="8"/>
        <rFont val="Calibri"/>
        <family val="2"/>
      </rPr>
      <t>2.</t>
    </r>
    <r>
      <rPr>
        <sz val="11"/>
        <color theme="1"/>
        <rFont val="Calibri"/>
        <family val="2"/>
        <scheme val="minor"/>
      </rPr>
      <t xml:space="preserve"> Next, be sure to enter your projected student enrollment in the enrollment section. This section caputres the number of students by grade level (Rows 7-21) and by school year (Columns H-N). </t>
    </r>
  </si>
  <si>
    <r>
      <rPr>
        <b/>
        <sz val="11"/>
        <color indexed="8"/>
        <rFont val="Calibri"/>
        <family val="2"/>
      </rPr>
      <t>3.</t>
    </r>
    <r>
      <rPr>
        <sz val="11"/>
        <color theme="1"/>
        <rFont val="Calibri"/>
        <family val="2"/>
        <scheme val="minor"/>
      </rPr>
      <t xml:space="preserve"> In cells I24 through N25, please enter your school's percentage of Title 1 students. Similarly, in cells I24 through N24, enter your institution's percentage of special education students.</t>
    </r>
  </si>
  <si>
    <t xml:space="preserve">The Pupil Centered Funding Plan (PCFP) funding per student is automatically populated depending on the county where the school is located (Cell F57).   If the school will be a single-district or multi-district  virtual school with a Distance Education program, then under the PCFP, one PPR rate will apply--regardless of NV County/District.  </t>
  </si>
  <si>
    <t>The Inflation Adjuster in 'B67' is designed to account for any increases in PCFP Revenue. Please be sure to enter a cost of inflation in this cell. You may wish to test inflation rates of 0 to 3%.  Be sure you can still operate with a surplus even with a 0% inflator/escalator.</t>
  </si>
  <si>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</si>
  <si>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</si>
  <si>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</si>
  <si>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</si>
  <si>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Student Fees (As allowed by other public schools)</t>
  </si>
  <si>
    <t xml:space="preserve">                               Investment Income</t>
  </si>
  <si>
    <t xml:space="preserve">                               Private fundraising (foundations, corporate)</t>
  </si>
  <si>
    <t xml:space="preserve">                               Private Fundraising</t>
  </si>
  <si>
    <t>Cashflow Year 1 (CF Y1 Mo) tab</t>
  </si>
  <si>
    <t>Use this tab to "spread" your year 1 expenses out on a monthly basis. All funds must be distributed to avoid an error message.</t>
  </si>
  <si>
    <t>Staff tab</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</si>
  <si>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</si>
  <si>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t>Instructional Days (Staff tab, row 65)</t>
  </si>
  <si>
    <r>
      <rPr>
        <b/>
        <sz val="11"/>
        <color indexed="8"/>
        <rFont val="Calibri"/>
        <family val="2"/>
      </rPr>
      <t>1.</t>
    </r>
    <r>
      <rPr>
        <sz val="11"/>
        <color theme="1"/>
        <rFont val="Calibri"/>
        <family val="2"/>
        <scheme val="minor"/>
      </rPr>
      <t xml:space="preserve"> Enter the average medical benefits for employees with both single and family coverage into cells 'F62' and 'F63'. </t>
    </r>
  </si>
  <si>
    <r>
      <rPr>
        <b/>
        <sz val="11"/>
        <color indexed="8"/>
        <rFont val="Calibri"/>
        <family val="2"/>
      </rPr>
      <t>2.</t>
    </r>
    <r>
      <rPr>
        <sz val="11"/>
        <color theme="1"/>
        <rFont val="Calibri"/>
        <family val="2"/>
        <scheme val="minor"/>
      </rPr>
      <t xml:space="preserve"> Second, enter the school's percentage of coverage.</t>
    </r>
  </si>
  <si>
    <r>
      <rPr>
        <b/>
        <sz val="11"/>
        <color indexed="8"/>
        <rFont val="Calibri"/>
        <family val="2"/>
      </rPr>
      <t>3.</t>
    </r>
    <r>
      <rPr>
        <sz val="11"/>
        <color theme="1"/>
        <rFont val="Calibri"/>
        <family val="2"/>
        <scheme val="minor"/>
      </rPr>
      <t xml:space="preserve"> Enter the assumed percentage of employees choosing single for their health benefits.</t>
    </r>
  </si>
  <si>
    <r>
      <rPr>
        <b/>
        <sz val="11"/>
        <color indexed="8"/>
        <rFont val="Calibri"/>
        <family val="2"/>
      </rPr>
      <t xml:space="preserve">4. </t>
    </r>
    <r>
      <rPr>
        <sz val="11"/>
        <color theme="1"/>
        <rFont val="Calibri"/>
        <family val="2"/>
        <scheme val="minor"/>
      </rPr>
      <t>Enter the percentage of your employee's salaries that will be allocated to FICA, State Retirement for Certified Employees, State Retirement for Non-Certified Employees and Life Insurance.</t>
    </r>
  </si>
  <si>
    <r>
      <rPr>
        <b/>
        <sz val="11"/>
        <color indexed="8"/>
        <rFont val="Calibri"/>
        <family val="2"/>
      </rPr>
      <t>5.</t>
    </r>
    <r>
      <rPr>
        <sz val="11"/>
        <color theme="1"/>
        <rFont val="Calibri"/>
        <family val="2"/>
        <scheme val="minor"/>
      </rPr>
      <t xml:space="preserve"> Enter any per-employee expenses associated with GASB 45 and Unemployment Insurance.</t>
    </r>
  </si>
  <si>
    <r>
      <rPr>
        <b/>
        <sz val="11"/>
        <color indexed="8"/>
        <rFont val="Calibri"/>
        <family val="2"/>
      </rPr>
      <t>6.</t>
    </r>
    <r>
      <rPr>
        <sz val="11"/>
        <color theme="1"/>
        <rFont val="Calibri"/>
        <family val="2"/>
        <scheme val="minor"/>
      </rPr>
      <t xml:space="preserve"> Payroll services are accounted for as a dollar value on a per employee/per month basis.</t>
    </r>
  </si>
  <si>
    <r>
      <rPr>
        <b/>
        <sz val="11"/>
        <color indexed="8"/>
        <rFont val="Calibri"/>
        <family val="2"/>
      </rPr>
      <t>7.</t>
    </r>
    <r>
      <rPr>
        <sz val="11"/>
        <color theme="1"/>
        <rFont val="Calibri"/>
        <family val="2"/>
        <scheme val="minor"/>
      </rPr>
      <t xml:space="preserve"> Any bonuses should be input and will be calculated as a percentage of salaried employees. </t>
    </r>
  </si>
  <si>
    <r>
      <rPr>
        <b/>
        <sz val="11"/>
        <color indexed="8"/>
        <rFont val="Calibri"/>
        <family val="2"/>
      </rPr>
      <t>8.</t>
    </r>
    <r>
      <rPr>
        <sz val="11"/>
        <color theme="1"/>
        <rFont val="Calibri"/>
        <family val="2"/>
        <scheme val="minor"/>
      </rPr>
      <t xml:space="preserve"> Be sure to enter your school's instructional days per year (required) as well as the Saturday schools per year, contractors required for Saturday school and price per contractor (if necessary).</t>
    </r>
  </si>
  <si>
    <r>
      <rPr>
        <b/>
        <sz val="11"/>
        <color indexed="8"/>
        <rFont val="Calibri"/>
        <family val="2"/>
      </rPr>
      <t>9.</t>
    </r>
    <r>
      <rPr>
        <sz val="11"/>
        <color theme="1"/>
        <rFont val="Calibri"/>
        <family val="2"/>
        <scheme val="minor"/>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</si>
  <si>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r>
      <rPr>
        <b/>
        <sz val="11"/>
        <color indexed="8"/>
        <rFont val="Calibri"/>
        <family val="2"/>
      </rPr>
      <t>10.</t>
    </r>
    <r>
      <rPr>
        <sz val="11"/>
        <color theme="1"/>
        <rFont val="Calibri"/>
        <family val="2"/>
        <scheme val="minor"/>
      </rPr>
      <t xml:space="preserve"> For part-Time employees simply enter the average salary for each respective position and enter the number of employees per year. </t>
    </r>
  </si>
  <si>
    <r>
      <rPr>
        <b/>
        <sz val="11"/>
        <color indexed="8"/>
        <rFont val="Calibri"/>
        <family val="2"/>
      </rPr>
      <t>11.</t>
    </r>
    <r>
      <rPr>
        <sz val="11"/>
        <color theme="1"/>
        <rFont val="Calibri"/>
        <family val="2"/>
        <scheme val="minor"/>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</si>
  <si>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t>Facilities tab</t>
  </si>
  <si>
    <t>Complete either the Lease or the Purchase section.</t>
  </si>
  <si>
    <t>General Operating ("Gen Optg") Expense tab</t>
  </si>
  <si>
    <t>The general operating expense assumptions section houses the majority of the expenditures that are necessary to operate your charter school.</t>
  </si>
  <si>
    <t>Schools should set aside an amount of 4 to 5% of revenues into a general reserve account.</t>
  </si>
  <si>
    <r>
      <rPr>
        <b/>
        <sz val="11"/>
        <color indexed="8"/>
        <rFont val="Calibri"/>
        <family val="2"/>
      </rPr>
      <t>1.</t>
    </r>
    <r>
      <rPr>
        <sz val="11"/>
        <color theme="1"/>
        <rFont val="Calibri"/>
        <family val="2"/>
        <scheme val="minor"/>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</si>
  <si>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r>
      <rPr>
        <b/>
        <sz val="11"/>
        <color indexed="8"/>
        <rFont val="Calibri"/>
        <family val="2"/>
      </rPr>
      <t>2.</t>
    </r>
    <r>
      <rPr>
        <sz val="11"/>
        <color theme="1"/>
        <rFont val="Calibri"/>
        <family val="2"/>
        <scheme val="minor"/>
      </rPr>
      <t xml:space="preserve"> The Contracted Services section should be completed in the same manner. Here the driver is per year, therefore any annual audits or legal services need to be calculated on an annual basis. </t>
    </r>
  </si>
  <si>
    <t>Transportation and Food Services are not funded for charter schools.</t>
  </si>
  <si>
    <t>FFE&amp;T (Furniture, Fixtures, Equipment &amp; Technology) tab</t>
  </si>
  <si>
    <t>See "Note FFE" tab for a note regarding the depreciation approach used in this model.</t>
  </si>
  <si>
    <t>Insurance tab</t>
  </si>
  <si>
    <t>Use this tab to show your insurance plan/budget. Note legal insurance requirements</t>
  </si>
  <si>
    <t>Marketing tab</t>
  </si>
  <si>
    <t>Use this tab to show your marketing plan to reach your target market.</t>
  </si>
  <si>
    <t>This tab differs from the Market tab. This  focuses not on where your pupils will come from but on marketing expenses to reach them.</t>
  </si>
  <si>
    <t>EMO-CMO tab</t>
  </si>
  <si>
    <t>Use this tab to show your plan/budget -- if you use a EMO/CMO.</t>
  </si>
  <si>
    <t>Demographics</t>
  </si>
  <si>
    <t>FYI</t>
  </si>
  <si>
    <t>PCFP Rates tab</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</si>
  <si>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</si>
  <si>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</si>
  <si>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</si>
  <si>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Levers tab</t>
  </si>
  <si>
    <t xml:space="preserve">This page is intended to be a quick view of how each cost center is affecting overall financial performance. </t>
  </si>
  <si>
    <t>It will automatically populate as you complete the required tabs in the application. The use of this tab is completely optional and at your discretion.</t>
  </si>
  <si>
    <t>Other tabs</t>
  </si>
  <si>
    <t>Questions?  Contact:</t>
  </si>
  <si>
    <t xml:space="preserve">Mike Dang, 702.854.0691 (cell/text) 702.486.8879 (office), mdang@spcsa.nv.gov </t>
  </si>
  <si>
    <t>Michael Hutchins, 775.687.9239, M.Hutchins@spcsa.nv.gov</t>
  </si>
  <si>
    <t>Application Cover Sheet</t>
  </si>
  <si>
    <t>Mike Dang</t>
  </si>
  <si>
    <t>702.486.8879</t>
  </si>
  <si>
    <t>Proposed Name of School</t>
  </si>
  <si>
    <t xml:space="preserve">Planned school year starting in August </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</si>
  <si>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</si>
  <si>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</si>
  <si>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</si>
  <si>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</si>
  <si>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</si>
  <si>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</si>
  <si>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</si>
  <si>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</si>
  <si>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</si>
  <si>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</si>
  <si>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</si>
  <si>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</si>
  <si>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</si>
  <si>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</si>
  <si>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</si>
  <si>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</si>
  <si>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</si>
  <si>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</si>
  <si>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</si>
  <si>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</si>
  <si>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</si>
  <si>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</si>
  <si>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Instructions (start page)</t>
  </si>
  <si>
    <t>Instructions -- Start here</t>
  </si>
  <si>
    <t>Cover (School Name) Page</t>
  </si>
  <si>
    <t>Beginning School Year entered on Cover Page?</t>
  </si>
  <si>
    <t>Checklist &amp; Table Of Contents</t>
  </si>
  <si>
    <t>School Financial Plan Summary</t>
  </si>
  <si>
    <t>Complete lower Net Position (Balance Sheet) information</t>
  </si>
  <si>
    <t>School Plan Statistics</t>
  </si>
  <si>
    <t>Market Research</t>
  </si>
  <si>
    <t>Market (Potential Students Populations)</t>
  </si>
  <si>
    <t>Enrollment &amp; Revenue</t>
  </si>
  <si>
    <t>Revenue &amp; Enrollment</t>
  </si>
  <si>
    <t>Cash Flow Year 1 Monthly</t>
  </si>
  <si>
    <t>Expenses: Year One--Month to Month</t>
  </si>
  <si>
    <t>Staff</t>
  </si>
  <si>
    <t>Expenses: Staff</t>
  </si>
  <si>
    <t>Facilities</t>
  </si>
  <si>
    <t>Expenses: Facility Lease/Purchase</t>
  </si>
  <si>
    <t>General Operating Plan</t>
  </si>
  <si>
    <t>Expenses: General Operating</t>
  </si>
  <si>
    <t>Furniture, Fixtures, Equipment 
&amp; Technology (FFE&amp;T)</t>
  </si>
  <si>
    <t>Expenses: Furniture, Fixtures, Equipment &amp; Technology</t>
  </si>
  <si>
    <t>Insurance</t>
  </si>
  <si>
    <t>Expenses: Insurance</t>
  </si>
  <si>
    <t>Marketing</t>
  </si>
  <si>
    <t>Expenses: Marketing Plan &amp; Implementation</t>
  </si>
  <si>
    <t>EMO, CMO, BOSP</t>
  </si>
  <si>
    <t>Expenses: Education/Charter Management Organization, 
Back Office Service Provider (If applicable)</t>
  </si>
  <si>
    <t>PCFP Rates (Information)</t>
  </si>
  <si>
    <t>NA</t>
  </si>
  <si>
    <t>Applicable Per Pupil Revenue estimates (No completion required)</t>
  </si>
  <si>
    <t>Facilities (worksheet)</t>
  </si>
  <si>
    <t>Worksheet which may help calculate Facilities costs (Not required)</t>
  </si>
  <si>
    <t>Scratchpad (worksheet)</t>
  </si>
  <si>
    <t>Free space for applicant tests, notes</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</si>
  <si>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</si>
  <si>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</si>
  <si>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</si>
  <si>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</si>
  <si>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</si>
  <si>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 xml:space="preserve">  </t>
  </si>
  <si>
    <t>Totals/Max'/Avg</t>
  </si>
  <si>
    <t>Key Metrics</t>
  </si>
  <si>
    <t>Comments (SPCSA STAFF) (Not in print range)</t>
  </si>
  <si>
    <t>Number of Students (Enrollment)</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</si>
  <si>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</si>
  <si>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</si>
  <si>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</si>
  <si>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</si>
  <si>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</si>
  <si>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</si>
  <si>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</si>
  <si>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</si>
  <si>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</si>
  <si>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</si>
  <si>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</si>
  <si>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</si>
  <si>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</si>
  <si>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</si>
  <si>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</si>
  <si>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</si>
  <si>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</si>
  <si>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</si>
  <si>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</si>
  <si>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</si>
  <si>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</si>
  <si>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</si>
  <si>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</si>
  <si>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</si>
  <si>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</si>
  <si>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</si>
  <si>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</si>
  <si>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</si>
  <si>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</si>
  <si>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</si>
  <si>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</si>
  <si>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</si>
  <si>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</si>
  <si>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</si>
  <si>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</si>
  <si>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</si>
  <si>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</si>
  <si>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</si>
  <si>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General Operating Expenses</t>
  </si>
  <si>
    <t>EMO Payments</t>
  </si>
  <si>
    <t>FFE&amp;T</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</si>
  <si>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</si>
  <si>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</si>
  <si>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</si>
  <si>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</si>
  <si>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</si>
  <si>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</si>
  <si>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</si>
  <si>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</si>
  <si>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</si>
  <si>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</si>
  <si>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</si>
  <si>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</si>
  <si>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</si>
  <si>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</si>
  <si>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</si>
  <si>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</si>
  <si>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</si>
  <si>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</si>
  <si>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</si>
  <si>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</si>
  <si>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</si>
  <si>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Debt Service Payments-Principal</t>
  </si>
  <si>
    <t>Debt Service Payments-Interest</t>
  </si>
  <si>
    <t>Total Debt Service Payments</t>
  </si>
  <si>
    <t>SURPLUS/(DEFICIT) After Debt Service &amp; Reserves</t>
  </si>
  <si>
    <t xml:space="preserve">Surplus/(Deficit)-Schl &amp; Pri' Fundraising-S Fees </t>
  </si>
  <si>
    <t>Surplus/(Deficit) (Cumu')</t>
  </si>
  <si>
    <t>Statement of Net Position / Balance Sheet (June 30)</t>
  </si>
  <si>
    <t>ASSETS</t>
  </si>
  <si>
    <t>Cash</t>
  </si>
  <si>
    <t>Other Current Assets</t>
  </si>
  <si>
    <t>Reserves</t>
  </si>
  <si>
    <t>Facilities (GASB 87 balance if leased)</t>
  </si>
  <si>
    <t>Other Noncurrent Assets</t>
  </si>
  <si>
    <t>Total Assets</t>
  </si>
  <si>
    <t>Liabilities</t>
  </si>
  <si>
    <t>Current Liabilities &amp; Short Term Borrowings</t>
  </si>
  <si>
    <t>x</t>
  </si>
  <si>
    <t>Noncurrent Liabilities &amp; Medium/Long Term Borrowings</t>
  </si>
  <si>
    <t xml:space="preserve">   Total Liabilities</t>
  </si>
  <si>
    <t>Net Position</t>
  </si>
  <si>
    <t>Liabilities &amp; Net Position</t>
  </si>
  <si>
    <t>Assets - Liabilities &amp; Net Position (w/o Net Pension Liabilities; should be 0)</t>
  </si>
  <si>
    <t>Current Ratio</t>
  </si>
  <si>
    <t>Debt to Aseets Ratio</t>
  </si>
  <si>
    <t>ABC Academy</t>
  </si>
  <si>
    <t>https://nv.sharepoint.com/sites/spcsa/Shared Documents/Authorizing/Application Packet/Template Financial Plan Workbook/[SPCSA-New-School-Application-Financial-Plan-Template-PCFP-2021 09 22.xlsx]Sheet1</t>
  </si>
  <si>
    <t>SY 0/Incu</t>
  </si>
  <si>
    <t>Number of Students</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</si>
  <si>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</si>
  <si>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</si>
  <si>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</si>
  <si>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</si>
  <si>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</si>
  <si>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</si>
  <si>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</si>
  <si>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</si>
  <si>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</si>
  <si>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</si>
  <si>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</si>
  <si>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</si>
  <si>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</si>
  <si>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 xml:space="preserve">   Student/Classroom w/o 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</si>
  <si>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</si>
  <si>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</si>
  <si>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</si>
  <si>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</si>
  <si>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</si>
  <si>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</si>
  <si>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</si>
  <si>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</si>
  <si>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</si>
  <si>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</si>
  <si>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</si>
  <si>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</si>
  <si>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</si>
  <si>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</si>
  <si>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</si>
  <si>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</si>
  <si>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</si>
  <si>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</si>
  <si>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</si>
  <si>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</si>
  <si>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</si>
  <si>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</si>
  <si>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</si>
  <si>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</si>
  <si>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</si>
  <si>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</si>
  <si>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</si>
  <si>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</si>
  <si>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</si>
  <si>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</si>
  <si>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</si>
  <si>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</si>
  <si>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</si>
  <si>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</si>
  <si>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</si>
  <si>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</si>
  <si>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</si>
  <si>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Location(s) under consideration:</t>
  </si>
  <si>
    <t>Site 1</t>
  </si>
  <si>
    <t>Specific address recommended but not required.</t>
  </si>
  <si>
    <t>This column area may not print but staff will review it for any notes.</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</si>
  <si>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</si>
  <si>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</si>
  <si>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</si>
  <si>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</si>
  <si>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</si>
  <si>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</si>
  <si>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</si>
  <si>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</si>
  <si>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</si>
  <si>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</si>
  <si>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</si>
  <si>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</si>
  <si>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</si>
  <si>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</si>
  <si>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</si>
  <si>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</si>
  <si>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</si>
  <si>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</si>
  <si>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</si>
  <si>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</si>
  <si>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</si>
  <si>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</si>
  <si>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</si>
  <si>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</si>
  <si>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</si>
  <si>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Relevant Grade
Level(s)</t>
  </si>
  <si>
    <t xml:space="preserve">
Relevant Enrollments</t>
  </si>
  <si>
    <t>Distance fr school (miles)</t>
  </si>
  <si>
    <t>This section enables staff to understand the market depth in the area you are considering locating your school.</t>
  </si>
  <si>
    <t>Choices/Alternates</t>
  </si>
  <si>
    <t>Include all schools, not just 1 and 2 star schools</t>
  </si>
  <si>
    <t>School 1</t>
  </si>
  <si>
    <t>School 2</t>
  </si>
  <si>
    <t>School 3</t>
  </si>
  <si>
    <t>Feeder/Source Schools</t>
  </si>
  <si>
    <t>The Demographics tab shows district percentages</t>
  </si>
  <si>
    <t>you may consider when developing your estimates for the Enrol &amp; Rev tab inputs.</t>
  </si>
  <si>
    <t>NDE Enrollment information by school and grade with demographic breadkown (xls)</t>
  </si>
  <si>
    <t>School data workbook (for 1-2 star schools by zip code</t>
  </si>
  <si>
    <t>List all schools from where it is reasonable that students could come from, whether or not they are 1 or 2 star schools</t>
  </si>
  <si>
    <t>The Ethnicity and Special Populations sections have been removed as new schools are approved for areas of demonstrated need.</t>
  </si>
  <si>
    <t>Potential Site 2 (if you are considering more than Site 1 above)</t>
  </si>
  <si>
    <t>Grade
Level(s)</t>
  </si>
  <si>
    <t xml:space="preserve">
Enrollment</t>
  </si>
  <si>
    <t>If you have narrowed your site to one location you do not need to fill
out this section.</t>
  </si>
  <si>
    <t>School Year 1 (Fall Start) Teaching Starts</t>
  </si>
  <si>
    <t>SY Ending</t>
  </si>
  <si>
    <t>Totals</t>
  </si>
  <si>
    <t>ENROLLMENT (All Populations)</t>
  </si>
  <si>
    <t>Number of Students per Classroom (Goal)</t>
  </si>
  <si>
    <t>Number of classrooms calculated (Estimate)</t>
  </si>
  <si>
    <t>Number of classrooms (Planned)</t>
  </si>
  <si>
    <t>Student / Classroom, calculated</t>
  </si>
  <si>
    <t>Enrollment @ Target 100% Enrollment (@ "stabilization")</t>
  </si>
  <si>
    <t>% Plan vs. Target</t>
  </si>
  <si>
    <t>Growth in Enrollment, YOY</t>
  </si>
  <si>
    <t>Target Enrollment/Available Students Site 1 (Capture, conversion rate of nearby students)</t>
  </si>
  <si>
    <t>Target Enrollment/Available Students Site 2 (Capture, conversion rate of nearby students)</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</si>
  <si>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</si>
  <si>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</si>
  <si>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</si>
  <si>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</si>
  <si>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</si>
  <si>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</si>
  <si>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State Special Education (SPED)</t>
  </si>
  <si>
    <t>English Language Learners (EL)</t>
  </si>
  <si>
    <t>Gifted &amp; Talented (GATE)</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</si>
  <si>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</si>
  <si>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</si>
  <si>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</si>
  <si>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</si>
  <si>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</si>
  <si>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</si>
  <si>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</si>
  <si>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</si>
  <si>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</si>
  <si>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</si>
  <si>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</si>
  <si>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</si>
  <si>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</si>
  <si>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Students not identified in any of the above groups (Adjusted Base funding only)</t>
  </si>
  <si>
    <t>Schools are paid for the higher category when duplication exists</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</si>
  <si>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</si>
  <si>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</si>
  <si>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</si>
  <si>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</si>
  <si>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Carson City</t>
  </si>
  <si>
    <t xml:space="preserve"> &lt;--Select base PCFP payment category here</t>
  </si>
  <si>
    <t>Rates based on SB503, 82nd 2023 Nevada legislative session for FY 25</t>
  </si>
  <si>
    <t>STATE FUNDING PORTION</t>
  </si>
  <si>
    <t>Add'l Funding Wts</t>
  </si>
  <si>
    <t>Note:State Weighted and SpEd funding are paid based on prior year verified special population enrollments.  Schools in year 1 do not receive weighted or SpEd  funds until year 2.</t>
  </si>
  <si>
    <t>Add'l Wts%</t>
  </si>
  <si>
    <t>Add'l Wts$</t>
  </si>
  <si>
    <t>General support base (All students)(FYE 25)</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</si>
  <si>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</si>
  <si>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</si>
  <si>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</si>
  <si>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</si>
  <si>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</si>
  <si>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</si>
  <si>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</si>
  <si>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</si>
  <si>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PCFP Sponsorship Fee</t>
  </si>
  <si>
    <t>% of Base</t>
  </si>
  <si>
    <t>Title IA</t>
  </si>
  <si>
    <t>/FRL Student</t>
  </si>
  <si>
    <t>Title IIA (For FRL students only)</t>
  </si>
  <si>
    <t>Title IIA (Fixed amt for all students)</t>
  </si>
  <si>
    <t>Title III ELL</t>
  </si>
  <si>
    <t>Per ELL student</t>
  </si>
  <si>
    <t>Title IV (Do not use)</t>
  </si>
  <si>
    <t>Do not use</t>
  </si>
  <si>
    <t>IDEA (total)</t>
  </si>
  <si>
    <t>Per SPED student</t>
  </si>
  <si>
    <t>Breakfast Program -- Federal Reimbursement</t>
  </si>
  <si>
    <t>"yes" or "no"</t>
  </si>
  <si>
    <t>Breakfast Program</t>
  </si>
  <si>
    <t>Per student per day</t>
  </si>
  <si>
    <t>Lunch Program</t>
  </si>
  <si>
    <t>Per student</t>
  </si>
  <si>
    <t>County where school is located</t>
  </si>
  <si>
    <t>Enrollment Detail</t>
  </si>
  <si>
    <t>STATE &amp; LOCAL (PCFP) FUNDING</t>
  </si>
  <si>
    <t>State PCFP Adj' Base Revenue</t>
  </si>
  <si>
    <t>State SPED Funding</t>
  </si>
  <si>
    <t>SpEd revenue set for prior year SpEd count; Y6 would be received in Y7 (aka Y1 of a renewal)</t>
  </si>
  <si>
    <t>Local SPED Funding</t>
  </si>
  <si>
    <t>Inflation adjusted Total Revenue</t>
  </si>
  <si>
    <t>PCFP Sponsorship Fee (on Base)</t>
  </si>
  <si>
    <t xml:space="preserve">   PCFP Revenue Net of Sponsor Fee</t>
  </si>
  <si>
    <t xml:space="preserve">   PCFP Revenue Net of Sponsor Fee pp</t>
  </si>
  <si>
    <t>FEDERAL &amp; OTHER FUNDING PORTION</t>
  </si>
  <si>
    <t>Schools may earn federal revenues in year 1 but not receive it until year 2; plan accordingly</t>
  </si>
  <si>
    <t>Title IIA (FRL only)</t>
  </si>
  <si>
    <t>Title IIA (FRL &amp; Non FRL)</t>
  </si>
  <si>
    <t>Do not use; estimates too difficult to accurately develop</t>
  </si>
  <si>
    <t xml:space="preserve">Federal Lunch Program </t>
  </si>
  <si>
    <t>Start-up funds (Federal Replication &amp; Expansion already awarded to operator--not SEA grant)</t>
  </si>
  <si>
    <t>Charter School Program (CSP) Grant (w/letter)</t>
  </si>
  <si>
    <t>Other start-up grant funds, incl' SEA Grants w/ltr</t>
  </si>
  <si>
    <t>School level fundraising w/supporting documentation</t>
  </si>
  <si>
    <t>Food Services Revenue</t>
  </si>
  <si>
    <t>Transportation Funding</t>
  </si>
  <si>
    <t>Private fundraising (foundations, corporate) w/ltr</t>
  </si>
  <si>
    <t>Fundraising / Donations w/ltrs</t>
  </si>
  <si>
    <t xml:space="preserve">  Per Pupil (Federal Funding Portion)</t>
  </si>
  <si>
    <t>Total PCFP Revenue PP</t>
  </si>
  <si>
    <t>Check (Revenue, Summary tab)</t>
  </si>
  <si>
    <t>Difference - Check (Revenue, Summary tab)</t>
  </si>
  <si>
    <t>Inlcude above only grants which may reasonably be seen as forgiveable</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</si>
  <si>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</si>
  <si>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</si>
  <si>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</si>
  <si>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</si>
  <si>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</si>
  <si>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</si>
  <si>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</si>
  <si>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</si>
  <si>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</si>
  <si>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</si>
  <si>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</si>
  <si>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</si>
  <si>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</si>
  <si>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</si>
  <si>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</si>
  <si>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</si>
  <si>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</si>
  <si>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</si>
  <si>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</si>
  <si>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</si>
  <si>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</si>
  <si>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</si>
  <si>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</si>
  <si>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</si>
  <si>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</si>
  <si>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</si>
  <si>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</si>
  <si>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</si>
  <si>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</si>
  <si>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</si>
  <si>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(This is a year 1 budget.  It is not a pre-opening budget)</t>
  </si>
  <si>
    <t>Sponsorship Fee</t>
  </si>
  <si>
    <t>(Carry over totals and input to appropriate worksheets)</t>
  </si>
  <si>
    <t>Qtr End</t>
  </si>
  <si>
    <t>Information</t>
  </si>
  <si>
    <t>From</t>
  </si>
  <si>
    <t>SY1 Ending</t>
  </si>
  <si>
    <t>Projected</t>
  </si>
  <si>
    <t>Enrol tab</t>
  </si>
  <si>
    <t>Variance</t>
  </si>
  <si>
    <t>Comments (out of print range)</t>
  </si>
  <si>
    <t>Mo</t>
  </si>
  <si>
    <t>BOM</t>
  </si>
  <si>
    <t>Days</t>
  </si>
  <si>
    <t>REVENUES</t>
  </si>
  <si>
    <t>PCFP Revenue</t>
  </si>
  <si>
    <t>New: Payments now monthly beginning on/before first day of each</t>
  </si>
  <si>
    <t>CS Sponsorship Fee @ 0.0125</t>
  </si>
  <si>
    <t>month, beginning August 1. Unless Accelerated payment approved.</t>
  </si>
  <si>
    <t xml:space="preserve">Adjustments for acceleration must be received no less than 60 days </t>
  </si>
  <si>
    <t>before July 1. Assumptions to left do not assume Accelerated Payment.</t>
  </si>
  <si>
    <t>Lags (variances) may occur in revenue and expense items due to</t>
  </si>
  <si>
    <t>timing</t>
  </si>
  <si>
    <t>State Weighted Funding</t>
  </si>
  <si>
    <t>Charter Start up funds</t>
  </si>
  <si>
    <t>Other start-up grant funds</t>
  </si>
  <si>
    <t>Student Fees</t>
  </si>
  <si>
    <t>Private Fundraising (w/Ltr of Support)</t>
  </si>
  <si>
    <t>Fundraising Donations (w/Ltr of Support)</t>
  </si>
  <si>
    <t>Total Revenues</t>
  </si>
  <si>
    <t>Total Revenues Y-T-D</t>
  </si>
  <si>
    <t>% Revenue YTD</t>
  </si>
  <si>
    <t>Expense tabs</t>
  </si>
  <si>
    <t>OPERATING EXPENDITURES &amp; OTHER CASH OUTLAYS</t>
  </si>
  <si>
    <t>Personnel</t>
  </si>
  <si>
    <t>Required--if the above optional section was populated then this</t>
  </si>
  <si>
    <t>Instructional Supplies</t>
  </si>
  <si>
    <t>expense section must be completed also. Information may be</t>
  </si>
  <si>
    <t>Contract Services</t>
  </si>
  <si>
    <t>considered for informational purposes.</t>
  </si>
  <si>
    <t>Food &amp; Transportation Program</t>
  </si>
  <si>
    <t>Athletics</t>
  </si>
  <si>
    <t>General Optg Exp' Inflation</t>
  </si>
  <si>
    <t>Campus (Lease/Mortgage)</t>
  </si>
  <si>
    <t>Security Deposits (Site Lease)</t>
  </si>
  <si>
    <t>EMO-CMO</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</si>
  <si>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</si>
  <si>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</si>
  <si>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</si>
  <si>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</si>
  <si>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</si>
  <si>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</si>
  <si>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</si>
  <si>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</si>
  <si>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</si>
  <si>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</si>
  <si>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</si>
  <si>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</si>
  <si>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</si>
  <si>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</si>
  <si>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</si>
  <si>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Cumulative Net Surplus Balance (Cash Balance)</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</si>
  <si>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</si>
  <si>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</si>
  <si>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</si>
  <si>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</si>
  <si>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</si>
  <si>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</si>
  <si>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</si>
  <si>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</si>
  <si>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</si>
  <si>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</si>
  <si>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</si>
  <si>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</si>
  <si>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</si>
  <si>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</si>
  <si>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</si>
  <si>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</si>
  <si>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</si>
  <si>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</si>
  <si>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</si>
  <si>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Projected Cash Balance Statement</t>
  </si>
  <si>
    <t>Net change in Cash from operations</t>
  </si>
  <si>
    <t>Begin Cash Balance(F/B)</t>
  </si>
  <si>
    <t>End Cash Balance (F/B)</t>
  </si>
  <si>
    <t>Benefits/Salaries Exp</t>
  </si>
  <si>
    <t># Employees</t>
  </si>
  <si>
    <t>Benefits/Employee</t>
  </si>
  <si>
    <t>Salaries/Employee</t>
  </si>
  <si>
    <t>Staffing Expenses</t>
  </si>
  <si>
    <t>You may wish to compare your planned staff compensation plan with what is shown on the Transparent Nevada website--for references.</t>
  </si>
  <si>
    <t>Summary will populate automatically, please begin data entry below in areas with yellow cells.</t>
  </si>
  <si>
    <t>Personnel Summary</t>
  </si>
  <si>
    <t>STAFF FTE COUNT (FT &amp; PT w/Benefits)</t>
  </si>
  <si>
    <t>You may paste this summary section into your narrative --&gt;</t>
  </si>
  <si>
    <t>Staff Summary</t>
  </si>
  <si>
    <t>Staff counts here must match your narrative staff count</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</si>
  <si>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</si>
  <si>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</si>
  <si>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</si>
  <si>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</si>
  <si>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</si>
  <si>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</si>
  <si>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</si>
  <si>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</si>
  <si>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</si>
  <si>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</si>
  <si>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</si>
  <si>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</si>
  <si>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</si>
  <si>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</si>
  <si>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</si>
  <si>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</si>
  <si>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</si>
  <si>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</si>
  <si>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</si>
  <si>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</si>
  <si>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</si>
  <si>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</si>
  <si>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</si>
  <si>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</si>
  <si>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</si>
  <si>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</si>
  <si>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</si>
  <si>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</si>
  <si>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</si>
  <si>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Notes, Sources</t>
  </si>
  <si>
    <t>Single Coverage</t>
  </si>
  <si>
    <t>Per year</t>
  </si>
  <si>
    <t>Family Coverage</t>
  </si>
  <si>
    <t xml:space="preserve">School's percentage of coverage </t>
  </si>
  <si>
    <t>Assumed percentage of employees choosing single coverage</t>
    <phoneticPr fontId="7" type="noConversion"/>
  </si>
  <si>
    <t>Weighted avg. cost for medical</t>
  </si>
  <si>
    <t>/ Employee/Year</t>
  </si>
  <si>
    <t>FICA</t>
  </si>
  <si>
    <t>% Wages</t>
  </si>
  <si>
    <t>State Retirement (PERS, Required)</t>
  </si>
  <si>
    <t>Life Insurance</t>
  </si>
  <si>
    <t>GASB 75 (replaces GASB 45)</t>
  </si>
  <si>
    <t>/ Employee</t>
  </si>
  <si>
    <t>Unemployment Insurance</t>
  </si>
  <si>
    <t>Workers' Compensation Insurance</t>
  </si>
  <si>
    <t>/Emp'ee/month</t>
  </si>
  <si>
    <t>Performance Bonus</t>
  </si>
  <si>
    <t>Enter row ~379</t>
  </si>
  <si>
    <t>Inflation (Salaries &amp; related, COLA)</t>
  </si>
  <si>
    <t>Medical benefits costs tied to salaries, rise w/Inflation.</t>
  </si>
  <si>
    <t>Instructional days per year (Minimum)</t>
  </si>
  <si>
    <t>(180 days minimum)</t>
  </si>
  <si>
    <t>Saturday schools per year</t>
  </si>
  <si>
    <t>Contractors required for Saturday School</t>
  </si>
  <si>
    <t>Price per contractor</t>
  </si>
  <si>
    <t>This area and below are not included in print range above.</t>
  </si>
  <si>
    <t>SYEnding</t>
  </si>
  <si>
    <t>Base Salary</t>
  </si>
  <si>
    <t>Fall of School Year 1 =</t>
  </si>
  <si>
    <t>(Input year or "NA")</t>
  </si>
  <si>
    <t xml:space="preserve">FTE Count &amp; Hiring Timing </t>
  </si>
  <si>
    <t>You can overwrite input area formulas with your formula or lump sum amounts.</t>
  </si>
  <si>
    <t>Administrators (Full-time &amp; Part-Time w/benefits)</t>
  </si>
  <si>
    <t>If you do, explain your approach below.</t>
  </si>
  <si>
    <t>Principal</t>
  </si>
  <si>
    <t>Vice Principal</t>
  </si>
  <si>
    <t>year</t>
  </si>
  <si>
    <t xml:space="preserve">Total Administrators </t>
  </si>
  <si>
    <t>Office Staff (Full-time &amp; Part-Time w/benefits)</t>
  </si>
  <si>
    <t>Total Administrators and Office Staff</t>
  </si>
  <si>
    <t>Special Education (SPED) Teachers (Full-time &amp; Part-Time w/benefits)</t>
  </si>
  <si>
    <t>SPED Specialist Assistant 7</t>
  </si>
  <si>
    <t>Total Special EducationTeachers</t>
  </si>
  <si>
    <t xml:space="preserve">     SPED Students</t>
  </si>
  <si>
    <t xml:space="preserve">     SPED Students/Teacher Ratio</t>
  </si>
  <si>
    <t>English Language Learner (ELL) Teachers (Full-time &amp; Part-Time w/benefits)</t>
  </si>
  <si>
    <t>ELL Teacher/Reading Specialist</t>
  </si>
  <si>
    <t>Total ELL Teachers</t>
  </si>
  <si>
    <t>Guidance Counselor &amp; Other Staff (Full-time &amp; Part-Time w/benefits)</t>
  </si>
  <si>
    <t>Guidance Counselor</t>
  </si>
  <si>
    <t>Social Worker</t>
  </si>
  <si>
    <t>Security Guard(s)</t>
  </si>
  <si>
    <t>Operations Management</t>
  </si>
  <si>
    <t>Custodial/grounds workers</t>
  </si>
  <si>
    <t>Food services worker(s)</t>
  </si>
  <si>
    <t>Transportation worker(s)</t>
  </si>
  <si>
    <t>Total Guidance Counselors/Other</t>
  </si>
  <si>
    <t xml:space="preserve">Total Special Education/ELL Teachers/Guidance Counselors </t>
  </si>
  <si>
    <t>Total Faculty before Teachers</t>
  </si>
  <si>
    <t>Grade Level (Core) Teachers (Full-time &amp; Part-Time w/benefits)</t>
  </si>
  <si>
    <t>Teacher</t>
  </si>
  <si>
    <t>Grade Level</t>
  </si>
  <si>
    <t>SYE</t>
  </si>
  <si>
    <t>Subject</t>
  </si>
  <si>
    <t>FTE Count</t>
  </si>
  <si>
    <t xml:space="preserve">You may enter more than one person in any cell if the salaries are the same--or if you're using an average salary (and they're starting the same year). </t>
  </si>
  <si>
    <t>Grade Level Teacher</t>
  </si>
  <si>
    <t>na</t>
  </si>
  <si>
    <t>General</t>
  </si>
  <si>
    <t>3rd Grade Teacher</t>
  </si>
  <si>
    <t>4th Grade Teacher</t>
  </si>
  <si>
    <t>5th Grade Teacher</t>
  </si>
  <si>
    <t>6th Grade Teacher</t>
  </si>
  <si>
    <t>7th Grade Teacher</t>
  </si>
  <si>
    <t>8th Grade Teacher</t>
  </si>
  <si>
    <t>PE teacher</t>
  </si>
  <si>
    <t>STEAM Teacher</t>
  </si>
  <si>
    <t>Spanish Teacher</t>
  </si>
  <si>
    <t>Art Teacher</t>
  </si>
  <si>
    <t>Total Grade Level Teachers (Count)</t>
  </si>
  <si>
    <t>Total Teachers (SPED, ELL, Grade + Counselors)</t>
  </si>
  <si>
    <t>SALARIES</t>
  </si>
  <si>
    <t xml:space="preserve">   Subtotal</t>
  </si>
  <si>
    <t xml:space="preserve">   Subtotal Office Staff</t>
  </si>
  <si>
    <t>Total Grade Level Teacher Salaries</t>
  </si>
  <si>
    <t>Performance Bonuses (Manually estimate)</t>
  </si>
  <si>
    <t>Total Medical Benefits</t>
  </si>
  <si>
    <t>FICA (Federal Insurance Contributions Act)</t>
  </si>
  <si>
    <t>Total FICA</t>
  </si>
  <si>
    <t>State Retirement (PERS-Required)</t>
  </si>
  <si>
    <t>TOTAL STATE RETIREMENT COSTS</t>
  </si>
  <si>
    <t>TOTAL LIFE INSURANCE</t>
  </si>
  <si>
    <t>GASB 45</t>
  </si>
  <si>
    <t>Total GASB 45</t>
  </si>
  <si>
    <t>Unuemployment Insurance</t>
  </si>
  <si>
    <t>TOTAL UNEMPLOYMENT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</si>
  <si>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</si>
  <si>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</si>
  <si>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</si>
  <si>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</si>
  <si>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</si>
  <si>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</si>
  <si>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</si>
  <si>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</si>
  <si>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</si>
  <si>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</si>
  <si>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</si>
  <si>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</si>
  <si>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</si>
  <si>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</si>
  <si>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</si>
  <si>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</si>
  <si>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</si>
  <si>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</si>
  <si>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</si>
  <si>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Part-Time Employee calculator (working area for estimating expenses to input above)</t>
  </si>
  <si>
    <t>Staff 1</t>
  </si>
  <si>
    <t>Staff 2</t>
  </si>
  <si>
    <t>Staff 3</t>
  </si>
  <si>
    <t>Staff 4</t>
  </si>
  <si>
    <t>Staff 5</t>
  </si>
  <si>
    <t>Estimated hours per week</t>
  </si>
  <si>
    <t>Estimated weeks to work</t>
  </si>
  <si>
    <t xml:space="preserve">   Estimated total hours worked</t>
  </si>
  <si>
    <t xml:space="preserve">Standard Hours worked per year </t>
  </si>
  <si>
    <t>Portion of Standard Year worked</t>
  </si>
  <si>
    <t xml:space="preserve">Standard school days/year with teaching days </t>
  </si>
  <si>
    <t>Hours per day possible w/o Overtime</t>
  </si>
  <si>
    <t xml:space="preserve">Standard Hours per school year, base for payment </t>
  </si>
  <si>
    <t>Portion of Standard School Year worked</t>
  </si>
  <si>
    <t>Potential location(s) under consideration: (Address or cross street, City, County)</t>
  </si>
  <si>
    <t>FACILITIES</t>
  </si>
  <si>
    <t>SELECT "Purchase" or "Lease"</t>
  </si>
  <si>
    <t>Lease</t>
  </si>
  <si>
    <t>LEASE OPTION</t>
  </si>
  <si>
    <t>SF/pupil (50-55 sf PP common w/charter schools)(20 sf PP common for classrom only space)</t>
  </si>
  <si>
    <t>Lease area (conditioned space)(sq ft)</t>
  </si>
  <si>
    <t>Lease rate/sq ft/Month (Contract--Before waivers/deferrals; w/o escalator)</t>
  </si>
  <si>
    <t>Lease rate/sq ft/Year (Contract--Before waivers/deferrals; w/o escalator)</t>
  </si>
  <si>
    <t>Lease rate/sq ft/month (After waivers, w/o escalator)(If applicable)</t>
  </si>
  <si>
    <t>Lease rate/sq ft/year (After waivers, w/o escalator)</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</si>
  <si>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</si>
  <si>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</si>
  <si>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</si>
  <si>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</si>
  <si>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</si>
  <si>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</si>
  <si>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</si>
  <si>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</si>
  <si>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</si>
  <si>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</si>
  <si>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</si>
  <si>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</si>
  <si>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</si>
  <si>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</si>
  <si>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</si>
  <si>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</si>
  <si>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</si>
  <si>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</si>
  <si>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</si>
  <si>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</si>
  <si>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</si>
  <si>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</si>
  <si>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</si>
  <si>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</si>
  <si>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</si>
  <si>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</si>
  <si>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</si>
  <si>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</si>
  <si>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</si>
  <si>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</si>
  <si>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</si>
  <si>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If Lease, then facility type:</t>
  </si>
  <si>
    <t>Retail/shopping, office, industrial, school, church, other__________</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</si>
  <si>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</si>
  <si>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</si>
  <si>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</si>
  <si>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</si>
  <si>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</si>
  <si>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</si>
  <si>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</si>
  <si>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</si>
  <si>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</si>
  <si>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</si>
  <si>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</si>
  <si>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</si>
  <si>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</si>
  <si>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</si>
  <si>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</si>
  <si>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</si>
  <si>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</si>
  <si>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</si>
  <si>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</si>
  <si>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</si>
  <si>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</si>
  <si>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</si>
  <si>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</si>
  <si>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</si>
  <si>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</si>
  <si>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</si>
  <si>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</si>
  <si>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</si>
  <si>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</si>
  <si>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</si>
  <si>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</si>
  <si>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</si>
  <si>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</si>
  <si>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</si>
  <si>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</si>
  <si>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 xml:space="preserve">General Operating &amp; Transp' Expenses </t>
  </si>
  <si>
    <t>Fall, Winter</t>
  </si>
  <si>
    <t>Be sure year 1 information below matches with your Year 1 Cashflow Worksheet totals</t>
  </si>
  <si>
    <t>This upper summary section is so you have key information before you to help with your planning.</t>
  </si>
  <si>
    <t>Student / Classroom</t>
  </si>
  <si>
    <t xml:space="preserve">  Estimated # students to newly enroll</t>
  </si>
  <si>
    <t>FRL (% of students)</t>
  </si>
  <si>
    <t xml:space="preserve">   FRL (# of students)</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</si>
  <si>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</si>
  <si>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</si>
  <si>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</si>
  <si>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</si>
  <si>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</si>
  <si>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</si>
  <si>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</si>
  <si>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</si>
  <si>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</si>
  <si>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Instruction</t>
  </si>
  <si>
    <t>Assumptions</t>
  </si>
  <si>
    <t>(Manual entry)</t>
  </si>
  <si>
    <t>You may overide these formulas with more accurate estimates</t>
  </si>
  <si>
    <t>Professional development</t>
  </si>
  <si>
    <t>Per FTE</t>
  </si>
  <si>
    <t>Staff recruitment</t>
  </si>
  <si>
    <t>Per Year</t>
    <phoneticPr fontId="7" type="noConversion"/>
  </si>
  <si>
    <t>Special Ed/Psychology Consultant</t>
  </si>
  <si>
    <t>Annual Expense</t>
  </si>
  <si>
    <t>EMO / CMO Fee See Tab</t>
  </si>
  <si>
    <t>Textbooks - initial costs</t>
  </si>
  <si>
    <t>Textbooks - repurchase of new books</t>
  </si>
  <si>
    <t>Number of years use</t>
  </si>
  <si>
    <t>Library books per new student</t>
  </si>
  <si>
    <t>Per New Student</t>
  </si>
  <si>
    <t>Food services</t>
  </si>
  <si>
    <t>Music program</t>
  </si>
  <si>
    <t>Per Student</t>
  </si>
  <si>
    <t>Management fees (Non EMO; Non CMO, Non BOSP)</t>
  </si>
  <si>
    <t>% of PCFP &amp; Other Grant funds</t>
  </si>
  <si>
    <t>Licensing fees</t>
  </si>
  <si>
    <t>Office Supplies (non direct student; not equip)</t>
  </si>
  <si>
    <t>Supplies for students (not equip)</t>
  </si>
  <si>
    <t>Assessment costs</t>
  </si>
  <si>
    <t>Yearbook</t>
  </si>
  <si>
    <t>School store</t>
  </si>
  <si>
    <t>Contracted SPED</t>
  </si>
  <si>
    <t>Instructional supplies - Teachers (just teaching faculty)</t>
  </si>
  <si>
    <t>Per Instructional FTE</t>
  </si>
  <si>
    <t>General office supplies (enter here or above/student; not equip)</t>
  </si>
  <si>
    <t>Per month</t>
  </si>
  <si>
    <t>School uniforms - new students</t>
  </si>
  <si>
    <t>Per new student</t>
  </si>
  <si>
    <t>School uniforms - returning students (exclude new students)</t>
  </si>
  <si>
    <t>Per returning student (exclude new students)</t>
  </si>
  <si>
    <t>General building decorum</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</si>
  <si>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</si>
  <si>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</si>
  <si>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</si>
  <si>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</si>
  <si>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</si>
  <si>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</si>
  <si>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</si>
  <si>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</si>
  <si>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</si>
  <si>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</si>
  <si>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</si>
  <si>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</si>
  <si>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Accounting services</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</si>
  <si>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</si>
  <si>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</si>
  <si>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</si>
  <si>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</si>
  <si>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</si>
  <si>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</si>
  <si>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</si>
  <si>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</si>
  <si>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no</t>
  </si>
  <si>
    <t>Input "yes" or "no"</t>
  </si>
  <si>
    <t>Total Instructional Supplies</t>
  </si>
  <si>
    <t>Contract/Other Services (Not otherwise included in app)(note EMO, CMO, BOSP tab)</t>
  </si>
  <si>
    <t>Annual audit</t>
  </si>
  <si>
    <t>Brochures, Information</t>
  </si>
  <si>
    <t>Community meeting, hosting</t>
  </si>
  <si>
    <t>Deposits (non facility--if not shown elsewhere)</t>
  </si>
  <si>
    <t>HR: Hiring: Head of School</t>
  </si>
  <si>
    <t>HR: Hiring: Other</t>
  </si>
  <si>
    <t>Legal fees (Incubation Year)</t>
  </si>
  <si>
    <t>Legal fees (Post incubation)</t>
  </si>
  <si>
    <r>
      <t>Nonprofit Incorporation-Federal (</t>
    </r>
    <r>
      <rPr>
        <i/>
        <sz val="11"/>
        <color rgb="FF000000"/>
        <rFont val="Times New Roman"/>
        <family val="1"/>
      </rPr>
      <t>see note--&gt;</t>
    </r>
    <r>
      <rPr>
        <sz val="11"/>
        <color indexed="8"/>
        <rFont val="Times New Roman"/>
        <family val="1"/>
      </rPr>
      <t>)</t>
    </r>
  </si>
  <si>
    <t>Nonprofit Incorporation may be required for some grants.  Is not required by SPCSA to open</t>
  </si>
  <si>
    <r>
      <t>Nonprofit Incorporation-State (</t>
    </r>
    <r>
      <rPr>
        <i/>
        <sz val="11"/>
        <color rgb="FF000000"/>
        <rFont val="Times New Roman"/>
        <family val="1"/>
      </rPr>
      <t>see note--&gt;</t>
    </r>
    <r>
      <rPr>
        <sz val="11"/>
        <color indexed="8"/>
        <rFont val="Times New Roman"/>
        <family val="1"/>
      </rPr>
      <t>)</t>
    </r>
  </si>
  <si>
    <t>School leader acquisition/development costs in incubation</t>
  </si>
  <si>
    <t>Partnership: (overwrite w/type, name if available)</t>
  </si>
  <si>
    <t>Total Contract/Other Services</t>
  </si>
  <si>
    <t>Food Program</t>
  </si>
  <si>
    <t>School Pays?</t>
  </si>
  <si>
    <t>Breakfast</t>
  </si>
  <si>
    <t>Lunch program</t>
  </si>
  <si>
    <t>Snacks</t>
  </si>
  <si>
    <t>Saturday food program</t>
  </si>
  <si>
    <t>Total Food Costs</t>
  </si>
  <si>
    <t>TRANSPORTATION REVENUES/FUNDING</t>
  </si>
  <si>
    <t>Transportation Revenues/Funding (if applicable)</t>
  </si>
  <si>
    <t>TRANSPORTATION COSTS</t>
  </si>
  <si>
    <t>Percentage of students planned to participate in being transported</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</si>
  <si>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</si>
  <si>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</si>
  <si>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</si>
  <si>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</si>
  <si>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</si>
  <si>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</si>
  <si>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</si>
  <si>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</si>
  <si>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</si>
  <si>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</si>
  <si>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</si>
  <si>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</si>
  <si>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</si>
  <si>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students planned to enroll</t>
  </si>
  <si>
    <t>Number of students participating</t>
  </si>
  <si>
    <t>Number of buses required</t>
  </si>
  <si>
    <t>Cost of additional bus(es)</t>
  </si>
  <si>
    <t>Fuel costs</t>
  </si>
  <si>
    <t>Maintenance costs</t>
  </si>
  <si>
    <t>TOTAL TRANSPORTATION COSTS</t>
  </si>
  <si>
    <t>Per estimated rider-pupil cost</t>
  </si>
  <si>
    <t>NET TRANSPORTATION CASHFLOW</t>
  </si>
  <si>
    <t>Costs stated as positive number to be consistent with other costs shown; credit if T' revenues &gt; T' costs</t>
  </si>
  <si>
    <t>Athletic Costs detail (subtotal posted above) (not in print range)</t>
  </si>
  <si>
    <t>Football</t>
  </si>
  <si>
    <t>Boy's basketball</t>
  </si>
  <si>
    <t>Girl's cheerleading</t>
  </si>
  <si>
    <t>Boy's soccer</t>
  </si>
  <si>
    <t>Girl's soccer</t>
  </si>
  <si>
    <t>Boy's track and field</t>
  </si>
  <si>
    <t>Girl's track and field</t>
  </si>
  <si>
    <t>Boy's lacrosse</t>
  </si>
  <si>
    <t>Girl's lacrosse</t>
  </si>
  <si>
    <t>TOTAL ATHLETIC COSTS</t>
  </si>
  <si>
    <t>Inflation (compounded/year)</t>
  </si>
  <si>
    <t>TOTAL GENERAL OPERATING EXPENSES</t>
  </si>
  <si>
    <t xml:space="preserve">   TOT GEN OPERATING EXPENSES w/o Trans</t>
  </si>
  <si>
    <t>Transportation costs not included here as they are separately shown on the Summary tab</t>
  </si>
  <si>
    <t>Furnishings, Fixtures, Equipment 
&amp; Technology (FFE&amp;T)</t>
  </si>
  <si>
    <t>Comments (Applicant/SPCSA) (Not in print range)(Explain formula overrides)</t>
  </si>
  <si>
    <t>Student enrollment</t>
  </si>
  <si>
    <t>FTE Total (PT not incl)</t>
  </si>
  <si>
    <t>(Enter manually)</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</si>
  <si>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</si>
  <si>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</si>
  <si>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</si>
  <si>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</si>
  <si>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</si>
  <si>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</si>
  <si>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</si>
  <si>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</si>
  <si>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</si>
  <si>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</si>
  <si>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</si>
  <si>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</si>
  <si>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</si>
  <si>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</si>
  <si>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</si>
  <si>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</si>
  <si>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</si>
  <si>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NWEA-MAP</t>
  </si>
  <si>
    <t>iReady</t>
  </si>
  <si>
    <t>Class Dojo</t>
  </si>
  <si>
    <t>Infinite Campus</t>
  </si>
  <si>
    <t>Technology Support Services</t>
  </si>
  <si>
    <t>Internet and phone monthly service</t>
  </si>
  <si>
    <t>Website development, maintenance</t>
  </si>
  <si>
    <t>Other Equipment (security system, 
Hardware costs, setup fees)</t>
  </si>
  <si>
    <t>Other Equipment replacement</t>
  </si>
  <si>
    <t>Expected years</t>
  </si>
  <si>
    <t>Monthly equipment cost</t>
  </si>
  <si>
    <t>Computer Hardware (Other)</t>
  </si>
  <si>
    <t>Computer Software</t>
  </si>
  <si>
    <t>Faculty furniture (desks, tables, chairs…)</t>
  </si>
  <si>
    <t>Student furniture (desks, tables, chairs…)</t>
  </si>
  <si>
    <t xml:space="preserve">TOTAL FFE &amp; T COSTS 
</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</si>
  <si>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</si>
  <si>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</si>
  <si>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</si>
  <si>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</si>
  <si>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</si>
  <si>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</si>
  <si>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</si>
  <si>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</si>
  <si>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</si>
  <si>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Check with your risk manager, insurance agent, or attorney as to what types of insurance you may need.</t>
  </si>
  <si>
    <t xml:space="preserve">Pre-Opening </t>
  </si>
  <si>
    <t>(You may overwrite the formulas below)</t>
  </si>
  <si>
    <t>Insurance types</t>
  </si>
  <si>
    <t>Minimum</t>
  </si>
  <si>
    <t>Annual</t>
  </si>
  <si>
    <t>(Select appropriate coverages)</t>
  </si>
  <si>
    <t>Coverage</t>
  </si>
  <si>
    <t>Cost</t>
  </si>
  <si>
    <t>6 yr+0</t>
  </si>
  <si>
    <t>Indicate below if required coverages are included, e.g., "in (c)"</t>
  </si>
  <si>
    <t>NAC 388A.190</t>
  </si>
  <si>
    <t>(i.e., for bundled insurance)</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</si>
  <si>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</si>
  <si>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</si>
  <si>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</si>
  <si>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</si>
  <si>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</si>
  <si>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</si>
  <si>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</si>
  <si>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</si>
  <si>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</si>
  <si>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</si>
  <si>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</si>
  <si>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</si>
  <si>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</si>
  <si>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Other (Check applicable requirements)</t>
  </si>
  <si>
    <t>Abuse &amp; Molestation</t>
  </si>
  <si>
    <t>Accident Insurance - For volunteers or students due to accident at school.</t>
  </si>
  <si>
    <t>Commercial Property/Campus Liability</t>
  </si>
  <si>
    <t>Commercial Property/Campus Liability (_________ type)</t>
  </si>
  <si>
    <t>Cyber Liability</t>
  </si>
  <si>
    <t>Directors &amp; Officers</t>
  </si>
  <si>
    <t>Employee Dishonesty/Crime</t>
  </si>
  <si>
    <t>Employement Practices Liability</t>
  </si>
  <si>
    <t>Errors and Omissions</t>
  </si>
  <si>
    <t>Excess/Umbrella Liability</t>
  </si>
  <si>
    <t>Personal and Advertising Injury</t>
  </si>
  <si>
    <t>Products/Completed Operations Aggregate</t>
  </si>
  <si>
    <t>Special Education Liability</t>
  </si>
  <si>
    <t>Student Accident Liability per accident</t>
  </si>
  <si>
    <t>Business Interruption</t>
  </si>
  <si>
    <t>Unemployment Insurance (see Staff tab)</t>
  </si>
  <si>
    <t>Worker's Compensation (see Staff tab)</t>
  </si>
  <si>
    <t>Total Insurance Expense b4 Inflation</t>
  </si>
  <si>
    <t>Inflation (Compounds)</t>
  </si>
  <si>
    <t>The above list may serve as a prompt of insurance coverages and insurance packages that need to be considered and acquired.</t>
  </si>
  <si>
    <t>Remove lines which are not applicable to your school.  Add desriptions and amounts where needed.</t>
  </si>
  <si>
    <t>Consult with your insurance agent regarding the coverages your school, faculty, leadership and board may need or want.</t>
  </si>
  <si>
    <t>Marketing &amp; Recruitment Expenses</t>
  </si>
  <si>
    <t>Charter Contract Operations Term</t>
  </si>
  <si>
    <t>STUDENT RECRUITMENT AND MARKETING</t>
  </si>
  <si>
    <t>Marketing/Recruitment Method</t>
  </si>
  <si>
    <t>Schedule estimate</t>
  </si>
  <si>
    <t>Total Cost</t>
  </si>
  <si>
    <t>EMO, CMO, BOSP Budget Worksheet</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</si>
  <si>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</si>
  <si>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</si>
  <si>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</si>
  <si>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</si>
  <si>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Education Management Organization (EMO)</t>
  </si>
  <si>
    <t>Charter Management Organization (CMO)</t>
  </si>
  <si>
    <t>School Year 1 (Fall Start)</t>
  </si>
  <si>
    <t>Back Office Service Provider (BOSP)</t>
  </si>
  <si>
    <t>Total Expenses (w/o EMO/CMO Fees)</t>
  </si>
  <si>
    <t>Do you plan to contract with a EMO/CMO during this term?</t>
  </si>
  <si>
    <t>Y/N?</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</si>
  <si>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</si>
  <si>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</si>
  <si>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</si>
  <si>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</si>
  <si>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</si>
  <si>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</si>
  <si>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</si>
  <si>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</si>
  <si>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</si>
  <si>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</si>
  <si>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</si>
  <si>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</si>
  <si>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</si>
  <si>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</si>
  <si>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</si>
  <si>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ESP (Education Services Provider) is not used here to reduce possible confusion with an EMO.</t>
  </si>
  <si>
    <t>EMO or CMO</t>
  </si>
  <si>
    <t>BOSP</t>
  </si>
  <si>
    <t>Incl'd</t>
  </si>
  <si>
    <t>Do they Perform</t>
  </si>
  <si>
    <t>Or a Cost</t>
  </si>
  <si>
    <t>Perform</t>
  </si>
  <si>
    <t>in fee?</t>
  </si>
  <si>
    <t>the Service?</t>
  </si>
  <si>
    <t>Pass Thru?</t>
  </si>
  <si>
    <t>Service?</t>
  </si>
  <si>
    <t>EMO, CMO, BOSP services to charter school</t>
  </si>
  <si>
    <t>Y/N</t>
  </si>
  <si>
    <t>"Back office" functions (Accounting, A/P, A/R, Payroll, Inventory, financial, compliance, reporting)</t>
  </si>
  <si>
    <t>If you mark Y/N here do not mark the individual items below</t>
  </si>
  <si>
    <t>Accounting (AR, AP...)</t>
  </si>
  <si>
    <t>Bond Financing</t>
  </si>
  <si>
    <t xml:space="preserve">Capital Loans, </t>
  </si>
  <si>
    <t xml:space="preserve">Cash Advances For Startup Funds, </t>
  </si>
  <si>
    <t>Computer/Other Leasing</t>
  </si>
  <si>
    <t>Compliance</t>
  </si>
  <si>
    <t>Contract Mgt</t>
  </si>
  <si>
    <t>Curriculum</t>
  </si>
  <si>
    <t xml:space="preserve">Development of Curriculum and Instruction, </t>
  </si>
  <si>
    <t xml:space="preserve">Establishment of College Guidance &amp; Counseling Program. </t>
  </si>
  <si>
    <t>Facility Acquisition</t>
  </si>
  <si>
    <t>Facility Leasing</t>
  </si>
  <si>
    <t>Facility Tenant Improvement</t>
  </si>
  <si>
    <t>Federal funds processing</t>
  </si>
  <si>
    <t>Finance</t>
  </si>
  <si>
    <t>Food Servicing</t>
  </si>
  <si>
    <t xml:space="preserve">Furnishings, Fixtures, </t>
  </si>
  <si>
    <t>Grant Application/Processing costs</t>
  </si>
  <si>
    <t>Safety</t>
  </si>
  <si>
    <t>HR Management</t>
  </si>
  <si>
    <t>Internal Control Process Development</t>
  </si>
  <si>
    <t>Inventory</t>
  </si>
  <si>
    <t>Manage or Operate aspects of a charter school</t>
  </si>
  <si>
    <t>Payroll</t>
  </si>
  <si>
    <t xml:space="preserve">Professional Development and </t>
  </si>
  <si>
    <t>Purchasing</t>
  </si>
  <si>
    <t>Reporting</t>
  </si>
  <si>
    <t xml:space="preserve">Supervision of building Design &amp; Remodeling, </t>
  </si>
  <si>
    <t xml:space="preserve">Technology Contracting, </t>
  </si>
  <si>
    <t xml:space="preserve">Textbooks, Other Transactions, </t>
  </si>
  <si>
    <t>Other (Describe)</t>
  </si>
  <si>
    <t>Total EMO-CMO-ESP Planned Expenses</t>
  </si>
  <si>
    <t>Does the EMO provide the service or do they help you choose the service which you will pay for--separate</t>
  </si>
  <si>
    <t>from the EMO fee?</t>
  </si>
  <si>
    <t>Some schools hire both and EMO and a BOSP</t>
  </si>
  <si>
    <t>Special Populations &amp; Demographics</t>
  </si>
  <si>
    <t>For reference:</t>
  </si>
  <si>
    <t>NDE Enrollment Data</t>
  </si>
  <si>
    <t>Academic &amp; Demographic Needs Assessment (ADNA)</t>
  </si>
  <si>
    <t>PCFP Rates</t>
  </si>
  <si>
    <t>In person</t>
  </si>
  <si>
    <t>Final adjusted base PPR, SB 503 EN (2023)</t>
  </si>
  <si>
    <t>Charter</t>
  </si>
  <si>
    <t>SYE 24</t>
  </si>
  <si>
    <t>SYE 25</t>
  </si>
  <si>
    <t>The content here is pulled to the "Enroll &amp; Rev" tab, so be careful modifying it.</t>
  </si>
  <si>
    <t>Churchill</t>
  </si>
  <si>
    <t>Clark</t>
  </si>
  <si>
    <t>Elko</t>
  </si>
  <si>
    <t>Nye</t>
  </si>
  <si>
    <t>Washoe (Reno)</t>
  </si>
  <si>
    <t>Washoe (Stead)</t>
  </si>
  <si>
    <t>White Pine</t>
  </si>
  <si>
    <t>Statewide base</t>
  </si>
  <si>
    <t>Special Populations</t>
  </si>
  <si>
    <t>Additional weighted PPR, SB 503 EN (2023)</t>
  </si>
  <si>
    <t>SpEd (TEST INPUT)</t>
  </si>
  <si>
    <t>Using 2024 rates until we see the 2025 rates from NDE.  See NDE SPED payments file (e.g., FY 2024 Special Education Payment Book - Q2_10.25.2023), "Charter School Base Allocation" tab.</t>
  </si>
  <si>
    <t>English learners</t>
  </si>
  <si>
    <t>Gifted and talented</t>
  </si>
  <si>
    <t>SB 458 (2021) established the funding rates for the SYE 22 and SYE 23 biennium.</t>
  </si>
  <si>
    <t>NDE Adjustment Factor</t>
  </si>
  <si>
    <t>For the base</t>
  </si>
  <si>
    <t>Only for the State SPED account which was not "pre" affected by the .9931% reduction.</t>
  </si>
  <si>
    <t>SYE 23</t>
  </si>
  <si>
    <t>Distance Ed SB 458.5.5 &amp; 6.5</t>
  </si>
  <si>
    <t>Distance Ed SB 458.5.5...w/Adj</t>
  </si>
  <si>
    <t>Final adjusted base PPR, SB 458.5-6 (2021)</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</si>
  <si>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</si>
  <si>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</si>
  <si>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</si>
  <si>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</si>
  <si>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</si>
  <si>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</si>
  <si>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</si>
  <si>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</si>
  <si>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</si>
  <si>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Washoe</t>
  </si>
  <si>
    <t>CC-SYE 22</t>
  </si>
  <si>
    <t>Additional weighted PPR, SB 458.5-7 (2021)</t>
  </si>
  <si>
    <t>Placeholders for testing @ 33%</t>
  </si>
  <si>
    <t>(no 100% FRL?)</t>
  </si>
  <si>
    <t>Enrollments</t>
  </si>
  <si>
    <t>In Person</t>
  </si>
  <si>
    <t>Distance Ed'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</si>
  <si>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</si>
  <si>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</si>
  <si>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</si>
  <si>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</si>
  <si>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</si>
  <si>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</si>
  <si>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</si>
  <si>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</si>
  <si>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</si>
  <si>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</si>
  <si>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</si>
  <si>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</si>
  <si>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</si>
  <si>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</si>
  <si>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</si>
  <si>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</si>
  <si>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</si>
  <si>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</si>
  <si>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</si>
  <si>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</si>
  <si>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</si>
  <si>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</si>
  <si>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</si>
  <si>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</si>
  <si>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</si>
  <si>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</si>
  <si>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</si>
  <si>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</si>
  <si>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</si>
  <si>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</si>
  <si>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</si>
  <si>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</si>
  <si>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</si>
  <si>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</si>
  <si>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</si>
  <si>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</si>
  <si>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</si>
  <si>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</si>
  <si>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</si>
  <si>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</si>
  <si>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</si>
  <si>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</si>
  <si>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</si>
  <si>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</si>
  <si>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</si>
  <si>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</si>
  <si>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</si>
  <si>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</si>
  <si>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</si>
  <si>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</si>
  <si>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</si>
  <si>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</si>
  <si>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</si>
  <si>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</si>
  <si>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</si>
  <si>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</si>
  <si>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</si>
  <si>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</si>
  <si>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</si>
  <si>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</si>
  <si>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</si>
  <si>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</si>
  <si>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</si>
  <si>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</si>
  <si>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</si>
  <si>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</si>
  <si>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</si>
  <si>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</si>
  <si>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</si>
  <si>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</si>
  <si>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</si>
  <si>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</si>
  <si>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</si>
  <si>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</si>
  <si>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</si>
  <si>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</si>
  <si>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</si>
  <si>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</si>
  <si>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</si>
  <si>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</si>
  <si>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</si>
  <si>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</si>
  <si>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</si>
  <si>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</si>
  <si>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</si>
  <si>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</si>
  <si>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</si>
  <si>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</si>
  <si>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</si>
  <si>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</si>
  <si>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</si>
  <si>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</si>
  <si>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</si>
  <si>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</si>
  <si>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</si>
  <si>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</si>
  <si>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</si>
  <si>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(fka FRL)</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</si>
  <si>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</si>
  <si>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</si>
  <si>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</si>
  <si>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</si>
  <si>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</si>
  <si>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</si>
  <si>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</si>
  <si>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</si>
  <si>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</si>
  <si>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</si>
  <si>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</si>
  <si>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</si>
  <si>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</si>
  <si>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</si>
  <si>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</si>
  <si>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</si>
  <si>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</si>
  <si>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</si>
  <si>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</si>
  <si>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</si>
  <si>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</si>
  <si>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</si>
  <si>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</si>
  <si>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</si>
  <si>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</si>
  <si>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</si>
  <si>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</si>
  <si>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</si>
  <si>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</si>
  <si>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</si>
  <si>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</si>
  <si>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</si>
  <si>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</si>
  <si>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</si>
  <si>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</si>
  <si>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</si>
  <si>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</si>
  <si>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</si>
  <si>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</si>
  <si>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</si>
  <si>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</si>
  <si>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</si>
  <si>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</si>
  <si>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</si>
  <si>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</si>
  <si>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</si>
  <si>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</si>
  <si>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</si>
  <si>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</si>
  <si>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</si>
  <si>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</si>
  <si>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</si>
  <si>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</si>
  <si>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</si>
  <si>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</si>
  <si>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</si>
  <si>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</si>
  <si>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</si>
  <si>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</si>
  <si>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</si>
  <si>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</si>
  <si>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</si>
  <si>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</si>
  <si>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</si>
  <si>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</si>
  <si>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</si>
  <si>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</si>
  <si>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</si>
  <si>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</si>
  <si>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</si>
  <si>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</si>
  <si>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</si>
  <si>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</si>
  <si>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</si>
  <si>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</si>
  <si>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</si>
  <si>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</si>
  <si>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</si>
  <si>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</si>
  <si>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</si>
  <si>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</si>
  <si>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</si>
  <si>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</si>
  <si>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</si>
  <si>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</si>
  <si>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</si>
  <si>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</si>
  <si>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</si>
  <si>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</si>
  <si>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</si>
  <si>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</si>
  <si>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</si>
  <si>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</si>
  <si>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</si>
  <si>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</si>
  <si>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</si>
  <si>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</si>
  <si>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</si>
  <si>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</si>
  <si>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</si>
  <si>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</si>
  <si>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</si>
  <si>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</si>
  <si>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</si>
  <si>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</si>
  <si>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</si>
  <si>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</si>
  <si>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</si>
  <si>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</si>
  <si>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</si>
  <si>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</si>
  <si>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</si>
  <si>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</si>
  <si>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</si>
  <si>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</si>
  <si>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</si>
  <si>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</si>
  <si>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</si>
  <si>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</si>
  <si>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</si>
  <si>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</si>
  <si>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</si>
  <si>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</si>
  <si>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</si>
  <si>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</si>
  <si>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</si>
  <si>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</si>
  <si>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</si>
  <si>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</si>
  <si>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</si>
  <si>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</si>
  <si>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</si>
  <si>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</si>
  <si>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</si>
  <si>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</si>
  <si>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</si>
  <si>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</si>
  <si>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</si>
  <si>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</si>
  <si>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</si>
  <si>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</si>
  <si>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</si>
  <si>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</si>
  <si>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</si>
  <si>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</si>
  <si>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</si>
  <si>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</si>
  <si>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</si>
  <si>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</si>
  <si>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</si>
  <si>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</si>
  <si>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</si>
  <si>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</si>
  <si>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</si>
  <si>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</si>
  <si>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</si>
  <si>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</si>
  <si>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</si>
  <si>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</si>
  <si>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</si>
  <si>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</si>
  <si>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</si>
  <si>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</si>
  <si>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</si>
  <si>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</si>
  <si>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</si>
  <si>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</si>
  <si>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</si>
  <si>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</si>
  <si>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</si>
  <si>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</si>
  <si>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</si>
  <si>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</si>
  <si>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</si>
  <si>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</si>
  <si>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</si>
  <si>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</si>
  <si>
    <t>For the SYE 24 &amp; SYE 25 Biennium</t>
  </si>
  <si>
    <t>PUPIL CENTERED FUNDING PLAN SYE 24 &amp; SYE 25</t>
  </si>
  <si>
    <t>At-risk pupils (AR)</t>
  </si>
  <si>
    <t>At Risk (AR)</t>
  </si>
  <si>
    <t xml:space="preserve"> (PCFP funding for 26, 27 expected after legislative biennium session FYE 25)</t>
  </si>
  <si>
    <t xml:space="preserve"> aka "Distance education", "aka Virtual education"</t>
  </si>
  <si>
    <t>Virtual/Distance (aka Statewide base)</t>
  </si>
  <si>
    <t>At Risk Pupils (AR) (Computed separately and funded later)</t>
  </si>
  <si>
    <t xml:space="preserve"> (Computed separately by NDE.  Likely funded after year 1 or after year 2)</t>
  </si>
  <si>
    <t>Inflation adjustor (on state Base only)</t>
  </si>
  <si>
    <t>(Proportion of planned enrollment)</t>
  </si>
  <si>
    <t>At Risk Pupils (AR)(Determined later by NDE)</t>
  </si>
  <si>
    <t>Total Student Enrollment (input below must match application narrative)</t>
  </si>
  <si>
    <t>State Weighted Funding (EL, GATE, no local AR)</t>
  </si>
  <si>
    <t>Net Pension Liability (PERS allocates to schools in year 2)</t>
  </si>
  <si>
    <t>New FY</t>
  </si>
  <si>
    <t>There is no required information to fill out in the tabs to the right</t>
  </si>
  <si>
    <t>Information, cost estimating or "scratch paper" pages to your right.</t>
  </si>
  <si>
    <t>Odyssey Charter School</t>
  </si>
  <si>
    <t>K-5 Teachers</t>
  </si>
  <si>
    <t>ES</t>
  </si>
  <si>
    <t>MS English</t>
  </si>
  <si>
    <t>MS</t>
  </si>
  <si>
    <t>MS History</t>
  </si>
  <si>
    <t>MS Math</t>
  </si>
  <si>
    <t>Elective</t>
  </si>
  <si>
    <t>Reading</t>
  </si>
  <si>
    <t>English</t>
  </si>
  <si>
    <t>History</t>
  </si>
  <si>
    <t>Math</t>
  </si>
  <si>
    <t>Photo</t>
  </si>
  <si>
    <t>Science</t>
  </si>
  <si>
    <t>HS English</t>
  </si>
  <si>
    <t>HS</t>
  </si>
  <si>
    <t>MS Science</t>
  </si>
  <si>
    <t>MS Spanish Teacher</t>
  </si>
  <si>
    <t>HS CTE - Graphic Design, Web Design, Animation</t>
  </si>
  <si>
    <t>HS Math</t>
  </si>
  <si>
    <t>CTE</t>
  </si>
  <si>
    <t>Spanish</t>
  </si>
  <si>
    <t>HS Physical Ed/Drivers Ed</t>
  </si>
  <si>
    <t>HS Science</t>
  </si>
  <si>
    <t>PE</t>
  </si>
  <si>
    <t>SocStud</t>
  </si>
  <si>
    <t>HS Social Studies</t>
  </si>
  <si>
    <t>HS History</t>
  </si>
  <si>
    <t>HS Computer Sciences</t>
  </si>
  <si>
    <t>CS</t>
  </si>
  <si>
    <t>SPED Aide</t>
  </si>
  <si>
    <t xml:space="preserve">SPED Facilitator </t>
  </si>
  <si>
    <t>SPED Teacher</t>
  </si>
  <si>
    <t>Speech Path</t>
  </si>
  <si>
    <t xml:space="preserve">Transition Specialist </t>
  </si>
  <si>
    <t>Math &amp; ELA Instructional Assistant</t>
  </si>
  <si>
    <t>English Language &amp; Assessment Coordinator</t>
  </si>
  <si>
    <t>ELL Testing Specialist</t>
  </si>
  <si>
    <t xml:space="preserve">ES TOSA - Literacy Strategist </t>
  </si>
  <si>
    <t xml:space="preserve">HS TOSA - Literacy Strategist </t>
  </si>
  <si>
    <t>Nurse/Health Office</t>
  </si>
  <si>
    <t>Executive Director</t>
  </si>
  <si>
    <t>Superintendent of Schools</t>
  </si>
  <si>
    <t>Director of Business &amp; Finance</t>
  </si>
  <si>
    <t>Director of Human Resources</t>
  </si>
  <si>
    <t>Prof Dev &amp; On-Line Curr/Tech</t>
  </si>
  <si>
    <t>Accountability/Attendance/Registration</t>
  </si>
  <si>
    <t>Operations Support Staff/Back Office</t>
  </si>
  <si>
    <t>Director of Federal Programs</t>
  </si>
  <si>
    <t>Counselors &amp; Other (4.0 FTE)</t>
  </si>
  <si>
    <t>ELL Specialist</t>
  </si>
  <si>
    <t>HS Principal's Admin</t>
  </si>
  <si>
    <t>SPED Teachers (9.0 FTE)</t>
  </si>
  <si>
    <t>Teachers &amp; TOSAs (23.55 FTE)</t>
  </si>
  <si>
    <t>Staff Leasing Fees @18.5% of rows 129-134</t>
  </si>
  <si>
    <t>$950 per month x 12 = 11,400 OCS cost per employee</t>
  </si>
  <si>
    <t>had to be backed into, based on ($40,600 max/ee x 1.2% X FTE 122)/total salaries  (122 ee x 40600 x 1.2% =59439)</t>
  </si>
  <si>
    <t>had to be backed into, based on ($36,000 max/ee x .0045 X FTE 122)/total salaries  (122 ee x 36000 x .0045 =19764)</t>
  </si>
  <si>
    <t>Other Benefits costs calculated based on FY 2024 actual ratio of benefits/payroll</t>
  </si>
  <si>
    <t>we don't record pension costs other than the PERS contributions</t>
  </si>
  <si>
    <t>I assume this is what came from CCSD--$1,080,000 in fy 24</t>
  </si>
  <si>
    <t>backed into this to match our FY 25 allocation of $423K</t>
  </si>
  <si>
    <t>per law</t>
  </si>
  <si>
    <t>Current PERS Rate</t>
  </si>
  <si>
    <t>based on FY 2024 award letter amount = award herein</t>
  </si>
  <si>
    <t>=Local SPED currently received from NV DOE (NOT FOOD SERVICE)</t>
  </si>
  <si>
    <t>=At-Risk currently received from NV DOE (NOT TRANSPORTATION)</t>
  </si>
  <si>
    <t>OCS does not use EMO, CMO or BOSP organizations</t>
  </si>
  <si>
    <t>Year Round Marketing geared towards retention, enrollment and brand awareness</t>
  </si>
  <si>
    <t>BUNDLED with Educators Legal above</t>
  </si>
  <si>
    <t>bundled within</t>
  </si>
  <si>
    <t>see above</t>
  </si>
  <si>
    <t>see above section</t>
  </si>
  <si>
    <t>includes D &amp; O</t>
  </si>
  <si>
    <t>see student accident below</t>
  </si>
  <si>
    <t>Odyssey has many years of historical data to rely upon; typically on an annual basis, Odyssey expends bnetween $50K and $150K on furniture fixtures equipment and technology</t>
  </si>
  <si>
    <t>Odyssey has many years of historical data to rely upon; typically on an annual basis, Odyssey expends bnetween $50K and $150K on furniture fixtures equipment and technology.</t>
  </si>
  <si>
    <t>And as Odyssey is fully operational, no significant expendutes are needed in this area.</t>
  </si>
  <si>
    <t>Assumes no new facility</t>
  </si>
  <si>
    <t>this formula picks up the wrong row</t>
  </si>
  <si>
    <t>IBC</t>
  </si>
  <si>
    <t>net effective rate for all leases</t>
  </si>
  <si>
    <t>we rarely use text books</t>
  </si>
  <si>
    <t>regular office supplies and student supplies</t>
  </si>
  <si>
    <t>instructional software</t>
  </si>
  <si>
    <t>included in contracted services</t>
  </si>
  <si>
    <t>Bus Passes</t>
  </si>
  <si>
    <t>we only pay for bus passess, expense included in Gen Operating</t>
  </si>
  <si>
    <t>included below</t>
  </si>
  <si>
    <t>actaul reserves without pension entries</t>
  </si>
  <si>
    <t>This section not completed as the structure is incorrect, and reserves are not assets, they belong</t>
  </si>
  <si>
    <t>in the liability section, or should be a negative number in the asset section</t>
  </si>
  <si>
    <t>in the liability section, or should be a negative number in the asset section.  AUDITED STATEMENTS TO BE PROVIDED</t>
  </si>
  <si>
    <t>.</t>
  </si>
  <si>
    <t>IF WE CAN'T COMPLETE THIS IT DOESN’T WORK</t>
  </si>
  <si>
    <t>rlh</t>
  </si>
  <si>
    <t>this represents ELL, At Risk, and Local SPED</t>
  </si>
  <si>
    <t>Direct Contracted SPED Related Services</t>
  </si>
  <si>
    <t>While Odyssey considers all Clark County schools to be feeder schools, Odyssey currently operates at or close to full capacity and would only draw a very small number of new stuidents each year from other schools.</t>
  </si>
  <si>
    <t>see note on right</t>
  </si>
  <si>
    <t>Please Note that these ratios do not reflect Odyssey's blended learning model, Odyssey students do not attend class on campus on a daily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</si>
</sst>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0.00%;[Red]\(0.00%\);&quot;-%&quot;"/>
    <numFmt numFmtId="190" formatCode="#,##0_)&quot;sf/p&quot;;\(#,##0\)&quot;sf&quot;;_(* &quot;-&quot;_);_(@_)"/>
    <numFmt numFmtId="191" formatCode="_(#,##0_)&quot;sf/p&quot;;[Red]_(\(#,##0\);_(&quot;-&quot;_);_(@_)"/>
    <numFmt numFmtId="192" formatCode="General&quot; s&quot;"/>
    <numFmt numFmtId="193" formatCode="_(#,##0.0_)&quot;mi&quot;;[Red]_(\(#,##0.0\);_(&quot;-&quot;_);_(@_)"/>
    <numFmt numFmtId="194" formatCode="&quot;Yr &quot;General"/>
    <numFmt numFmtId="195" formatCode="0.0%;[Red]\(0.0%\);&quot;-%&quot;"/>
    <numFmt numFmtId="196" formatCode="_(#,##0_)&quot;s&quot;;[Red]_(\(#,##0\)&quot; s&quot;;_(&quot;-&quot;_);_(@_)"/>
    <numFmt numFmtId="197" formatCode="&quot;max &quot;#,##0_);[Red]\(#,##0\)"/>
    <numFmt numFmtId="198" formatCode="&quot;av &quot;_(&quot;$&quot;#,##0_);[Red]_(&quot;$&quot;\(#,##0\);_(&quot;$&quot;\ &quot;-&quot;_);_(@_)"/>
    <numFmt numFmtId="199" formatCode="&quot;min &quot;_(#,##0_);[Red]_(\(#,##0\);_(&quot;-&quot;_);_(@_)"/>
    <numFmt numFmtId="200" formatCode="_(#,##0_)&quot;s&quot;;[Red]_(\(#,##0\);_(&quot;-&quot;_);_(@_)"/>
    <numFmt numFmtId="201" formatCode="&quot;Plan max &quot;#,##0_);[Red]\(#,##0\)"/>
    <numFmt numFmtId="202" formatCode="_(#,##0.00_);[Red]_(\(#,##0.00\);_(&quot;-&quot;_);_(@_)"/>
    <numFmt numFmtId="203" formatCode="&quot;$&quot;#,##0_)&quot;/pp&quot;;[Red]\(&quot;$&quot;#,##0\);&quot;$-/pp&quot;"/>
    <numFmt numFmtId="204" formatCode="&quot;max &quot;#,##0_);[Red]\(#,##0\);&quot;max -&quot;"/>
    <numFmt numFmtId="205" formatCode="&quot;Plan max &quot;#,##0_);[Red]\(#,##0\);&quot;Plan max -&quot;"/>
    <numFmt numFmtId="206" formatCode="General;;&quot;-s&quot;"/>
    <numFmt numFmtId="207" formatCode="#,##0_)&quot;Ss&quot;;[Red]\(#,##0\);&quot;- Ss&quot;"/>
    <numFmt numFmtId="208" formatCode="_(&quot;$&quot;#,##0.0_);[Red]_(&quot;$&quot;\(#,##0.0\);_(&quot;$&quot;\ &quot;-&quot;_);_(@_)"/>
    <numFmt numFmtId="209" formatCode="&quot;avg &quot;&quot;$&quot;#,##0_);[Red]\(&quot;$&quot;#,##0\);&quot;avg $-&quot;"/>
    <numFmt numFmtId="210" formatCode="&quot;$&quot;#,##0.00_);[Red]\(&quot;$&quot;#,##0.00\);&quot;$ -&quot;"/>
    <numFmt numFmtId="211" formatCode="0.00%;[Red]\(0.00%\);&quot;% -&quot;"/>
    <numFmt numFmtId="212" formatCode="#,##0.00;[Red]\(#,##0.00\);&quot;-&quot;"/>
    <numFmt numFmtId="213" formatCode="_(#,##0.0_)&quot;sf&quot;;[Red]_(\(#,##0.0\);_(&quot;-&quot;_);_(@_)"/>
    <numFmt numFmtId="214" formatCode="&quot;July 1, 20&quot;##"/>
    <numFmt numFmtId="215" formatCode="&quot;$&quot;#,##0_)&quot;pp&quot;;[Red]\(&quot;$&quot;#,##0\)&quot;pp&quot;;&quot;$/pp&quot;"/>
    <numFmt numFmtId="216" formatCode="_(&quot;$&quot;#,##0_)&quot;PP&quot;;[Red]_(&quot;$&quot;\(#,##0\);_(&quot;$&quot;\ &quot;-&quot;_);_(@_)"/>
    <numFmt numFmtId="217" formatCode="_(&quot;$&quot;#,##0_)&quot;P FRL P&quot;;[Red]_(&quot;$&quot;\(#,##0\);_(&quot;$&quot;\ &quot;-&quot;_);_(@_)"/>
    <numFmt numFmtId="218" formatCode="_(&quot;$&quot;#,##0.00_)&quot;/mo&quot;;[Red]_(&quot;$&quot;\(#,##0.00\);_(&quot;$&quot;\ &quot;-&quot;_);_(@_)"/>
    <numFmt numFmtId="219" formatCode="_(&quot;$&quot;#,##0.00_)&quot;/yr&quot;;[Red]_(&quot;$&quot;\(#,##0.00\);_(&quot;$&quot;\ &quot;-&quot;_);_(@_)"/>
    <numFmt numFmtId="220" formatCode="_(#,##0_)&quot;days&quot;;[Red]_(\(#,##0\);_(&quot;-&quot;_);_(@_)"/>
    <numFmt numFmtId="221" formatCode="&quot;Incu' Yr &quot;General"/>
    <numFmt numFmtId="222" formatCode="_(#,##0_)&quot;sfPP&quot;;[Red]_(\(#,##0\);_(&quot;-&quot;_);_(@_)"/>
    <numFmt numFmtId="223" formatCode="0.0"/>
    <numFmt numFmtId="224" formatCode="_(#,##0_)&quot; sf&quot;;[Red]_(\(#,##0\);_(&quot;-&quot;_);_(@_)"/>
    <numFmt numFmtId="225" formatCode="mmm"/>
    <numFmt numFmtId="226" formatCode="mmm\ d"/>
  </numFmts>
  <fonts count="194" x14ac:knownFonts="1">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2"/>
      <color theme="0"/>
      <name val="Arial"/>
      <family val="2"/>
    </font>
    <font>
      <b/>
      <sz val="11"/>
      <color indexed="8"/>
      <name val="Arial"/>
      <family val="2"/>
    </font>
    <font>
      <b/>
      <sz val="11"/>
      <color rgb="FF000000"/>
      <name val="Times New Roman"/>
      <family val="1"/>
    </font>
    <font>
      <b/>
      <sz val="12"/>
      <color theme="1"/>
      <name val="Arial"/>
      <family val="2"/>
    </font>
    <font>
      <b/>
      <sz val="14"/>
      <color theme="0"/>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11"/>
      <color rgb="FF0000FF"/>
      <name val="Calibri"/>
      <family val="2"/>
      <scheme val="minor"/>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theme="1"/>
      <name val="Calibri"/>
      <family val="2"/>
      <scheme val="minor"/>
    </font>
    <font>
      <i/>
      <sz val="12"/>
      <color theme="1"/>
      <name val="Calibri"/>
      <family val="2"/>
      <scheme val="minor"/>
    </font>
    <font>
      <i/>
      <sz val="12"/>
      <color indexed="8"/>
      <name val="Times New Roman"/>
      <family val="1"/>
    </font>
    <font>
      <b/>
      <sz val="12"/>
      <color theme="0"/>
      <name val="Calibri"/>
      <family val="2"/>
      <scheme val="minor"/>
    </font>
    <font>
      <sz val="12"/>
      <color theme="0" tint="-0.34998626667073579"/>
      <name val="Times New Roman"/>
      <family val="1"/>
    </font>
    <font>
      <sz val="11"/>
      <color theme="0" tint="-0.249977111117893"/>
      <name val="Calibri"/>
      <family val="2"/>
      <scheme val="minor"/>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11"/>
      <color rgb="FF000000"/>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b/>
      <sz val="14"/>
      <color indexed="8"/>
      <name val="Arial"/>
      <family val="2"/>
    </font>
    <font>
      <sz val="11"/>
      <color indexed="8"/>
      <name val="Arial"/>
      <family val="2"/>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b/>
      <u/>
      <sz val="11"/>
      <color indexed="8"/>
      <name val="Times New Roman"/>
      <family val="1"/>
    </font>
    <font>
      <i/>
      <sz val="11"/>
      <name val="Times New Roman"/>
      <family val="1"/>
    </font>
    <font>
      <b/>
      <sz val="12"/>
      <color rgb="FF000000"/>
      <name val="Times New Roman"/>
      <family val="1"/>
    </font>
    <font>
      <b/>
      <i/>
      <sz val="12"/>
      <name val="Times New Roman"/>
      <family val="1"/>
    </font>
    <font>
      <b/>
      <i/>
      <sz val="12"/>
      <color indexed="8"/>
      <name val="Times New Roman"/>
      <family val="1"/>
    </font>
    <font>
      <b/>
      <sz val="10"/>
      <color indexed="39"/>
      <name val="Times New Roman"/>
      <family val="1"/>
    </font>
    <font>
      <sz val="11"/>
      <color indexed="39"/>
      <name val="Times New Roman"/>
      <family val="1"/>
    </font>
    <font>
      <i/>
      <sz val="11"/>
      <color theme="1"/>
      <name val="Times New Roman"/>
      <family val="1"/>
    </font>
    <font>
      <sz val="12"/>
      <color rgb="FF000000"/>
      <name val="Cambria"/>
      <family val="1"/>
    </font>
    <font>
      <i/>
      <sz val="12"/>
      <color theme="1"/>
      <name val="Arial"/>
      <family val="2"/>
    </font>
    <font>
      <b/>
      <i/>
      <sz val="11"/>
      <color theme="0" tint="-0.34998626667073579"/>
      <name val="Times New Roman"/>
      <family val="1"/>
    </font>
    <font>
      <i/>
      <sz val="11"/>
      <color theme="0" tint="-0.34998626667073579"/>
      <name val="Times New Roman"/>
      <family val="1"/>
    </font>
    <font>
      <sz val="10"/>
      <color theme="0" tint="-0.34998626667073579"/>
      <name val="Times New Roman"/>
      <family val="1"/>
    </font>
    <font>
      <u/>
      <sz val="11"/>
      <color indexed="8"/>
      <name val="Times New Roman"/>
      <family val="1"/>
    </font>
    <font>
      <u/>
      <sz val="12"/>
      <color indexed="12"/>
      <name val="Times New Roman"/>
      <family val="1"/>
    </font>
    <font>
      <b/>
      <i/>
      <sz val="12"/>
      <color theme="1"/>
      <name val="Times New Roman"/>
      <family val="1"/>
    </font>
    <font>
      <b/>
      <u/>
      <sz val="12"/>
      <color rgb="FF0000FF"/>
      <name val="Times New Roman"/>
      <family val="1"/>
    </font>
    <font>
      <sz val="14"/>
      <color indexed="8"/>
      <name val="Times New Roman"/>
      <family val="1"/>
    </font>
    <font>
      <u/>
      <sz val="12"/>
      <color theme="10"/>
      <name val="Times New Roman"/>
      <family val="1"/>
    </font>
    <font>
      <b/>
      <i/>
      <sz val="12"/>
      <color rgb="FF000000"/>
      <name val="Times New Roman"/>
      <family val="1"/>
    </font>
    <font>
      <b/>
      <u/>
      <sz val="12"/>
      <color theme="10"/>
      <name val="Calibri"/>
      <family val="2"/>
    </font>
    <font>
      <b/>
      <sz val="11"/>
      <color theme="0" tint="-0.499984740745262"/>
      <name val="Calibri"/>
      <family val="2"/>
      <scheme val="minor"/>
    </font>
    <font>
      <b/>
      <u/>
      <sz val="18"/>
      <name val="Arial"/>
      <family val="2"/>
    </font>
    <font>
      <b/>
      <u/>
      <sz val="18"/>
      <color theme="10"/>
      <name val="Calibri"/>
      <family val="2"/>
    </font>
    <font>
      <u/>
      <sz val="12"/>
      <color theme="10"/>
      <name val="Cambria"/>
      <family val="1"/>
      <scheme val="major"/>
    </font>
    <font>
      <i/>
      <u/>
      <sz val="12"/>
      <color theme="10"/>
      <name val="Times New Roman"/>
      <family val="1"/>
    </font>
    <font>
      <sz val="11"/>
      <color rgb="FF002060"/>
      <name val="Times New Roman"/>
      <family val="1"/>
    </font>
    <font>
      <i/>
      <u/>
      <sz val="11"/>
      <color theme="10"/>
      <name val="Times New Roman"/>
      <family val="1"/>
    </font>
    <font>
      <b/>
      <sz val="28"/>
      <color theme="1"/>
      <name val="Calibri"/>
      <family val="2"/>
      <scheme val="minor"/>
    </font>
  </fonts>
  <fills count="7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rgb="FF0000FF"/>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indexed="31"/>
        <bgColor indexed="64"/>
      </patternFill>
    </fill>
  </fills>
  <borders count="140">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22"/>
      </top>
      <bottom style="thin">
        <color indexed="64"/>
      </bottom>
      <diagonal/>
    </border>
    <border>
      <left/>
      <right/>
      <top style="dotted">
        <color indexed="22"/>
      </top>
      <bottom/>
      <diagonal/>
    </border>
    <border>
      <left style="thin">
        <color rgb="FF000000"/>
      </left>
      <right style="thin">
        <color rgb="FF000000"/>
      </right>
      <top style="thin">
        <color rgb="FF000000"/>
      </top>
      <bottom style="thin">
        <color rgb="FF000000"/>
      </bottom>
      <diagonal/>
    </border>
    <border>
      <left/>
      <right style="thin">
        <color indexed="9"/>
      </right>
      <top style="thin">
        <color indexed="64"/>
      </top>
      <bottom style="thin">
        <color indexed="9"/>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23" applyNumberFormat="0" applyAlignment="0" applyProtection="0"/>
    <xf numFmtId="0" fontId="26" fillId="10" borderId="24" applyNumberFormat="0" applyAlignment="0" applyProtection="0"/>
    <xf numFmtId="0" fontId="27" fillId="10" borderId="23" applyNumberFormat="0" applyAlignment="0" applyProtection="0"/>
    <xf numFmtId="0" fontId="28" fillId="0" borderId="25" applyNumberFormat="0" applyFill="0" applyAlignment="0" applyProtection="0"/>
    <xf numFmtId="0" fontId="11" fillId="0" borderId="28" applyNumberFormat="0" applyFill="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1"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1" fillId="36"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30"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30"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22"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1" borderId="26"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19"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53"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2"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32" fillId="0" borderId="30" applyNumberFormat="0" applyFon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33" borderId="0" applyNumberFormat="0" applyBorder="0" applyAlignment="0" applyProtection="0"/>
    <xf numFmtId="0" fontId="23" fillId="7" borderId="0" applyNumberFormat="0" applyBorder="0" applyAlignment="0" applyProtection="0"/>
    <xf numFmtId="0" fontId="27" fillId="10" borderId="23"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6" borderId="0"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5" fillId="9" borderId="23" applyNumberFormat="0" applyAlignment="0" applyProtection="0"/>
    <xf numFmtId="0" fontId="28" fillId="0" borderId="25" applyNumberFormat="0" applyFill="0" applyAlignment="0" applyProtection="0"/>
    <xf numFmtId="0" fontId="24" fillId="8" borderId="0" applyNumberFormat="0" applyBorder="0" applyAlignment="0" applyProtection="0"/>
    <xf numFmtId="0" fontId="8" fillId="0" borderId="0"/>
    <xf numFmtId="0" fontId="8" fillId="12" borderId="27" applyNumberFormat="0" applyFont="0" applyAlignment="0" applyProtection="0"/>
    <xf numFmtId="0" fontId="26" fillId="10" borderId="24"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3"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22"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30"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7"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20"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11" fillId="0" borderId="28" applyNumberFormat="0" applyFill="0" applyAlignment="0" applyProtection="0"/>
    <xf numFmtId="0" fontId="20" fillId="0" borderId="21" applyNumberFormat="0" applyFill="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16" borderId="0" applyNumberFormat="0" applyBorder="0" applyAlignment="0" applyProtection="0"/>
    <xf numFmtId="0" fontId="31" fillId="42" borderId="0" applyNumberFormat="0" applyBorder="0" applyAlignment="0" applyProtection="0"/>
    <xf numFmtId="0" fontId="31" fillId="20" borderId="0" applyNumberFormat="0" applyBorder="0" applyAlignment="0" applyProtection="0"/>
    <xf numFmtId="0" fontId="31" fillId="44" borderId="0" applyNumberFormat="0" applyBorder="0" applyAlignment="0" applyProtection="0"/>
    <xf numFmtId="0" fontId="31" fillId="24" borderId="0" applyNumberFormat="0" applyBorder="0" applyAlignment="0" applyProtection="0"/>
    <xf numFmtId="0" fontId="31" fillId="45" borderId="0" applyNumberFormat="0" applyBorder="0" applyAlignment="0" applyProtection="0"/>
    <xf numFmtId="0" fontId="31" fillId="28" borderId="0" applyNumberFormat="0" applyBorder="0" applyAlignment="0" applyProtection="0"/>
    <xf numFmtId="0" fontId="31" fillId="38" borderId="0" applyNumberFormat="0" applyBorder="0" applyAlignment="0" applyProtection="0"/>
    <xf numFmtId="0" fontId="31" fillId="32"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31" fillId="17" borderId="0" applyNumberFormat="0" applyBorder="0" applyAlignment="0" applyProtection="0"/>
    <xf numFmtId="0" fontId="31" fillId="44"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33" borderId="0" applyNumberFormat="0" applyBorder="0" applyAlignment="0" applyProtection="0"/>
    <xf numFmtId="0" fontId="31" fillId="48" borderId="0" applyNumberFormat="0" applyBorder="0" applyAlignment="0" applyProtection="0"/>
    <xf numFmtId="0" fontId="23" fillId="7" borderId="0" applyNumberFormat="0" applyBorder="0" applyAlignment="0" applyProtection="0"/>
    <xf numFmtId="0" fontId="23" fillId="49" borderId="0" applyNumberFormat="0" applyBorder="0" applyAlignment="0" applyProtection="0"/>
    <xf numFmtId="0" fontId="27" fillId="10" borderId="23" applyNumberFormat="0" applyAlignment="0" applyProtection="0"/>
    <xf numFmtId="0" fontId="52" fillId="50"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6" borderId="0" applyNumberFormat="0" applyBorder="0" applyAlignment="0" applyProtection="0"/>
    <xf numFmtId="0" fontId="22" fillId="42" borderId="0" applyNumberFormat="0" applyBorder="0" applyAlignment="0" applyProtection="0"/>
    <xf numFmtId="0" fontId="53" fillId="0" borderId="31" applyNumberFormat="0" applyFill="0" applyAlignment="0" applyProtection="0"/>
    <xf numFmtId="0" fontId="46" fillId="0" borderId="31" applyNumberFormat="0" applyFill="0" applyAlignment="0" applyProtection="0"/>
    <xf numFmtId="0" fontId="19" fillId="0" borderId="20" applyNumberFormat="0" applyFill="0" applyAlignment="0" applyProtection="0"/>
    <xf numFmtId="0" fontId="46" fillId="0" borderId="31"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20" fillId="0" borderId="21"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8" fillId="0" borderId="33" applyNumberFormat="0" applyFill="0" applyAlignment="0" applyProtection="0"/>
    <xf numFmtId="0" fontId="21" fillId="0" borderId="22"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9" borderId="23" applyNumberFormat="0" applyAlignment="0" applyProtection="0"/>
    <xf numFmtId="0" fontId="25" fillId="43"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28" fillId="0" borderId="25" applyNumberFormat="0" applyFill="0" applyAlignment="0" applyProtection="0"/>
    <xf numFmtId="0" fontId="24" fillId="8" borderId="0" applyNumberFormat="0" applyBorder="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10" borderId="24" applyNumberFormat="0" applyAlignment="0" applyProtection="0"/>
    <xf numFmtId="0" fontId="26" fillId="50" borderId="24"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11" fillId="0" borderId="35"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0" fontId="46"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3"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3" borderId="36" applyNumberFormat="0" applyProtection="0">
      <alignment vertical="center"/>
    </xf>
    <xf numFmtId="4" fontId="60" fillId="43" borderId="36" applyNumberFormat="0" applyProtection="0">
      <alignment vertical="center"/>
    </xf>
    <xf numFmtId="4" fontId="51" fillId="43" borderId="36" applyNumberFormat="0" applyProtection="0">
      <alignment horizontal="left" vertical="center" indent="1"/>
    </xf>
    <xf numFmtId="0" fontId="51" fillId="43" borderId="36" applyNumberFormat="0" applyProtection="0">
      <alignment horizontal="left" vertical="top" indent="1"/>
    </xf>
    <xf numFmtId="4" fontId="51" fillId="51" borderId="0" applyNumberFormat="0" applyProtection="0">
      <alignment horizontal="left" vertical="center" indent="1"/>
    </xf>
    <xf numFmtId="4" fontId="45" fillId="38" borderId="36" applyNumberFormat="0" applyProtection="0">
      <alignment horizontal="right" vertical="center"/>
    </xf>
    <xf numFmtId="4" fontId="45" fillId="39" borderId="36" applyNumberFormat="0" applyProtection="0">
      <alignment horizontal="right" vertical="center"/>
    </xf>
    <xf numFmtId="4" fontId="45" fillId="48" borderId="36" applyNumberFormat="0" applyProtection="0">
      <alignment horizontal="right" vertical="center"/>
    </xf>
    <xf numFmtId="4" fontId="45" fillId="45" borderId="36" applyNumberFormat="0" applyProtection="0">
      <alignment horizontal="right" vertical="center"/>
    </xf>
    <xf numFmtId="4" fontId="45" fillId="52" borderId="36" applyNumberFormat="0" applyProtection="0">
      <alignment horizontal="right" vertical="center"/>
    </xf>
    <xf numFmtId="4" fontId="45" fillId="44" borderId="36" applyNumberFormat="0" applyProtection="0">
      <alignment horizontal="right" vertical="center"/>
    </xf>
    <xf numFmtId="4" fontId="45" fillId="53" borderId="36" applyNumberFormat="0" applyProtection="0">
      <alignment horizontal="right" vertical="center"/>
    </xf>
    <xf numFmtId="4" fontId="45" fillId="54" borderId="36" applyNumberFormat="0" applyProtection="0">
      <alignment horizontal="right" vertical="center"/>
    </xf>
    <xf numFmtId="4" fontId="45" fillId="55" borderId="36" applyNumberFormat="0" applyProtection="0">
      <alignment horizontal="right" vertical="center"/>
    </xf>
    <xf numFmtId="4" fontId="51" fillId="56" borderId="37" applyNumberFormat="0" applyProtection="0">
      <alignment horizontal="left" vertical="center" indent="1"/>
    </xf>
    <xf numFmtId="4" fontId="45" fillId="57" borderId="0" applyNumberFormat="0" applyProtection="0">
      <alignment horizontal="left" vertical="center" indent="1"/>
    </xf>
    <xf numFmtId="4" fontId="61" fillId="47" borderId="0" applyNumberFormat="0" applyProtection="0">
      <alignment horizontal="left" vertical="center" indent="1"/>
    </xf>
    <xf numFmtId="4" fontId="45" fillId="51" borderId="36" applyNumberFormat="0" applyProtection="0">
      <alignment horizontal="right" vertical="center"/>
    </xf>
    <xf numFmtId="4" fontId="45" fillId="57" borderId="0" applyNumberFormat="0" applyProtection="0">
      <alignment horizontal="left" vertical="center" indent="1"/>
    </xf>
    <xf numFmtId="4" fontId="45" fillId="51" borderId="0" applyNumberFormat="0" applyProtection="0">
      <alignment horizontal="left" vertical="center" indent="1"/>
    </xf>
    <xf numFmtId="0" fontId="2" fillId="47" borderId="36" applyNumberFormat="0" applyProtection="0">
      <alignment horizontal="left" vertical="center" indent="1"/>
    </xf>
    <xf numFmtId="0" fontId="2" fillId="47" borderId="36" applyNumberFormat="0" applyProtection="0">
      <alignment horizontal="left" vertical="top" indent="1"/>
    </xf>
    <xf numFmtId="0" fontId="2" fillId="51" borderId="36" applyNumberFormat="0" applyProtection="0">
      <alignment horizontal="left" vertical="center" indent="1"/>
    </xf>
    <xf numFmtId="0" fontId="2" fillId="51" borderId="36" applyNumberFormat="0" applyProtection="0">
      <alignment horizontal="left" vertical="top" indent="1"/>
    </xf>
    <xf numFmtId="0" fontId="2" fillId="37" borderId="36" applyNumberFormat="0" applyProtection="0">
      <alignment horizontal="left" vertical="center" indent="1"/>
    </xf>
    <xf numFmtId="0" fontId="2" fillId="37" borderId="36" applyNumberFormat="0" applyProtection="0">
      <alignment horizontal="left" vertical="top" indent="1"/>
    </xf>
    <xf numFmtId="0" fontId="2" fillId="57" borderId="36" applyNumberFormat="0" applyProtection="0">
      <alignment horizontal="left" vertical="center" indent="1"/>
    </xf>
    <xf numFmtId="0" fontId="2" fillId="57" borderId="36" applyNumberFormat="0" applyProtection="0">
      <alignment horizontal="left" vertical="top" indent="1"/>
    </xf>
    <xf numFmtId="0" fontId="2" fillId="50" borderId="29" applyNumberFormat="0">
      <protection locked="0"/>
    </xf>
    <xf numFmtId="4" fontId="45" fillId="40" borderId="36" applyNumberFormat="0" applyProtection="0">
      <alignment vertical="center"/>
    </xf>
    <xf numFmtId="4" fontId="62" fillId="40" borderId="36" applyNumberFormat="0" applyProtection="0">
      <alignment vertical="center"/>
    </xf>
    <xf numFmtId="4" fontId="45" fillId="40" borderId="36" applyNumberFormat="0" applyProtection="0">
      <alignment horizontal="left" vertical="center" indent="1"/>
    </xf>
    <xf numFmtId="0" fontId="45" fillId="40" borderId="36" applyNumberFormat="0" applyProtection="0">
      <alignment horizontal="left" vertical="top" indent="1"/>
    </xf>
    <xf numFmtId="4" fontId="45" fillId="57" borderId="36" applyNumberFormat="0" applyProtection="0">
      <alignment horizontal="right" vertical="center"/>
    </xf>
    <xf numFmtId="4" fontId="62" fillId="57" borderId="36" applyNumberFormat="0" applyProtection="0">
      <alignment horizontal="right" vertical="center"/>
    </xf>
    <xf numFmtId="4" fontId="45" fillId="51" borderId="36" applyNumberFormat="0" applyProtection="0">
      <alignment horizontal="left" vertical="center" indent="1"/>
    </xf>
    <xf numFmtId="0" fontId="45" fillId="51" borderId="36" applyNumberFormat="0" applyProtection="0">
      <alignment horizontal="left" vertical="top" indent="1"/>
    </xf>
    <xf numFmtId="4" fontId="63" fillId="58" borderId="0" applyNumberFormat="0" applyProtection="0">
      <alignment horizontal="left" vertical="center" indent="1"/>
    </xf>
    <xf numFmtId="4" fontId="41" fillId="57" borderId="36" applyNumberFormat="0" applyProtection="0">
      <alignment horizontal="right" vertical="center"/>
    </xf>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7"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42" fillId="0" borderId="33"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28"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2" borderId="27" applyNumberFormat="0" applyFont="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4" borderId="0" applyNumberFormat="0" applyBorder="0" applyAlignment="0" applyProtection="0"/>
    <xf numFmtId="0" fontId="8" fillId="15" borderId="0" applyNumberFormat="0" applyBorder="0" applyAlignment="0" applyProtection="0"/>
    <xf numFmtId="0" fontId="2" fillId="0" borderId="0"/>
    <xf numFmtId="0" fontId="2" fillId="0" borderId="0"/>
    <xf numFmtId="0" fontId="8" fillId="18" borderId="0" applyNumberFormat="0" applyBorder="0" applyAlignment="0" applyProtection="0"/>
    <xf numFmtId="0" fontId="2" fillId="0" borderId="0"/>
    <xf numFmtId="0" fontId="2" fillId="0" borderId="0"/>
    <xf numFmtId="0" fontId="8" fillId="22" borderId="0" applyNumberFormat="0" applyBorder="0" applyAlignment="0" applyProtection="0"/>
    <xf numFmtId="0" fontId="8" fillId="23" borderId="0" applyNumberFormat="0" applyBorder="0" applyAlignment="0" applyProtection="0"/>
    <xf numFmtId="0" fontId="2" fillId="0" borderId="0"/>
    <xf numFmtId="0" fontId="2" fillId="0" borderId="0"/>
    <xf numFmtId="0" fontId="8" fillId="26" borderId="0" applyNumberFormat="0" applyBorder="0" applyAlignment="0" applyProtection="0"/>
    <xf numFmtId="0" fontId="8" fillId="27" borderId="0" applyNumberFormat="0" applyBorder="0" applyAlignment="0" applyProtection="0"/>
    <xf numFmtId="0" fontId="2" fillId="0" borderId="0"/>
    <xf numFmtId="0" fontId="8" fillId="31" borderId="0" applyNumberFormat="0" applyBorder="0" applyAlignment="0" applyProtection="0"/>
    <xf numFmtId="0" fontId="2" fillId="0" borderId="0"/>
    <xf numFmtId="0" fontId="2" fillId="0" borderId="0"/>
    <xf numFmtId="0" fontId="8" fillId="34" borderId="0" applyNumberFormat="0" applyBorder="0" applyAlignment="0" applyProtection="0"/>
    <xf numFmtId="0" fontId="8" fillId="35"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19" borderId="0" applyNumberFormat="0" applyBorder="0" applyAlignment="0" applyProtection="0"/>
    <xf numFmtId="0" fontId="2" fillId="0" borderId="0"/>
    <xf numFmtId="0" fontId="8" fillId="3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7"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7"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2" borderId="27"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1" borderId="26" applyNumberFormat="0" applyAlignment="0" applyProtection="0"/>
    <xf numFmtId="0" fontId="29" fillId="0" borderId="0" applyNumberFormat="0" applyFill="0" applyBorder="0" applyAlignment="0" applyProtection="0"/>
    <xf numFmtId="0" fontId="8" fillId="12" borderId="27" applyNumberFormat="0" applyFont="0" applyAlignment="0" applyProtection="0"/>
    <xf numFmtId="0" fontId="30" fillId="0" borderId="0" applyNumberFormat="0" applyFill="0" applyBorder="0" applyAlignment="0" applyProtection="0"/>
    <xf numFmtId="0" fontId="31" fillId="29"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68" fillId="0" borderId="0" applyNumberFormat="0" applyFill="0" applyBorder="0" applyAlignment="0" applyProtection="0"/>
    <xf numFmtId="0" fontId="69" fillId="6" borderId="0" applyNumberFormat="0" applyBorder="0" applyAlignment="0" applyProtection="0"/>
    <xf numFmtId="0" fontId="70" fillId="7" borderId="0" applyNumberFormat="0" applyBorder="0" applyAlignment="0" applyProtection="0"/>
    <xf numFmtId="0" fontId="71" fillId="8" borderId="0" applyNumberFormat="0" applyBorder="0" applyAlignment="0" applyProtection="0"/>
    <xf numFmtId="0" fontId="72" fillId="9" borderId="23" applyNumberFormat="0" applyAlignment="0" applyProtection="0"/>
    <xf numFmtId="0" fontId="73" fillId="10" borderId="24" applyNumberFormat="0" applyAlignment="0" applyProtection="0"/>
    <xf numFmtId="0" fontId="74" fillId="10" borderId="23" applyNumberFormat="0" applyAlignment="0" applyProtection="0"/>
    <xf numFmtId="0" fontId="75" fillId="0" borderId="25" applyNumberFormat="0" applyFill="0" applyAlignment="0" applyProtection="0"/>
    <xf numFmtId="0" fontId="76" fillId="11" borderId="26" applyNumberFormat="0" applyAlignment="0" applyProtection="0"/>
    <xf numFmtId="0" fontId="77" fillId="0" borderId="0" applyNumberFormat="0" applyFill="0" applyBorder="0" applyAlignment="0" applyProtection="0"/>
    <xf numFmtId="0" fontId="65" fillId="12" borderId="27" applyNumberFormat="0" applyFont="0" applyAlignment="0" applyProtection="0"/>
    <xf numFmtId="0" fontId="78" fillId="0" borderId="0" applyNumberFormat="0" applyFill="0" applyBorder="0" applyAlignment="0" applyProtection="0"/>
    <xf numFmtId="0" fontId="79" fillId="0" borderId="28" applyNumberFormat="0" applyFill="0" applyAlignment="0" applyProtection="0"/>
    <xf numFmtId="0" fontId="8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80" fillId="36"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8"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8"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4" fontId="8" fillId="0" borderId="0" applyFont="0" applyFill="0" applyBorder="0" applyAlignment="0" applyProtection="0"/>
    <xf numFmtId="0" fontId="119" fillId="0" borderId="0"/>
  </cellStyleXfs>
  <cellXfs count="1802">
    <xf numFmtId="0" fontId="0" fillId="0" borderId="0" xfId="0"/>
    <xf numFmtId="0" fontId="11" fillId="0" borderId="0" xfId="0" applyFont="1"/>
    <xf numFmtId="0" fontId="0" fillId="0" borderId="0" xfId="0" applyAlignment="1">
      <alignment wrapText="1"/>
    </xf>
    <xf numFmtId="0" fontId="13" fillId="0" borderId="0" xfId="0" applyFont="1"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4" borderId="0" xfId="0" applyFont="1" applyFill="1"/>
    <xf numFmtId="0" fontId="99" fillId="64" borderId="0" xfId="0" quotePrefix="1" applyFont="1" applyFill="1"/>
    <xf numFmtId="0" fontId="15" fillId="0" borderId="0" xfId="6628" applyFont="1"/>
    <xf numFmtId="0" fontId="98" fillId="5" borderId="0" xfId="6628" applyFont="1" applyFill="1"/>
    <xf numFmtId="0" fontId="64" fillId="5" borderId="0" xfId="6628" applyFont="1" applyFill="1"/>
    <xf numFmtId="0" fontId="14" fillId="0" borderId="0" xfId="8" applyFont="1" applyAlignment="1">
      <alignment horizontal="center"/>
    </xf>
    <xf numFmtId="0" fontId="15" fillId="5"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0" fontId="104" fillId="64" borderId="0" xfId="0" applyFont="1" applyFill="1"/>
    <xf numFmtId="0" fontId="94" fillId="0" borderId="0" xfId="6628" applyFont="1"/>
    <xf numFmtId="0" fontId="104" fillId="5" borderId="0" xfId="0" applyFont="1" applyFill="1"/>
    <xf numFmtId="0" fontId="92" fillId="5"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64" fontId="91" fillId="3" borderId="0" xfId="0" applyNumberFormat="1" applyFont="1" applyFill="1"/>
    <xf numFmtId="172" fontId="91" fillId="0" borderId="0" xfId="0" applyNumberFormat="1" applyFont="1" applyAlignment="1">
      <alignment horizontal="center" vertical="top"/>
    </xf>
    <xf numFmtId="174" fontId="91" fillId="0" borderId="0" xfId="0" applyNumberFormat="1" applyFont="1"/>
    <xf numFmtId="0" fontId="92" fillId="59" borderId="0" xfId="0" applyFont="1" applyFill="1"/>
    <xf numFmtId="0" fontId="92" fillId="0" borderId="1" xfId="0" applyFont="1" applyBorder="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62" borderId="1" xfId="0" applyFont="1" applyFill="1" applyBorder="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164" fontId="91" fillId="3" borderId="0" xfId="0" applyNumberFormat="1" applyFont="1" applyFill="1" applyAlignment="1">
      <alignment horizontal="center" vertical="top"/>
    </xf>
    <xf numFmtId="0" fontId="91" fillId="3" borderId="1" xfId="0" applyFont="1" applyFill="1" applyBorder="1"/>
    <xf numFmtId="0" fontId="91" fillId="3" borderId="47" xfId="0" applyFont="1" applyFill="1" applyBorder="1"/>
    <xf numFmtId="164" fontId="91" fillId="3" borderId="47" xfId="0" applyNumberFormat="1" applyFont="1" applyFill="1" applyBorder="1" applyAlignment="1">
      <alignment horizontal="center" vertical="top"/>
    </xf>
    <xf numFmtId="0" fontId="91" fillId="0" borderId="47"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0" fontId="94" fillId="62" borderId="0" xfId="8" applyFont="1" applyFill="1"/>
    <xf numFmtId="0" fontId="94" fillId="59" borderId="0" xfId="8" applyFont="1" applyFill="1"/>
    <xf numFmtId="0" fontId="92" fillId="0" borderId="0" xfId="8" applyFont="1" applyAlignment="1">
      <alignment horizontal="center"/>
    </xf>
    <xf numFmtId="44" fontId="94" fillId="0" borderId="0" xfId="6" applyFont="1" applyBorder="1" applyProtection="1"/>
    <xf numFmtId="0" fontId="94" fillId="60" borderId="0" xfId="8" applyFont="1" applyFill="1"/>
    <xf numFmtId="44" fontId="94" fillId="60" borderId="0" xfId="6" applyFont="1" applyFill="1" applyBorder="1" applyProtection="1"/>
    <xf numFmtId="0" fontId="94" fillId="62" borderId="0" xfId="8" applyFont="1" applyFill="1" applyAlignment="1">
      <alignment horizontal="center" wrapText="1"/>
    </xf>
    <xf numFmtId="44" fontId="94" fillId="62" borderId="0" xfId="6" applyFont="1" applyFill="1" applyBorder="1" applyAlignment="1" applyProtection="1">
      <alignment horizontal="center"/>
    </xf>
    <xf numFmtId="0" fontId="91" fillId="0" borderId="0" xfId="0" quotePrefix="1" applyFont="1"/>
    <xf numFmtId="10" fontId="91" fillId="0" borderId="7" xfId="9" applyNumberFormat="1" applyFont="1" applyFill="1" applyBorder="1" applyAlignment="1">
      <alignment horizontal="left" vertical="top"/>
    </xf>
    <xf numFmtId="10" fontId="91" fillId="3" borderId="0"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9" fontId="92" fillId="3" borderId="0" xfId="9" applyFont="1" applyFill="1" applyBorder="1" applyAlignment="1">
      <alignment horizontal="center" vertical="top"/>
    </xf>
    <xf numFmtId="164" fontId="91" fillId="0" borderId="0" xfId="0" applyNumberFormat="1" applyFont="1" applyAlignment="1">
      <alignment horizontal="center"/>
    </xf>
    <xf numFmtId="1" fontId="92" fillId="0" borderId="0" xfId="0" applyNumberFormat="1" applyFont="1" applyAlignment="1">
      <alignment horizontal="center"/>
    </xf>
    <xf numFmtId="0" fontId="104" fillId="61" borderId="0" xfId="0" applyFont="1" applyFill="1"/>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0" fontId="109" fillId="64" borderId="0" xfId="0" applyFont="1" applyFill="1"/>
    <xf numFmtId="0" fontId="61" fillId="64" borderId="0" xfId="0" applyFont="1" applyFill="1"/>
    <xf numFmtId="0" fontId="61" fillId="5" borderId="0" xfId="0" applyFont="1" applyFill="1"/>
    <xf numFmtId="0" fontId="110" fillId="5" borderId="0" xfId="0" applyFont="1" applyFill="1"/>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2" fillId="0" borderId="0" xfId="0" applyFont="1"/>
    <xf numFmtId="0" fontId="85" fillId="0" borderId="0" xfId="0" applyFont="1"/>
    <xf numFmtId="0" fontId="16" fillId="5" borderId="0" xfId="0" applyFont="1" applyFill="1"/>
    <xf numFmtId="0" fontId="106" fillId="3" borderId="0" xfId="0" applyFont="1" applyFill="1"/>
    <xf numFmtId="0" fontId="113" fillId="64" borderId="0" xfId="0" quotePrefix="1" applyFont="1" applyFill="1"/>
    <xf numFmtId="172" fontId="91" fillId="3" borderId="0" xfId="13330" applyNumberFormat="1" applyFont="1" applyFill="1" applyBorder="1" applyAlignment="1">
      <alignment horizontal="center" vertical="top"/>
    </xf>
    <xf numFmtId="0" fontId="91" fillId="0" borderId="57" xfId="0" applyFont="1" applyBorder="1"/>
    <xf numFmtId="172" fontId="92" fillId="3" borderId="57" xfId="0" applyNumberFormat="1" applyFont="1" applyFill="1" applyBorder="1" applyAlignment="1">
      <alignment horizontal="center"/>
    </xf>
    <xf numFmtId="0" fontId="92" fillId="0" borderId="57" xfId="0" applyFont="1" applyBorder="1"/>
    <xf numFmtId="1" fontId="92" fillId="0" borderId="57" xfId="0" applyNumberFormat="1" applyFont="1" applyBorder="1" applyAlignment="1">
      <alignment horizontal="center"/>
    </xf>
    <xf numFmtId="0" fontId="114"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3" borderId="57" xfId="0" applyFont="1" applyFill="1" applyBorder="1"/>
    <xf numFmtId="172" fontId="91" fillId="0" borderId="0" xfId="0" quotePrefix="1" applyNumberFormat="1" applyFont="1"/>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55" xfId="11" applyNumberFormat="1" applyFont="1" applyBorder="1" applyAlignment="1" applyProtection="1">
      <alignment horizontal="center"/>
      <protection locked="0"/>
    </xf>
    <xf numFmtId="172" fontId="96" fillId="4" borderId="55" xfId="11" applyNumberFormat="1" applyFont="1" applyBorder="1" applyAlignment="1" applyProtection="1">
      <alignment horizontal="center" vertical="top"/>
      <protection locked="0"/>
    </xf>
    <xf numFmtId="182" fontId="96" fillId="4" borderId="55" xfId="11" applyNumberFormat="1" applyFont="1" applyBorder="1" applyAlignment="1" applyProtection="1">
      <alignment horizontal="center" vertical="top"/>
      <protection locked="0"/>
    </xf>
    <xf numFmtId="0" fontId="96" fillId="4" borderId="55" xfId="11" applyFont="1" applyBorder="1" applyAlignment="1" applyProtection="1">
      <protection locked="0"/>
    </xf>
    <xf numFmtId="1" fontId="96" fillId="4" borderId="55" xfId="11" applyNumberFormat="1" applyFont="1" applyBorder="1" applyAlignment="1" applyProtection="1">
      <alignment horizontal="center"/>
      <protection locked="0"/>
    </xf>
    <xf numFmtId="0" fontId="91" fillId="0" borderId="1" xfId="0" applyFont="1" applyBorder="1" applyAlignment="1">
      <alignment horizontal="center" wrapText="1"/>
    </xf>
    <xf numFmtId="172" fontId="96" fillId="4" borderId="55" xfId="11" applyNumberFormat="1" applyFont="1" applyBorder="1" applyAlignment="1" applyProtection="1">
      <alignment horizontal="right"/>
      <protection locked="0"/>
    </xf>
    <xf numFmtId="172" fontId="96" fillId="4" borderId="3" xfId="11" applyNumberFormat="1" applyFont="1" applyAlignment="1" applyProtection="1">
      <alignment horizontal="right"/>
      <protection locked="0"/>
    </xf>
    <xf numFmtId="172" fontId="92" fillId="5" borderId="0" xfId="0" applyNumberFormat="1" applyFont="1" applyFill="1" applyAlignment="1">
      <alignment horizontal="center"/>
    </xf>
    <xf numFmtId="172" fontId="91" fillId="3" borderId="0" xfId="0" applyNumberFormat="1" applyFont="1" applyFill="1"/>
    <xf numFmtId="172" fontId="89" fillId="0" borderId="52" xfId="0" applyNumberFormat="1" applyFont="1" applyBorder="1" applyAlignment="1">
      <alignment horizontal="center"/>
    </xf>
    <xf numFmtId="172" fontId="89" fillId="0" borderId="65" xfId="0" applyNumberFormat="1" applyFont="1" applyBorder="1" applyAlignment="1">
      <alignment horizontal="center"/>
    </xf>
    <xf numFmtId="0" fontId="92" fillId="0" borderId="57" xfId="0" applyFont="1" applyBorder="1" applyAlignment="1">
      <alignment horizontal="center"/>
    </xf>
    <xf numFmtId="0" fontId="105" fillId="3" borderId="0" xfId="0" applyFont="1" applyFill="1"/>
    <xf numFmtId="172" fontId="89" fillId="0" borderId="52" xfId="0" applyNumberFormat="1" applyFont="1" applyBorder="1" applyAlignment="1">
      <alignment horizontal="left"/>
    </xf>
    <xf numFmtId="172" fontId="89" fillId="0" borderId="65" xfId="0" applyNumberFormat="1" applyFont="1" applyBorder="1" applyAlignment="1">
      <alignment horizontal="left"/>
    </xf>
    <xf numFmtId="0" fontId="91" fillId="0" borderId="57" xfId="0" applyFont="1" applyBorder="1" applyProtection="1">
      <protection hidden="1"/>
    </xf>
    <xf numFmtId="172" fontId="91" fillId="0" borderId="0" xfId="0" applyNumberFormat="1" applyFont="1" applyAlignment="1">
      <alignment horizontal="left"/>
    </xf>
    <xf numFmtId="0" fontId="91" fillId="61" borderId="0" xfId="0" applyFont="1" applyFill="1"/>
    <xf numFmtId="172" fontId="91" fillId="61" borderId="0" xfId="0" applyNumberFormat="1" applyFont="1" applyFill="1" applyAlignment="1">
      <alignment horizontal="center" vertical="top"/>
    </xf>
    <xf numFmtId="0" fontId="92" fillId="61" borderId="0" xfId="0" applyFont="1" applyFill="1"/>
    <xf numFmtId="0" fontId="92" fillId="61" borderId="0" xfId="0" applyFont="1" applyFill="1" applyAlignment="1">
      <alignment horizontal="center"/>
    </xf>
    <xf numFmtId="0" fontId="91" fillId="61" borderId="0" xfId="0" applyFont="1" applyFill="1" applyAlignment="1">
      <alignment horizontal="center" wrapText="1"/>
    </xf>
    <xf numFmtId="0" fontId="92" fillId="3" borderId="57" xfId="0" applyFont="1" applyFill="1" applyBorder="1"/>
    <xf numFmtId="165" fontId="91" fillId="0" borderId="0" xfId="11" applyNumberFormat="1" applyFont="1" applyFill="1" applyBorder="1" applyAlignment="1" applyProtection="1">
      <alignment horizontal="center" vertical="top"/>
    </xf>
    <xf numFmtId="0" fontId="104" fillId="0" borderId="1" xfId="0" applyFont="1" applyBorder="1"/>
    <xf numFmtId="172" fontId="91" fillId="0" borderId="1" xfId="0" applyNumberFormat="1" applyFont="1" applyBorder="1" applyAlignment="1">
      <alignment horizontal="center" vertical="top"/>
    </xf>
    <xf numFmtId="0" fontId="104" fillId="0" borderId="57" xfId="0" applyFont="1" applyBorder="1"/>
    <xf numFmtId="174" fontId="92" fillId="0" borderId="57" xfId="0" applyNumberFormat="1" applyFont="1" applyBorder="1" applyAlignment="1">
      <alignment horizontal="right"/>
    </xf>
    <xf numFmtId="0" fontId="92" fillId="0" borderId="57" xfId="0" applyFont="1" applyBorder="1" applyProtection="1">
      <protection hidden="1"/>
    </xf>
    <xf numFmtId="174" fontId="92" fillId="0" borderId="57" xfId="0" applyNumberFormat="1" applyFont="1" applyBorder="1" applyAlignment="1" applyProtection="1">
      <alignment horizontal="right"/>
      <protection hidden="1"/>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6" xfId="11" applyFont="1" applyBorder="1" applyAlignment="1" applyProtection="1">
      <protection locked="0"/>
    </xf>
    <xf numFmtId="1" fontId="96" fillId="4" borderId="66" xfId="11" applyNumberFormat="1" applyFont="1" applyBorder="1" applyAlignment="1" applyProtection="1">
      <alignment horizontal="center"/>
      <protection locked="0"/>
    </xf>
    <xf numFmtId="182" fontId="96" fillId="2" borderId="66" xfId="0" applyNumberFormat="1" applyFont="1" applyFill="1" applyBorder="1" applyAlignment="1" applyProtection="1">
      <alignment horizontal="center"/>
      <protection locked="0"/>
    </xf>
    <xf numFmtId="182" fontId="96" fillId="4" borderId="66" xfId="11" applyNumberFormat="1" applyFont="1" applyBorder="1" applyAlignment="1" applyProtection="1">
      <alignment horizontal="center"/>
      <protection locked="0"/>
    </xf>
    <xf numFmtId="0" fontId="96" fillId="4" borderId="54" xfId="11" applyFont="1" applyBorder="1" applyAlignment="1" applyProtection="1">
      <protection locked="0"/>
    </xf>
    <xf numFmtId="1" fontId="96" fillId="2" borderId="54" xfId="0" applyNumberFormat="1" applyFont="1" applyFill="1" applyBorder="1" applyAlignment="1" applyProtection="1">
      <alignment horizontal="center"/>
      <protection locked="0"/>
    </xf>
    <xf numFmtId="182" fontId="96" fillId="4" borderId="54" xfId="11" applyNumberFormat="1" applyFont="1" applyBorder="1" applyAlignment="1" applyProtection="1">
      <alignment horizontal="center"/>
      <protection locked="0"/>
    </xf>
    <xf numFmtId="1" fontId="96" fillId="4" borderId="55" xfId="11" applyNumberFormat="1" applyFont="1" applyBorder="1" applyAlignment="1" applyProtection="1">
      <alignment horizontal="left"/>
      <protection locked="0"/>
    </xf>
    <xf numFmtId="174" fontId="96" fillId="4" borderId="55" xfId="11" applyNumberFormat="1" applyFont="1" applyBorder="1" applyAlignment="1" applyProtection="1">
      <alignment horizontal="center"/>
      <protection locked="0"/>
    </xf>
    <xf numFmtId="172" fontId="104" fillId="0" borderId="0" xfId="0" applyNumberFormat="1" applyFont="1" applyAlignment="1">
      <alignment horizontal="center"/>
    </xf>
    <xf numFmtId="3" fontId="96" fillId="2" borderId="19" xfId="11" applyNumberFormat="1" applyFont="1" applyFill="1" applyBorder="1" applyAlignment="1" applyProtection="1">
      <alignment horizontal="center"/>
      <protection locked="0"/>
    </xf>
    <xf numFmtId="172" fontId="89" fillId="0" borderId="0" xfId="0" applyNumberFormat="1" applyFont="1" applyAlignment="1">
      <alignment horizontal="center"/>
    </xf>
    <xf numFmtId="0" fontId="104" fillId="0" borderId="0" xfId="0" applyFont="1" applyAlignment="1">
      <alignment horizontal="left" indent="1"/>
    </xf>
    <xf numFmtId="0" fontId="119"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4" borderId="0" xfId="33111" applyFont="1" applyFill="1" applyAlignment="1">
      <alignment horizontal="left" vertical="top"/>
    </xf>
    <xf numFmtId="0" fontId="64" fillId="5" borderId="0" xfId="33111" applyFont="1" applyFill="1" applyAlignment="1">
      <alignment horizontal="left" vertical="top"/>
    </xf>
    <xf numFmtId="0" fontId="91" fillId="0" borderId="57" xfId="33111" applyFont="1" applyBorder="1" applyAlignment="1">
      <alignment horizontal="left" vertical="top" wrapText="1"/>
    </xf>
    <xf numFmtId="0" fontId="91" fillId="0" borderId="1" xfId="33111" applyFont="1" applyBorder="1" applyAlignment="1">
      <alignment horizontal="left" vertical="top" wrapText="1"/>
    </xf>
    <xf numFmtId="0" fontId="121" fillId="0" borderId="0" xfId="33111" applyFont="1" applyAlignment="1">
      <alignment vertical="top" wrapText="1"/>
    </xf>
    <xf numFmtId="172" fontId="91" fillId="0" borderId="57" xfId="33111" applyNumberFormat="1" applyFont="1" applyBorder="1" applyAlignment="1">
      <alignment vertical="top" wrapText="1"/>
    </xf>
    <xf numFmtId="0" fontId="91" fillId="67" borderId="76" xfId="33111" applyFont="1" applyFill="1" applyBorder="1" applyAlignment="1">
      <alignment vertical="center" wrapText="1"/>
    </xf>
    <xf numFmtId="172" fontId="91" fillId="67" borderId="76" xfId="33111" applyNumberFormat="1" applyFont="1" applyFill="1" applyBorder="1" applyAlignment="1">
      <alignment vertical="center" wrapText="1"/>
    </xf>
    <xf numFmtId="172" fontId="91" fillId="67" borderId="78" xfId="33111" applyNumberFormat="1" applyFont="1" applyFill="1" applyBorder="1" applyAlignment="1">
      <alignment vertical="center" wrapText="1"/>
    </xf>
    <xf numFmtId="0" fontId="91" fillId="0" borderId="83" xfId="33111" applyFont="1" applyBorder="1" applyAlignment="1">
      <alignment horizontal="left" vertical="top" wrapText="1"/>
    </xf>
    <xf numFmtId="0" fontId="91" fillId="0" borderId="84" xfId="33111" applyFont="1" applyBorder="1" applyAlignment="1">
      <alignment vertical="top" wrapText="1"/>
    </xf>
    <xf numFmtId="0" fontId="91" fillId="0" borderId="79" xfId="33111" applyFont="1" applyBorder="1" applyAlignment="1">
      <alignment horizontal="left" vertical="top" wrapText="1"/>
    </xf>
    <xf numFmtId="0" fontId="91" fillId="0" borderId="80" xfId="33111" applyFont="1" applyBorder="1" applyAlignment="1">
      <alignment vertical="top" wrapText="1"/>
    </xf>
    <xf numFmtId="0" fontId="64" fillId="61" borderId="77" xfId="33111" applyFont="1" applyFill="1" applyBorder="1" applyAlignment="1">
      <alignment horizontal="left" vertical="top" wrapText="1"/>
    </xf>
    <xf numFmtId="0" fontId="91" fillId="67" borderId="87" xfId="33111" applyFont="1" applyFill="1" applyBorder="1" applyAlignment="1">
      <alignment vertical="center" wrapText="1"/>
    </xf>
    <xf numFmtId="0" fontId="64" fillId="61" borderId="88" xfId="33111" applyFont="1" applyFill="1" applyBorder="1" applyAlignment="1">
      <alignment horizontal="center" vertical="top" wrapText="1"/>
    </xf>
    <xf numFmtId="0" fontId="64" fillId="61" borderId="89" xfId="33111" applyFont="1" applyFill="1" applyBorder="1" applyAlignment="1">
      <alignment horizontal="center" vertical="top" wrapText="1"/>
    </xf>
    <xf numFmtId="181" fontId="91" fillId="67" borderId="76" xfId="33111" applyNumberFormat="1" applyFont="1" applyFill="1" applyBorder="1" applyAlignment="1">
      <alignment vertical="center" wrapText="1"/>
    </xf>
    <xf numFmtId="0" fontId="120" fillId="0" borderId="0" xfId="33111" applyFont="1" applyAlignment="1">
      <alignment horizontal="left" vertical="top" wrapText="1"/>
    </xf>
    <xf numFmtId="0" fontId="123" fillId="0" borderId="0" xfId="33111" applyFont="1" applyAlignment="1">
      <alignment horizontal="left" vertical="top"/>
    </xf>
    <xf numFmtId="0" fontId="94" fillId="0" borderId="0" xfId="8" applyFont="1" applyAlignment="1">
      <alignment horizontal="center"/>
    </xf>
    <xf numFmtId="175" fontId="91" fillId="0" borderId="0" xfId="0" applyNumberFormat="1" applyFont="1"/>
    <xf numFmtId="0" fontId="91" fillId="61" borderId="57" xfId="0" applyFont="1" applyFill="1" applyBorder="1" applyAlignment="1">
      <alignment horizontal="center" wrapText="1"/>
    </xf>
    <xf numFmtId="0" fontId="91" fillId="61" borderId="57" xfId="0" applyFont="1" applyFill="1" applyBorder="1"/>
    <xf numFmtId="0" fontId="92" fillId="0" borderId="77" xfId="33111" applyFont="1" applyBorder="1" applyAlignment="1">
      <alignment horizontal="left" vertical="center" wrapText="1"/>
    </xf>
    <xf numFmtId="0" fontId="91" fillId="0" borderId="77" xfId="33111" applyFont="1" applyBorder="1" applyAlignment="1">
      <alignment horizontal="left" vertical="center" wrapText="1"/>
    </xf>
    <xf numFmtId="0" fontId="91" fillId="0" borderId="91" xfId="33111" applyFont="1" applyBorder="1" applyAlignment="1">
      <alignment horizontal="left" vertical="center" wrapText="1"/>
    </xf>
    <xf numFmtId="0" fontId="91" fillId="67" borderId="92" xfId="33111" applyFont="1" applyFill="1" applyBorder="1" applyAlignment="1">
      <alignment vertical="center" wrapText="1"/>
    </xf>
    <xf numFmtId="0" fontId="91" fillId="67" borderId="94" xfId="33111" applyFont="1" applyFill="1" applyBorder="1" applyAlignment="1">
      <alignment vertical="center" wrapText="1"/>
    </xf>
    <xf numFmtId="0" fontId="91" fillId="67" borderId="96" xfId="33111" applyFont="1" applyFill="1" applyBorder="1" applyAlignment="1">
      <alignment vertical="center" wrapText="1"/>
    </xf>
    <xf numFmtId="0" fontId="91" fillId="0" borderId="59" xfId="33111" applyFont="1" applyBorder="1" applyAlignment="1">
      <alignment vertical="top" wrapText="1"/>
    </xf>
    <xf numFmtId="0" fontId="119" fillId="0" borderId="1" xfId="33111" applyBorder="1" applyAlignment="1">
      <alignment horizontal="left" vertical="top"/>
    </xf>
    <xf numFmtId="0" fontId="91" fillId="0" borderId="15"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0" fontId="92" fillId="61" borderId="1" xfId="0" applyFont="1" applyFill="1" applyBorder="1"/>
    <xf numFmtId="0" fontId="91" fillId="61" borderId="1" xfId="0" applyFont="1" applyFill="1" applyBorder="1"/>
    <xf numFmtId="3" fontId="92" fillId="61" borderId="1" xfId="11" applyNumberFormat="1" applyFont="1" applyFill="1" applyBorder="1" applyAlignment="1" applyProtection="1">
      <alignment horizontal="center"/>
    </xf>
    <xf numFmtId="174" fontId="104" fillId="63" borderId="57" xfId="0" applyNumberFormat="1" applyFont="1" applyFill="1" applyBorder="1"/>
    <xf numFmtId="0" fontId="0" fillId="67" borderId="0" xfId="0" applyFill="1"/>
    <xf numFmtId="172" fontId="96" fillId="0" borderId="0" xfId="0" applyNumberFormat="1" applyFont="1" applyAlignment="1">
      <alignment horizontal="right"/>
    </xf>
    <xf numFmtId="172" fontId="96" fillId="0" borderId="0" xfId="0" applyNumberFormat="1" applyFont="1"/>
    <xf numFmtId="10" fontId="125" fillId="0" borderId="0" xfId="8" applyNumberFormat="1" applyFont="1" applyAlignment="1">
      <alignment horizontal="center"/>
    </xf>
    <xf numFmtId="0" fontId="124" fillId="0" borderId="0" xfId="0" applyFont="1"/>
    <xf numFmtId="0" fontId="92" fillId="0" borderId="0" xfId="0" applyFont="1" applyAlignment="1">
      <alignment horizontal="center" vertical="top"/>
    </xf>
    <xf numFmtId="0" fontId="107" fillId="0" borderId="57"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0" fontId="96" fillId="0" borderId="0" xfId="0" applyFont="1"/>
    <xf numFmtId="175" fontId="96" fillId="0" borderId="0" xfId="0" applyNumberFormat="1" applyFont="1"/>
    <xf numFmtId="0" fontId="91" fillId="0" borderId="0" xfId="0" applyFont="1" applyAlignment="1">
      <alignment horizontal="center" vertical="top"/>
    </xf>
    <xf numFmtId="9" fontId="91" fillId="3" borderId="0" xfId="9" applyFont="1" applyFill="1" applyBorder="1" applyAlignment="1" applyProtection="1">
      <alignment horizontal="center" vertical="top"/>
    </xf>
    <xf numFmtId="0" fontId="96" fillId="2" borderId="51" xfId="0" applyFont="1" applyFill="1" applyBorder="1" applyProtection="1">
      <protection locked="0"/>
    </xf>
    <xf numFmtId="0" fontId="96" fillId="2" borderId="55" xfId="0" applyFont="1" applyFill="1" applyBorder="1" applyAlignment="1" applyProtection="1">
      <alignment horizontal="center"/>
      <protection locked="0"/>
    </xf>
    <xf numFmtId="0" fontId="96" fillId="2" borderId="55" xfId="0" applyFont="1" applyFill="1" applyBorder="1" applyAlignment="1" applyProtection="1">
      <alignment horizontal="center" vertical="center"/>
      <protection locked="0"/>
    </xf>
    <xf numFmtId="172" fontId="96" fillId="2" borderId="70" xfId="0" applyNumberFormat="1" applyFont="1" applyFill="1" applyBorder="1" applyAlignment="1" applyProtection="1">
      <alignment horizontal="center" vertical="center"/>
      <protection locked="0"/>
    </xf>
    <xf numFmtId="172" fontId="96" fillId="2" borderId="47" xfId="0" applyNumberFormat="1" applyFont="1" applyFill="1" applyBorder="1" applyProtection="1">
      <protection locked="0"/>
    </xf>
    <xf numFmtId="0" fontId="96" fillId="2" borderId="47" xfId="0" applyFont="1" applyFill="1" applyBorder="1" applyAlignment="1" applyProtection="1">
      <alignment vertical="center"/>
      <protection locked="0"/>
    </xf>
    <xf numFmtId="172" fontId="96" fillId="2" borderId="50" xfId="0" applyNumberFormat="1" applyFont="1" applyFill="1" applyBorder="1" applyProtection="1">
      <protection locked="0"/>
    </xf>
    <xf numFmtId="0" fontId="91" fillId="0" borderId="65" xfId="0" applyFont="1" applyBorder="1" applyAlignment="1">
      <alignment horizontal="center" vertical="top"/>
    </xf>
    <xf numFmtId="0" fontId="115" fillId="0" borderId="0" xfId="0" applyFont="1" applyAlignment="1">
      <alignment horizontal="center" vertical="top"/>
    </xf>
    <xf numFmtId="174" fontId="96" fillId="2" borderId="57" xfId="33110" applyNumberFormat="1" applyFont="1" applyFill="1" applyBorder="1" applyProtection="1">
      <protection locked="0"/>
    </xf>
    <xf numFmtId="172" fontId="96" fillId="2" borderId="47"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94" xfId="33111" applyFont="1" applyFill="1" applyBorder="1" applyAlignment="1" applyProtection="1">
      <alignment horizontal="right" vertical="center" wrapText="1"/>
      <protection locked="0"/>
    </xf>
    <xf numFmtId="192" fontId="96" fillId="2" borderId="94" xfId="33111" applyNumberFormat="1" applyFont="1" applyFill="1" applyBorder="1" applyAlignment="1" applyProtection="1">
      <alignment horizontal="right" vertical="center" wrapText="1"/>
      <protection locked="0"/>
    </xf>
    <xf numFmtId="181" fontId="91" fillId="2" borderId="95" xfId="33111" applyNumberFormat="1" applyFont="1" applyFill="1" applyBorder="1" applyAlignment="1" applyProtection="1">
      <alignment vertical="center" wrapText="1"/>
      <protection locked="0"/>
    </xf>
    <xf numFmtId="172" fontId="90" fillId="2" borderId="95" xfId="33111" applyNumberFormat="1" applyFont="1" applyFill="1" applyBorder="1" applyAlignment="1" applyProtection="1">
      <alignment vertical="center" wrapText="1"/>
      <protection locked="0"/>
    </xf>
    <xf numFmtId="172" fontId="96" fillId="2" borderId="94" xfId="33111" applyNumberFormat="1" applyFont="1" applyFill="1" applyBorder="1" applyAlignment="1" applyProtection="1">
      <alignment horizontal="right" vertical="center" wrapText="1"/>
      <protection locked="0"/>
    </xf>
    <xf numFmtId="0" fontId="96" fillId="2" borderId="94" xfId="33111" applyFont="1" applyFill="1" applyBorder="1" applyAlignment="1" applyProtection="1">
      <alignment vertical="center" wrapText="1"/>
      <protection locked="0"/>
    </xf>
    <xf numFmtId="190" fontId="96" fillId="2" borderId="94" xfId="33111" applyNumberFormat="1" applyFont="1" applyFill="1" applyBorder="1" applyAlignment="1" applyProtection="1">
      <alignment vertical="center" wrapText="1"/>
      <protection locked="0"/>
    </xf>
    <xf numFmtId="0" fontId="96" fillId="2" borderId="100" xfId="33111" applyFont="1" applyFill="1" applyBorder="1" applyAlignment="1" applyProtection="1">
      <alignment vertical="center" wrapText="1"/>
      <protection locked="0"/>
    </xf>
    <xf numFmtId="172" fontId="90" fillId="2" borderId="97" xfId="33111" applyNumberFormat="1" applyFont="1" applyFill="1" applyBorder="1" applyAlignment="1" applyProtection="1">
      <alignment vertical="center" wrapText="1"/>
      <protection locked="0"/>
    </xf>
    <xf numFmtId="0" fontId="96" fillId="2" borderId="74" xfId="33111" applyFont="1" applyFill="1" applyBorder="1" applyAlignment="1" applyProtection="1">
      <alignment horizontal="right" vertical="center" wrapText="1"/>
      <protection locked="0"/>
    </xf>
    <xf numFmtId="192" fontId="96" fillId="2" borderId="74" xfId="33111" applyNumberFormat="1" applyFont="1" applyFill="1" applyBorder="1" applyAlignment="1" applyProtection="1">
      <alignment horizontal="right" vertical="center" wrapText="1"/>
      <protection locked="0"/>
    </xf>
    <xf numFmtId="0" fontId="96" fillId="2" borderId="100" xfId="33111" applyFont="1" applyFill="1" applyBorder="1" applyAlignment="1" applyProtection="1">
      <alignment horizontal="right" vertical="center" wrapText="1"/>
      <protection locked="0"/>
    </xf>
    <xf numFmtId="173" fontId="96" fillId="2" borderId="94" xfId="33111" applyNumberFormat="1" applyFont="1" applyFill="1" applyBorder="1" applyAlignment="1" applyProtection="1">
      <alignment horizontal="right" vertical="center" wrapText="1"/>
      <protection locked="0"/>
    </xf>
    <xf numFmtId="173" fontId="96" fillId="2" borderId="100" xfId="33111" applyNumberFormat="1" applyFont="1" applyFill="1" applyBorder="1" applyAlignment="1" applyProtection="1">
      <alignment horizontal="right" vertical="center" wrapText="1"/>
      <protection locked="0"/>
    </xf>
    <xf numFmtId="172" fontId="96" fillId="2" borderId="74" xfId="33111" applyNumberFormat="1" applyFont="1" applyFill="1" applyBorder="1" applyAlignment="1" applyProtection="1">
      <alignment horizontal="right" vertical="center" wrapText="1"/>
      <protection locked="0"/>
    </xf>
    <xf numFmtId="175" fontId="96" fillId="2" borderId="14" xfId="33111" quotePrefix="1" applyNumberFormat="1" applyFont="1" applyFill="1" applyBorder="1" applyAlignment="1" applyProtection="1">
      <alignment vertical="top" wrapText="1"/>
      <protection locked="0"/>
    </xf>
    <xf numFmtId="172" fontId="96" fillId="2" borderId="55"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0" fillId="0" borderId="61" xfId="0" applyNumberFormat="1" applyFont="1" applyBorder="1" applyAlignment="1">
      <alignment horizontal="center" vertical="top"/>
    </xf>
    <xf numFmtId="172" fontId="90" fillId="0" borderId="62" xfId="0" applyNumberFormat="1" applyFont="1" applyBorder="1" applyAlignment="1">
      <alignment horizontal="center" vertical="top"/>
    </xf>
    <xf numFmtId="0" fontId="91" fillId="3" borderId="0" xfId="0" applyFont="1" applyFill="1" applyAlignment="1">
      <alignment horizontal="left"/>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172" fontId="90" fillId="0" borderId="60" xfId="0" applyNumberFormat="1" applyFont="1" applyBorder="1" applyAlignment="1">
      <alignment horizontal="center" vertical="top"/>
    </xf>
    <xf numFmtId="172" fontId="90" fillId="2" borderId="45" xfId="0" applyNumberFormat="1" applyFont="1" applyFill="1" applyBorder="1" applyAlignment="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172" fontId="90" fillId="0" borderId="45" xfId="0" applyNumberFormat="1" applyFont="1" applyBorder="1" applyAlignment="1">
      <alignment horizontal="center" vertical="top"/>
    </xf>
    <xf numFmtId="172" fontId="90" fillId="0" borderId="41" xfId="0" applyNumberFormat="1" applyFont="1" applyBorder="1" applyAlignment="1">
      <alignment horizontal="center" vertical="top"/>
    </xf>
    <xf numFmtId="172" fontId="90" fillId="0" borderId="46" xfId="0" applyNumberFormat="1" applyFont="1" applyBorder="1" applyAlignment="1">
      <alignment horizontal="center" vertical="top"/>
    </xf>
    <xf numFmtId="0" fontId="96" fillId="2" borderId="47" xfId="0" applyFont="1" applyFill="1" applyBorder="1" applyAlignment="1" applyProtection="1">
      <alignment horizontal="center"/>
      <protection locked="0"/>
    </xf>
    <xf numFmtId="49" fontId="96" fillId="2" borderId="47" xfId="0" applyNumberFormat="1" applyFont="1" applyFill="1" applyBorder="1" applyAlignment="1" applyProtection="1">
      <alignment horizontal="center"/>
      <protection locked="0"/>
    </xf>
    <xf numFmtId="0" fontId="101" fillId="2" borderId="55" xfId="0" applyFont="1" applyFill="1" applyBorder="1" applyAlignment="1" applyProtection="1">
      <alignment horizontal="center"/>
      <protection locked="0"/>
    </xf>
    <xf numFmtId="186" fontId="96" fillId="2" borderId="51" xfId="7" applyNumberFormat="1" applyFont="1" applyFill="1" applyBorder="1" applyAlignment="1" applyProtection="1">
      <alignment horizontal="center" wrapText="1"/>
      <protection locked="0"/>
    </xf>
    <xf numFmtId="0" fontId="96" fillId="2" borderId="0" xfId="0" applyFont="1" applyFill="1" applyAlignment="1">
      <alignment wrapText="1"/>
    </xf>
    <xf numFmtId="0" fontId="0" fillId="67" borderId="0" xfId="0" applyFill="1" applyAlignment="1">
      <alignment wrapText="1"/>
    </xf>
    <xf numFmtId="0" fontId="126" fillId="67" borderId="0" xfId="0" applyFont="1" applyFill="1"/>
    <xf numFmtId="0" fontId="88" fillId="64" borderId="0" xfId="6628" applyFont="1" applyFill="1"/>
    <xf numFmtId="0" fontId="91" fillId="3" borderId="65" xfId="0" applyFont="1" applyFill="1" applyBorder="1"/>
    <xf numFmtId="0" fontId="91" fillId="0" borderId="0" xfId="0" applyFont="1" applyProtection="1">
      <protection locked="0"/>
    </xf>
    <xf numFmtId="0" fontId="64" fillId="68" borderId="0" xfId="6628" applyFont="1" applyFill="1"/>
    <xf numFmtId="172" fontId="91" fillId="0" borderId="57"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10" fontId="91" fillId="3" borderId="0" xfId="9" applyNumberFormat="1" applyFont="1" applyFill="1" applyBorder="1" applyAlignment="1" applyProtection="1">
      <alignment horizontal="center" vertical="top"/>
    </xf>
    <xf numFmtId="0" fontId="91" fillId="0" borderId="1" xfId="0" applyFont="1" applyBorder="1" applyAlignment="1">
      <alignment horizontal="center"/>
    </xf>
    <xf numFmtId="184" fontId="91" fillId="0" borderId="0" xfId="0" applyNumberFormat="1" applyFont="1" applyAlignment="1">
      <alignment horizontal="center"/>
    </xf>
    <xf numFmtId="164" fontId="104" fillId="61" borderId="0" xfId="0" applyNumberFormat="1" applyFont="1" applyFill="1" applyAlignment="1">
      <alignment horizontal="center"/>
    </xf>
    <xf numFmtId="172" fontId="104" fillId="61" borderId="0" xfId="0" applyNumberFormat="1" applyFont="1" applyFill="1" applyAlignment="1">
      <alignment horizontal="center"/>
    </xf>
    <xf numFmtId="172" fontId="92" fillId="0" borderId="0" xfId="0" applyNumberFormat="1" applyFont="1" applyAlignment="1">
      <alignment horizontal="center" wrapText="1"/>
    </xf>
    <xf numFmtId="193" fontId="91" fillId="3" borderId="0" xfId="0" quotePrefix="1" applyNumberFormat="1" applyFont="1" applyFill="1" applyAlignment="1">
      <alignment horizontal="center"/>
    </xf>
    <xf numFmtId="172" fontId="96" fillId="4" borderId="55" xfId="11" applyNumberFormat="1" applyFont="1" applyBorder="1" applyAlignment="1" applyProtection="1">
      <alignment horizontal="right" vertical="top"/>
      <protection locked="0"/>
    </xf>
    <xf numFmtId="172" fontId="96" fillId="2" borderId="55" xfId="11" applyNumberFormat="1" applyFont="1" applyFill="1" applyBorder="1" applyAlignment="1" applyProtection="1">
      <alignment horizontal="right" vertical="top"/>
      <protection locked="0"/>
    </xf>
    <xf numFmtId="0" fontId="61" fillId="64" borderId="0" xfId="0" applyFont="1" applyFill="1" applyProtection="1">
      <protection locked="0"/>
    </xf>
    <xf numFmtId="0" fontId="91" fillId="0" borderId="1" xfId="0" applyFont="1" applyBorder="1" applyAlignment="1">
      <alignment horizontal="center" vertical="top"/>
    </xf>
    <xf numFmtId="174" fontId="96" fillId="4" borderId="55" xfId="11" applyNumberFormat="1" applyFont="1" applyBorder="1" applyAlignment="1" applyProtection="1">
      <alignment horizontal="right"/>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5" fillId="0" borderId="1" xfId="0" applyFont="1" applyBorder="1"/>
    <xf numFmtId="0" fontId="91" fillId="3" borderId="0" xfId="0" applyFont="1" applyFill="1" applyAlignment="1">
      <alignment wrapText="1"/>
    </xf>
    <xf numFmtId="0" fontId="91" fillId="3" borderId="67" xfId="0" applyFont="1" applyFill="1" applyBorder="1"/>
    <xf numFmtId="0" fontId="96" fillId="2" borderId="47" xfId="0" quotePrefix="1" applyFont="1" applyFill="1" applyBorder="1" applyAlignment="1" applyProtection="1">
      <alignment vertical="center"/>
      <protection locked="0"/>
    </xf>
    <xf numFmtId="0" fontId="128" fillId="0" borderId="0" xfId="33111" applyFont="1" applyAlignment="1">
      <alignment horizontal="left" vertical="top"/>
    </xf>
    <xf numFmtId="172" fontId="2" fillId="0" borderId="57"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51" xfId="6628" applyNumberFormat="1" applyBorder="1"/>
    <xf numFmtId="172" fontId="2" fillId="0" borderId="66" xfId="6628" applyNumberFormat="1" applyBorder="1"/>
    <xf numFmtId="172" fontId="2" fillId="0" borderId="47" xfId="6628" applyNumberFormat="1" applyBorder="1"/>
    <xf numFmtId="172" fontId="2" fillId="0" borderId="55" xfId="6628" applyNumberFormat="1" applyBorder="1"/>
    <xf numFmtId="172" fontId="2" fillId="0" borderId="47"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7" xfId="0" applyFont="1" applyFill="1" applyBorder="1" applyProtection="1">
      <protection locked="0"/>
    </xf>
    <xf numFmtId="172" fontId="92" fillId="0" borderId="57" xfId="0" applyNumberFormat="1" applyFont="1" applyBorder="1" applyAlignment="1">
      <alignment horizontal="center" vertical="top"/>
    </xf>
    <xf numFmtId="172" fontId="91" fillId="2" borderId="47" xfId="0" applyNumberFormat="1" applyFont="1" applyFill="1" applyBorder="1" applyProtection="1">
      <protection locked="0"/>
    </xf>
    <xf numFmtId="0" fontId="129" fillId="0" borderId="0" xfId="0" applyFont="1" applyAlignment="1">
      <alignment horizontal="center"/>
    </xf>
    <xf numFmtId="14" fontId="91" fillId="0" borderId="0" xfId="0" applyNumberFormat="1" applyFont="1"/>
    <xf numFmtId="187" fontId="96" fillId="4" borderId="55" xfId="11" applyNumberFormat="1" applyFont="1" applyBorder="1" applyAlignment="1" applyProtection="1">
      <alignment horizontal="center"/>
      <protection locked="0"/>
    </xf>
    <xf numFmtId="174" fontId="91" fillId="0" borderId="57" xfId="0" applyNumberFormat="1" applyFont="1" applyBorder="1" applyAlignment="1">
      <alignment horizontal="right" wrapText="1"/>
    </xf>
    <xf numFmtId="174" fontId="91" fillId="0" borderId="57" xfId="0" applyNumberFormat="1" applyFont="1" applyBorder="1" applyAlignment="1">
      <alignment horizontal="right"/>
    </xf>
    <xf numFmtId="172" fontId="91" fillId="0" borderId="57"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172" fontId="90" fillId="0" borderId="0" xfId="0" applyNumberFormat="1" applyFont="1"/>
    <xf numFmtId="0" fontId="90" fillId="0" borderId="57" xfId="0" applyFont="1" applyBorder="1" applyProtection="1">
      <protection locked="0"/>
    </xf>
    <xf numFmtId="172" fontId="96" fillId="0" borderId="57" xfId="0" applyNumberFormat="1" applyFont="1" applyBorder="1" applyProtection="1">
      <protection locked="0"/>
    </xf>
    <xf numFmtId="172" fontId="91" fillId="0" borderId="57" xfId="0" applyNumberFormat="1" applyFont="1" applyBorder="1"/>
    <xf numFmtId="172" fontId="90" fillId="0" borderId="103" xfId="0" applyNumberFormat="1" applyFont="1" applyBorder="1"/>
    <xf numFmtId="0" fontId="105" fillId="0" borderId="0" xfId="0" quotePrefix="1" applyFont="1"/>
    <xf numFmtId="174" fontId="104" fillId="62" borderId="57" xfId="0" applyNumberFormat="1" applyFont="1" applyFill="1" applyBorder="1"/>
    <xf numFmtId="174" fontId="107" fillId="62" borderId="57" xfId="0" applyNumberFormat="1" applyFont="1" applyFill="1" applyBorder="1"/>
    <xf numFmtId="182" fontId="92" fillId="62" borderId="57" xfId="0" applyNumberFormat="1" applyFont="1" applyFill="1" applyBorder="1" applyAlignment="1">
      <alignment horizontal="center" vertical="top"/>
    </xf>
    <xf numFmtId="0" fontId="91" fillId="69" borderId="0" xfId="0" applyFont="1" applyFill="1"/>
    <xf numFmtId="0" fontId="91" fillId="69" borderId="47"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7" fillId="0" borderId="0" xfId="0" applyFont="1"/>
    <xf numFmtId="0" fontId="131" fillId="0" borderId="47" xfId="7" applyFont="1" applyBorder="1" applyAlignment="1" applyProtection="1">
      <alignment horizontal="left"/>
    </xf>
    <xf numFmtId="0" fontId="107" fillId="0" borderId="47" xfId="0" applyFont="1" applyBorder="1"/>
    <xf numFmtId="0" fontId="0" fillId="0" borderId="47" xfId="0" applyBorder="1"/>
    <xf numFmtId="0" fontId="132" fillId="0" borderId="0" xfId="0" applyFont="1"/>
    <xf numFmtId="0" fontId="133" fillId="0" borderId="0" xfId="0" applyFont="1"/>
    <xf numFmtId="0" fontId="83" fillId="0" borderId="0" xfId="0" applyFont="1"/>
    <xf numFmtId="0" fontId="120" fillId="0" borderId="0" xfId="8" applyFont="1" applyAlignment="1">
      <alignment horizontal="center"/>
    </xf>
    <xf numFmtId="172" fontId="83" fillId="0" borderId="0" xfId="0" applyNumberFormat="1" applyFont="1"/>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7" xfId="4" applyFont="1" applyBorder="1" applyProtection="1"/>
    <xf numFmtId="0" fontId="107" fillId="0" borderId="0" xfId="8" applyFont="1" applyAlignment="1">
      <alignment horizontal="right"/>
    </xf>
    <xf numFmtId="43" fontId="107" fillId="0" borderId="0" xfId="4" applyFont="1" applyBorder="1" applyProtection="1"/>
    <xf numFmtId="172" fontId="107" fillId="0" borderId="0" xfId="5" applyNumberFormat="1" applyFont="1" applyBorder="1" applyAlignment="1" applyProtection="1">
      <alignment horizontal="center"/>
    </xf>
    <xf numFmtId="43" fontId="83" fillId="0" borderId="0" xfId="4" applyFont="1" applyProtection="1"/>
    <xf numFmtId="0" fontId="135" fillId="0" borderId="0" xfId="0" applyFont="1"/>
    <xf numFmtId="0" fontId="134" fillId="0" borderId="0" xfId="0" applyFont="1"/>
    <xf numFmtId="0" fontId="136" fillId="0" borderId="0" xfId="0" applyFont="1"/>
    <xf numFmtId="172" fontId="96" fillId="2" borderId="51" xfId="0" applyNumberFormat="1" applyFont="1" applyFill="1" applyBorder="1" applyProtection="1">
      <protection locked="0"/>
    </xf>
    <xf numFmtId="172" fontId="96" fillId="0" borderId="75" xfId="0" applyNumberFormat="1" applyFont="1" applyBorder="1" applyProtection="1">
      <protection locked="0"/>
    </xf>
    <xf numFmtId="0" fontId="96" fillId="0" borderId="51" xfId="0" applyFont="1" applyBorder="1" applyProtection="1">
      <protection locked="0"/>
    </xf>
    <xf numFmtId="174" fontId="96" fillId="0" borderId="51" xfId="0" applyNumberFormat="1" applyFont="1" applyBorder="1" applyProtection="1">
      <protection locked="0"/>
    </xf>
    <xf numFmtId="172" fontId="96" fillId="0" borderId="47" xfId="0" applyNumberFormat="1" applyFont="1" applyBorder="1" applyProtection="1">
      <protection locked="0"/>
    </xf>
    <xf numFmtId="0" fontId="89" fillId="0" borderId="75" xfId="0" applyFont="1" applyBorder="1" applyAlignment="1" applyProtection="1">
      <alignment vertical="center"/>
      <protection locked="0"/>
    </xf>
    <xf numFmtId="174" fontId="90" fillId="0" borderId="55"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7" xfId="0" applyFont="1" applyBorder="1" applyAlignment="1" applyProtection="1">
      <alignment vertical="center"/>
      <protection locked="0"/>
    </xf>
    <xf numFmtId="0" fontId="91" fillId="0" borderId="51" xfId="0" applyFont="1" applyBorder="1"/>
    <xf numFmtId="0" fontId="0" fillId="0" borderId="51" xfId="0" applyBorder="1"/>
    <xf numFmtId="0" fontId="112" fillId="0" borderId="1" xfId="0" applyFont="1" applyBorder="1"/>
    <xf numFmtId="0" fontId="0" fillId="0" borderId="1" xfId="0" applyBorder="1"/>
    <xf numFmtId="0" fontId="12" fillId="70" borderId="0" xfId="0" applyFont="1" applyFill="1"/>
    <xf numFmtId="0" fontId="137" fillId="70" borderId="0" xfId="0" applyFont="1" applyFill="1"/>
    <xf numFmtId="0" fontId="131" fillId="0" borderId="0" xfId="7" applyFont="1" applyBorder="1" applyAlignment="1" applyProtection="1">
      <alignment horizontal="left"/>
    </xf>
    <xf numFmtId="0" fontId="131" fillId="0" borderId="0" xfId="7" applyFont="1" applyBorder="1" applyAlignment="1" applyProtection="1">
      <alignment horizontal="center"/>
    </xf>
    <xf numFmtId="0" fontId="104" fillId="0" borderId="0" xfId="0" applyFont="1"/>
    <xf numFmtId="1" fontId="91" fillId="0" borderId="57"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7" xfId="0" applyNumberFormat="1" applyFont="1" applyBorder="1" applyAlignment="1">
      <alignment horizontal="center"/>
    </xf>
    <xf numFmtId="6" fontId="91" fillId="0" borderId="0" xfId="0" applyNumberFormat="1" applyFont="1" applyAlignment="1">
      <alignment horizontal="center"/>
    </xf>
    <xf numFmtId="1" fontId="92" fillId="0" borderId="57"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7"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92" fillId="62" borderId="1" xfId="0" applyFont="1" applyFill="1" applyBorder="1"/>
    <xf numFmtId="0" fontId="130" fillId="0" borderId="0" xfId="0" applyFont="1"/>
    <xf numFmtId="183" fontId="92" fillId="0" borderId="1" xfId="4" applyNumberFormat="1" applyFont="1" applyFill="1" applyBorder="1"/>
    <xf numFmtId="172" fontId="91" fillId="0" borderId="0" xfId="33110" applyNumberFormat="1" applyFont="1" applyFill="1" applyBorder="1" applyAlignment="1">
      <alignment horizontal="right"/>
    </xf>
    <xf numFmtId="172" fontId="91" fillId="0" borderId="47" xfId="33110" applyNumberFormat="1" applyFont="1" applyFill="1" applyBorder="1" applyAlignment="1">
      <alignment horizontal="right"/>
    </xf>
    <xf numFmtId="0" fontId="102" fillId="64" borderId="0" xfId="0" applyFont="1" applyFill="1"/>
    <xf numFmtId="174" fontId="107" fillId="0" borderId="47" xfId="0" applyNumberFormat="1" applyFont="1" applyBorder="1"/>
    <xf numFmtId="0" fontId="105" fillId="0" borderId="47" xfId="0" applyFont="1" applyBorder="1"/>
    <xf numFmtId="174" fontId="92" fillId="59" borderId="0" xfId="0" applyNumberFormat="1" applyFont="1" applyFill="1" applyAlignment="1">
      <alignment horizontal="right"/>
    </xf>
    <xf numFmtId="0" fontId="92" fillId="59" borderId="0" xfId="0" applyFont="1" applyFill="1" applyAlignment="1">
      <alignment horizontal="center"/>
    </xf>
    <xf numFmtId="0" fontId="92" fillId="59" borderId="5" xfId="0" applyFont="1" applyFill="1" applyBorder="1"/>
    <xf numFmtId="174" fontId="92" fillId="59" borderId="6" xfId="0" applyNumberFormat="1" applyFont="1" applyFill="1" applyBorder="1" applyAlignment="1">
      <alignment horizontal="right"/>
    </xf>
    <xf numFmtId="0" fontId="92" fillId="59" borderId="6" xfId="0" applyFont="1" applyFill="1" applyBorder="1"/>
    <xf numFmtId="172" fontId="91" fillId="0" borderId="47" xfId="0" applyNumberFormat="1" applyFont="1" applyBorder="1" applyAlignment="1">
      <alignment horizontal="right" vertical="top"/>
    </xf>
    <xf numFmtId="174" fontId="91" fillId="0" borderId="47" xfId="0" applyNumberFormat="1" applyFont="1" applyBorder="1" applyAlignment="1">
      <alignment horizontal="right" vertical="top"/>
    </xf>
    <xf numFmtId="174" fontId="90" fillId="0" borderId="47" xfId="13330" applyNumberFormat="1" applyFont="1" applyFill="1" applyBorder="1" applyAlignment="1">
      <alignment horizontal="right" vertical="top"/>
    </xf>
    <xf numFmtId="174" fontId="90" fillId="0" borderId="47" xfId="0" applyNumberFormat="1" applyFont="1" applyBorder="1" applyAlignment="1">
      <alignment horizontal="right"/>
    </xf>
    <xf numFmtId="174" fontId="91" fillId="0" borderId="47" xfId="9" applyNumberFormat="1" applyFont="1" applyFill="1" applyBorder="1" applyAlignment="1" applyProtection="1">
      <alignment horizontal="right" vertical="top"/>
    </xf>
    <xf numFmtId="172" fontId="96" fillId="2" borderId="48"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55" xfId="0" applyNumberFormat="1" applyFont="1" applyFill="1" applyBorder="1" applyProtection="1">
      <protection locked="0"/>
    </xf>
    <xf numFmtId="0" fontId="91" fillId="2" borderId="51" xfId="0" applyFont="1" applyFill="1" applyBorder="1" applyProtection="1">
      <protection locked="0"/>
    </xf>
    <xf numFmtId="174" fontId="107" fillId="0" borderId="52"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75" xfId="0" applyFont="1" applyBorder="1"/>
    <xf numFmtId="172" fontId="96" fillId="0" borderId="75" xfId="0" applyNumberFormat="1" applyFont="1" applyBorder="1"/>
    <xf numFmtId="0" fontId="90" fillId="0" borderId="51" xfId="0" applyFont="1" applyBorder="1" applyAlignment="1">
      <alignment vertical="center"/>
    </xf>
    <xf numFmtId="0" fontId="90" fillId="0" borderId="47" xfId="0" applyFont="1" applyBorder="1" applyAlignment="1">
      <alignment wrapText="1"/>
    </xf>
    <xf numFmtId="174" fontId="90" fillId="0" borderId="47" xfId="0" applyNumberFormat="1" applyFont="1" applyBorder="1"/>
    <xf numFmtId="0" fontId="90" fillId="0" borderId="47" xfId="0" applyFont="1" applyBorder="1"/>
    <xf numFmtId="172" fontId="90" fillId="0" borderId="47" xfId="0" applyNumberFormat="1" applyFont="1" applyBorder="1"/>
    <xf numFmtId="0" fontId="90" fillId="0" borderId="47" xfId="0" applyFont="1" applyBorder="1" applyAlignment="1">
      <alignment vertical="center"/>
    </xf>
    <xf numFmtId="197" fontId="91" fillId="0" borderId="57" xfId="0" applyNumberFormat="1" applyFont="1" applyBorder="1" applyAlignment="1">
      <alignment horizontal="center"/>
    </xf>
    <xf numFmtId="197" fontId="91" fillId="0" borderId="0" xfId="0" applyNumberFormat="1" applyFont="1" applyAlignment="1">
      <alignment horizontal="center"/>
    </xf>
    <xf numFmtId="198" fontId="91" fillId="0" borderId="0" xfId="0" applyNumberFormat="1" applyFont="1" applyAlignment="1">
      <alignment horizontal="center" vertical="top"/>
    </xf>
    <xf numFmtId="198" fontId="91" fillId="0" borderId="57" xfId="0" applyNumberFormat="1" applyFont="1" applyBorder="1" applyAlignment="1">
      <alignment horizontal="center" vertical="top"/>
    </xf>
    <xf numFmtId="199" fontId="91" fillId="0" borderId="0" xfId="0" applyNumberFormat="1" applyFont="1" applyAlignment="1">
      <alignment horizontal="center" vertical="top"/>
    </xf>
    <xf numFmtId="0" fontId="129" fillId="0" borderId="0" xfId="0" applyFont="1" applyAlignment="1">
      <alignment horizontal="left" indent="1"/>
    </xf>
    <xf numFmtId="0" fontId="139" fillId="0" borderId="0" xfId="0" applyFont="1" applyAlignment="1">
      <alignment horizontal="center"/>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40" fillId="0" borderId="0" xfId="6628" applyNumberFormat="1" applyFont="1" applyAlignment="1">
      <alignment horizontal="center"/>
    </xf>
    <xf numFmtId="187" fontId="91" fillId="0" borderId="3" xfId="11" applyNumberFormat="1" applyFont="1" applyFill="1" applyAlignment="1" applyProtection="1">
      <alignment horizontal="right"/>
      <protection locked="0"/>
    </xf>
    <xf numFmtId="164" fontId="96" fillId="0" borderId="0" xfId="11" applyNumberFormat="1" applyFont="1" applyFill="1" applyBorder="1" applyAlignment="1" applyProtection="1">
      <alignment horizontal="center"/>
      <protection locked="0"/>
    </xf>
    <xf numFmtId="0" fontId="96" fillId="2" borderId="55" xfId="0" applyFont="1" applyFill="1" applyBorder="1" applyAlignment="1" applyProtection="1">
      <alignment horizontal="center" vertical="top"/>
      <protection locked="0"/>
    </xf>
    <xf numFmtId="1" fontId="96" fillId="2" borderId="55" xfId="0" applyNumberFormat="1" applyFont="1" applyFill="1" applyBorder="1" applyAlignment="1" applyProtection="1">
      <alignment horizontal="center" vertical="top"/>
      <protection locked="0"/>
    </xf>
    <xf numFmtId="0" fontId="90" fillId="0" borderId="55" xfId="0" applyFont="1" applyBorder="1" applyAlignment="1">
      <alignment horizontal="center" vertical="top"/>
    </xf>
    <xf numFmtId="172" fontId="90" fillId="0" borderId="55" xfId="0" applyNumberFormat="1" applyFont="1" applyBorder="1" applyAlignment="1">
      <alignment horizontal="center" vertical="top"/>
    </xf>
    <xf numFmtId="174" fontId="0" fillId="0" borderId="0" xfId="33110" applyNumberFormat="1" applyFont="1"/>
    <xf numFmtId="174" fontId="0" fillId="0" borderId="0" xfId="0" applyNumberFormat="1"/>
    <xf numFmtId="0" fontId="141" fillId="0" borderId="0" xfId="0" applyFont="1" applyAlignment="1">
      <alignment horizontal="center"/>
    </xf>
    <xf numFmtId="0" fontId="142" fillId="0" borderId="0" xfId="0" applyFont="1"/>
    <xf numFmtId="0" fontId="92" fillId="59" borderId="0" xfId="0" applyFont="1" applyFill="1" applyAlignment="1">
      <alignment horizontal="right"/>
    </xf>
    <xf numFmtId="194" fontId="92" fillId="59" borderId="0" xfId="0" applyNumberFormat="1" applyFont="1" applyFill="1" applyAlignment="1">
      <alignment horizontal="right"/>
    </xf>
    <xf numFmtId="0" fontId="92" fillId="67"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5" fillId="0" borderId="0" xfId="0" applyFont="1" applyAlignment="1">
      <alignment horizontal="right" vertical="top"/>
    </xf>
    <xf numFmtId="194" fontId="92" fillId="0" borderId="0" xfId="0" applyNumberFormat="1" applyFont="1" applyAlignment="1">
      <alignment horizontal="right"/>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55" xfId="11" applyNumberFormat="1" applyFont="1" applyBorder="1" applyAlignment="1" applyProtection="1">
      <alignment horizontal="right"/>
      <protection locked="0"/>
    </xf>
    <xf numFmtId="187" fontId="90" fillId="0" borderId="55" xfId="11" applyNumberFormat="1" applyFont="1" applyFill="1" applyBorder="1" applyAlignment="1" applyProtection="1">
      <alignment horizontal="right"/>
    </xf>
    <xf numFmtId="175" fontId="96" fillId="4" borderId="55" xfId="11" applyNumberFormat="1" applyFont="1" applyBorder="1" applyAlignment="1" applyProtection="1">
      <alignment horizontal="right"/>
      <protection locked="0"/>
    </xf>
    <xf numFmtId="178" fontId="90" fillId="0" borderId="55" xfId="0" applyNumberFormat="1" applyFont="1" applyBorder="1" applyAlignment="1">
      <alignment horizontal="right"/>
    </xf>
    <xf numFmtId="0" fontId="104" fillId="0" borderId="40" xfId="0" applyFont="1" applyBorder="1" applyAlignment="1">
      <alignment horizontal="right" vertical="top"/>
    </xf>
    <xf numFmtId="194" fontId="92" fillId="0" borderId="1" xfId="0" applyNumberFormat="1" applyFont="1" applyBorder="1" applyAlignment="1">
      <alignment horizontal="right"/>
    </xf>
    <xf numFmtId="0" fontId="91" fillId="0" borderId="1" xfId="0" applyFont="1" applyBorder="1" applyAlignment="1">
      <alignment horizontal="right"/>
    </xf>
    <xf numFmtId="0" fontId="92" fillId="0" borderId="50" xfId="0" applyFont="1" applyBorder="1"/>
    <xf numFmtId="0" fontId="91" fillId="0" borderId="50" xfId="0" applyFont="1" applyBorder="1"/>
    <xf numFmtId="174" fontId="91" fillId="0" borderId="50" xfId="0" applyNumberFormat="1" applyFont="1" applyBorder="1" applyAlignment="1">
      <alignment horizontal="right"/>
    </xf>
    <xf numFmtId="177" fontId="92" fillId="0" borderId="50" xfId="0" applyNumberFormat="1" applyFont="1" applyBorder="1" applyAlignment="1">
      <alignment horizontal="right"/>
    </xf>
    <xf numFmtId="177" fontId="92" fillId="0" borderId="50" xfId="0" quotePrefix="1" applyNumberFormat="1" applyFont="1" applyBorder="1" applyAlignment="1">
      <alignment horizontal="right"/>
    </xf>
    <xf numFmtId="0" fontId="92" fillId="0" borderId="52" xfId="0" applyFont="1" applyBorder="1"/>
    <xf numFmtId="0" fontId="91" fillId="0" borderId="52" xfId="0" applyFont="1" applyBorder="1"/>
    <xf numFmtId="174" fontId="91" fillId="0" borderId="52" xfId="0" applyNumberFormat="1" applyFont="1" applyBorder="1" applyAlignment="1">
      <alignment horizontal="right"/>
    </xf>
    <xf numFmtId="177" fontId="92" fillId="0" borderId="52" xfId="0" applyNumberFormat="1" applyFont="1" applyBorder="1" applyAlignment="1">
      <alignment horizontal="right"/>
    </xf>
    <xf numFmtId="174" fontId="90" fillId="0" borderId="51" xfId="0" applyNumberFormat="1" applyFont="1" applyBorder="1"/>
    <xf numFmtId="174" fontId="96" fillId="2" borderId="51" xfId="0" applyNumberFormat="1" applyFont="1" applyFill="1" applyBorder="1" applyProtection="1">
      <protection locked="0"/>
    </xf>
    <xf numFmtId="174" fontId="96" fillId="2" borderId="55" xfId="0" applyNumberFormat="1" applyFont="1" applyFill="1" applyBorder="1" applyProtection="1">
      <protection locked="0"/>
    </xf>
    <xf numFmtId="172" fontId="96" fillId="0" borderId="55" xfId="0" applyNumberFormat="1" applyFont="1" applyBorder="1" applyProtection="1">
      <protection locked="0"/>
    </xf>
    <xf numFmtId="172" fontId="95" fillId="0" borderId="55" xfId="8" applyNumberFormat="1" applyFont="1" applyBorder="1"/>
    <xf numFmtId="172" fontId="116" fillId="2" borderId="55" xfId="6" applyNumberFormat="1" applyFont="1" applyFill="1" applyBorder="1" applyProtection="1">
      <protection locked="0"/>
    </xf>
    <xf numFmtId="172" fontId="116" fillId="2" borderId="55" xfId="6" applyNumberFormat="1" applyFont="1" applyFill="1" applyBorder="1" applyAlignment="1" applyProtection="1">
      <protection locked="0"/>
    </xf>
    <xf numFmtId="172" fontId="95" fillId="0" borderId="102" xfId="8" applyNumberFormat="1" applyFont="1" applyBorder="1"/>
    <xf numFmtId="172" fontId="116" fillId="2" borderId="102" xfId="6" applyNumberFormat="1" applyFont="1" applyFill="1" applyBorder="1" applyProtection="1">
      <protection locked="0"/>
    </xf>
    <xf numFmtId="172" fontId="117"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44" fontId="95" fillId="59" borderId="0" xfId="6" applyFont="1" applyFill="1" applyBorder="1" applyProtection="1"/>
    <xf numFmtId="174" fontId="94" fillId="0" borderId="65" xfId="6" applyNumberFormat="1" applyFont="1" applyBorder="1" applyAlignment="1" applyProtection="1">
      <alignment horizontal="right"/>
    </xf>
    <xf numFmtId="172" fontId="94" fillId="0" borderId="65" xfId="8" applyNumberFormat="1" applyFont="1" applyBorder="1"/>
    <xf numFmtId="174" fontId="94" fillId="0" borderId="63" xfId="6" applyNumberFormat="1" applyFont="1" applyBorder="1" applyAlignment="1" applyProtection="1">
      <alignment horizontal="right"/>
    </xf>
    <xf numFmtId="172" fontId="95" fillId="0" borderId="109" xfId="8" applyNumberFormat="1" applyFont="1" applyBorder="1"/>
    <xf numFmtId="172" fontId="116" fillId="2" borderId="109" xfId="6" applyNumberFormat="1" applyFont="1" applyFill="1" applyBorder="1" applyProtection="1">
      <protection locked="0"/>
    </xf>
    <xf numFmtId="174" fontId="95" fillId="0" borderId="55" xfId="8" applyNumberFormat="1" applyFont="1" applyBorder="1"/>
    <xf numFmtId="9" fontId="95" fillId="0" borderId="0" xfId="10" applyFont="1" applyBorder="1" applyProtection="1"/>
    <xf numFmtId="175" fontId="95" fillId="0" borderId="102" xfId="6" applyNumberFormat="1" applyFont="1" applyFill="1" applyBorder="1" applyProtection="1"/>
    <xf numFmtId="175" fontId="95" fillId="0" borderId="102" xfId="6" applyNumberFormat="1" applyFont="1" applyFill="1" applyBorder="1" applyAlignment="1" applyProtection="1"/>
    <xf numFmtId="175" fontId="95" fillId="0" borderId="55" xfId="6" applyNumberFormat="1" applyFont="1" applyFill="1" applyBorder="1" applyProtection="1"/>
    <xf numFmtId="175" fontId="95" fillId="0" borderId="55" xfId="6" applyNumberFormat="1" applyFont="1" applyFill="1" applyBorder="1" applyAlignment="1" applyProtection="1"/>
    <xf numFmtId="175" fontId="95" fillId="0" borderId="109"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38" fontId="95" fillId="0" borderId="66" xfId="8" applyNumberFormat="1" applyFont="1" applyBorder="1"/>
    <xf numFmtId="175" fontId="95" fillId="0" borderId="66" xfId="9" applyNumberFormat="1" applyFont="1" applyFill="1" applyBorder="1" applyProtection="1"/>
    <xf numFmtId="175" fontId="95" fillId="0" borderId="65" xfId="6" applyNumberFormat="1" applyFont="1" applyFill="1" applyBorder="1" applyProtection="1"/>
    <xf numFmtId="172" fontId="116" fillId="2" borderId="55" xfId="8" applyNumberFormat="1" applyFont="1" applyFill="1" applyBorder="1" applyProtection="1">
      <protection locked="0"/>
    </xf>
    <xf numFmtId="38" fontId="95" fillId="0" borderId="102" xfId="6" applyNumberFormat="1" applyFont="1" applyBorder="1" applyProtection="1"/>
    <xf numFmtId="38" fontId="95" fillId="0" borderId="102" xfId="8" applyNumberFormat="1" applyFont="1" applyBorder="1"/>
    <xf numFmtId="38" fontId="95" fillId="0" borderId="109" xfId="6" applyNumberFormat="1" applyFont="1" applyBorder="1" applyProtection="1"/>
    <xf numFmtId="175" fontId="95" fillId="0" borderId="103" xfId="6" applyNumberFormat="1" applyFont="1" applyFill="1" applyBorder="1" applyAlignment="1" applyProtection="1">
      <alignment horizontal="right"/>
    </xf>
    <xf numFmtId="44" fontId="95" fillId="0" borderId="0" xfId="6" applyFont="1" applyBorder="1" applyProtection="1"/>
    <xf numFmtId="172" fontId="95" fillId="0" borderId="102" xfId="6" applyNumberFormat="1" applyFont="1" applyBorder="1" applyProtection="1"/>
    <xf numFmtId="38" fontId="95" fillId="0" borderId="55" xfId="6" applyNumberFormat="1" applyFont="1" applyFill="1" applyBorder="1" applyProtection="1"/>
    <xf numFmtId="172" fontId="95" fillId="0" borderId="55" xfId="6" applyNumberFormat="1" applyFont="1" applyBorder="1" applyProtection="1"/>
    <xf numFmtId="38" fontId="94" fillId="0" borderId="103" xfId="6" applyNumberFormat="1" applyFont="1" applyBorder="1" applyProtection="1"/>
    <xf numFmtId="172" fontId="94" fillId="0" borderId="103" xfId="6" applyNumberFormat="1" applyFont="1" applyBorder="1" applyProtection="1"/>
    <xf numFmtId="38" fontId="95" fillId="0" borderId="66" xfId="6" applyNumberFormat="1" applyFont="1" applyBorder="1" applyProtection="1"/>
    <xf numFmtId="174" fontId="91" fillId="0" borderId="0" xfId="0" applyNumberFormat="1" applyFont="1" applyAlignment="1">
      <alignment horizontal="right" vertical="top"/>
    </xf>
    <xf numFmtId="0" fontId="107" fillId="62" borderId="1" xfId="0" applyFont="1" applyFill="1" applyBorder="1" applyAlignment="1">
      <alignment horizontal="right" vertical="top"/>
    </xf>
    <xf numFmtId="0" fontId="104" fillId="62" borderId="1" xfId="0" applyFont="1" applyFill="1" applyBorder="1" applyAlignment="1">
      <alignment horizontal="right" vertical="top"/>
    </xf>
    <xf numFmtId="0" fontId="107" fillId="0" borderId="0" xfId="0" applyFont="1" applyAlignment="1">
      <alignment horizontal="right" vertical="top"/>
    </xf>
    <xf numFmtId="172" fontId="96" fillId="69" borderId="42" xfId="0" applyNumberFormat="1" applyFont="1" applyFill="1" applyBorder="1" applyAlignment="1" applyProtection="1">
      <alignment horizontal="right" vertical="top"/>
      <protection locked="0"/>
    </xf>
    <xf numFmtId="172" fontId="96" fillId="69" borderId="43" xfId="0" applyNumberFormat="1" applyFont="1" applyFill="1" applyBorder="1" applyAlignment="1" applyProtection="1">
      <alignment horizontal="right" vertical="top"/>
      <protection locked="0"/>
    </xf>
    <xf numFmtId="172" fontId="96" fillId="69" borderId="73" xfId="0" applyNumberFormat="1" applyFont="1" applyFill="1" applyBorder="1" applyAlignment="1" applyProtection="1">
      <alignment horizontal="right" vertical="top"/>
      <protection locked="0"/>
    </xf>
    <xf numFmtId="172" fontId="90" fillId="69" borderId="43" xfId="0" applyNumberFormat="1" applyFont="1" applyFill="1" applyBorder="1" applyAlignment="1" applyProtection="1">
      <alignment horizontal="right" vertical="top"/>
      <protection locked="0"/>
    </xf>
    <xf numFmtId="172" fontId="90" fillId="69" borderId="73" xfId="0" applyNumberFormat="1" applyFont="1" applyFill="1" applyBorder="1" applyAlignment="1" applyProtection="1">
      <alignment horizontal="right" vertical="top"/>
      <protection locked="0"/>
    </xf>
    <xf numFmtId="172" fontId="90" fillId="69" borderId="3" xfId="0" applyNumberFormat="1" applyFont="1" applyFill="1" applyBorder="1" applyAlignment="1" applyProtection="1">
      <alignment horizontal="right" vertical="top"/>
      <protection locked="0"/>
    </xf>
    <xf numFmtId="172" fontId="90" fillId="69" borderId="44" xfId="0" applyNumberFormat="1" applyFont="1" applyFill="1" applyBorder="1" applyAlignment="1" applyProtection="1">
      <alignment horizontal="right" vertical="top"/>
      <protection locked="0"/>
    </xf>
    <xf numFmtId="172" fontId="90" fillId="69" borderId="39" xfId="0" applyNumberFormat="1" applyFont="1" applyFill="1" applyBorder="1" applyAlignment="1" applyProtection="1">
      <alignment horizontal="right" vertical="top"/>
      <protection locked="0"/>
    </xf>
    <xf numFmtId="0" fontId="90" fillId="0" borderId="47" xfId="0" applyFont="1" applyBorder="1" applyAlignment="1">
      <alignment horizontal="right"/>
    </xf>
    <xf numFmtId="172" fontId="90" fillId="0" borderId="47"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69" xfId="0" applyFont="1" applyBorder="1" applyAlignment="1">
      <alignment horizontal="center" vertical="top"/>
    </xf>
    <xf numFmtId="0" fontId="107" fillId="0" borderId="65"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55" xfId="11" applyNumberFormat="1" applyFont="1" applyBorder="1" applyAlignment="1" applyProtection="1">
      <alignment horizontal="center" wrapText="1"/>
      <protection locked="0"/>
    </xf>
    <xf numFmtId="0" fontId="91" fillId="0" borderId="57" xfId="0" applyFont="1" applyBorder="1" applyAlignment="1">
      <alignment horizontal="center" vertical="top"/>
    </xf>
    <xf numFmtId="172" fontId="91" fillId="0" borderId="55" xfId="0" applyNumberFormat="1" applyFont="1" applyBorder="1" applyAlignment="1">
      <alignment horizontal="center" vertical="top"/>
    </xf>
    <xf numFmtId="172" fontId="91" fillId="0" borderId="103" xfId="0" applyNumberFormat="1" applyFont="1" applyBorder="1" applyAlignment="1">
      <alignment horizontal="center" vertical="top"/>
    </xf>
    <xf numFmtId="172" fontId="91" fillId="0" borderId="109" xfId="0" applyNumberFormat="1" applyFont="1" applyBorder="1" applyAlignment="1">
      <alignment horizontal="center" vertical="top"/>
    </xf>
    <xf numFmtId="0" fontId="129" fillId="0" borderId="56" xfId="0" applyFont="1" applyBorder="1" applyAlignment="1">
      <alignment horizontal="left" indent="1"/>
    </xf>
    <xf numFmtId="0" fontId="129" fillId="0" borderId="18"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0" fontId="96" fillId="2" borderId="57" xfId="0" applyFont="1" applyFill="1" applyBorder="1" applyProtection="1">
      <protection locked="0"/>
    </xf>
    <xf numFmtId="0" fontId="104" fillId="0" borderId="0" xfId="0" applyFont="1" applyAlignment="1">
      <alignment horizontal="right" vertical="top"/>
    </xf>
    <xf numFmtId="172" fontId="90" fillId="0" borderId="52" xfId="0" applyNumberFormat="1" applyFont="1" applyBorder="1" applyAlignment="1">
      <alignment horizontal="right" vertical="top"/>
    </xf>
    <xf numFmtId="0" fontId="92" fillId="0" borderId="47" xfId="0" applyFont="1" applyBorder="1"/>
    <xf numFmtId="0" fontId="91" fillId="0" borderId="50" xfId="0" applyFont="1" applyBorder="1" applyAlignment="1">
      <alignment horizontal="right"/>
    </xf>
    <xf numFmtId="9" fontId="91" fillId="0" borderId="50" xfId="9" applyFont="1" applyFill="1" applyBorder="1" applyAlignment="1">
      <alignment horizontal="right" vertical="top"/>
    </xf>
    <xf numFmtId="174" fontId="91" fillId="0" borderId="52" xfId="0" applyNumberFormat="1" applyFont="1" applyBorder="1" applyAlignment="1">
      <alignment horizontal="right" vertical="top"/>
    </xf>
    <xf numFmtId="172" fontId="91" fillId="0" borderId="52" xfId="0" applyNumberFormat="1" applyFont="1" applyBorder="1" applyAlignment="1">
      <alignment horizontal="right" vertical="top"/>
    </xf>
    <xf numFmtId="0" fontId="91" fillId="3" borderId="1" xfId="0" applyFont="1" applyFill="1" applyBorder="1" applyAlignment="1">
      <alignment wrapText="1"/>
    </xf>
    <xf numFmtId="0" fontId="100" fillId="0" borderId="47" xfId="7" applyFont="1" applyBorder="1" applyAlignment="1" applyProtection="1">
      <alignment horizontal="right" wrapText="1" indent="1"/>
    </xf>
    <xf numFmtId="0" fontId="91" fillId="0" borderId="47" xfId="0" applyFont="1" applyBorder="1" applyAlignment="1">
      <alignment horizontal="right" vertical="top"/>
    </xf>
    <xf numFmtId="172" fontId="92" fillId="0" borderId="47" xfId="0" applyNumberFormat="1" applyFont="1" applyBorder="1" applyAlignment="1">
      <alignment horizontal="right" vertical="top"/>
    </xf>
    <xf numFmtId="0" fontId="91" fillId="0" borderId="1" xfId="0" applyFont="1" applyBorder="1" applyAlignment="1">
      <alignment horizontal="right" vertical="top"/>
    </xf>
    <xf numFmtId="172" fontId="96" fillId="2" borderId="66" xfId="0" applyNumberFormat="1" applyFont="1" applyFill="1" applyBorder="1" applyAlignment="1" applyProtection="1">
      <alignment horizontal="right" vertical="top"/>
      <protection locked="0"/>
    </xf>
    <xf numFmtId="172" fontId="96" fillId="2" borderId="55" xfId="0" applyNumberFormat="1" applyFont="1" applyFill="1" applyBorder="1" applyAlignment="1" applyProtection="1">
      <alignment horizontal="right" vertical="top"/>
      <protection locked="0"/>
    </xf>
    <xf numFmtId="172" fontId="96" fillId="2" borderId="109"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0" fontId="100" fillId="0" borderId="52" xfId="7" applyFont="1" applyBorder="1" applyAlignment="1" applyProtection="1">
      <alignment horizontal="right" wrapText="1" indent="1"/>
    </xf>
    <xf numFmtId="0" fontId="107" fillId="0" borderId="52" xfId="0" applyFont="1" applyBorder="1" applyAlignment="1">
      <alignment horizontal="right" vertical="top"/>
    </xf>
    <xf numFmtId="0" fontId="92" fillId="0" borderId="14"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7" xfId="0" applyNumberFormat="1" applyFont="1" applyBorder="1" applyAlignment="1">
      <alignment horizontal="right"/>
    </xf>
    <xf numFmtId="196" fontId="92" fillId="0" borderId="57"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0" fontId="91" fillId="0" borderId="65" xfId="0" applyNumberFormat="1" applyFont="1" applyBorder="1" applyAlignment="1">
      <alignment horizontal="right"/>
    </xf>
    <xf numFmtId="172" fontId="91" fillId="2" borderId="110"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102" xfId="0" applyNumberFormat="1" applyFont="1" applyFill="1" applyBorder="1" applyAlignment="1" applyProtection="1">
      <alignment horizontal="right" wrapText="1"/>
      <protection locked="0"/>
    </xf>
    <xf numFmtId="189" fontId="96" fillId="4" borderId="111" xfId="11" applyNumberFormat="1" applyFont="1" applyBorder="1" applyAlignment="1" applyProtection="1">
      <alignment horizontal="center"/>
      <protection locked="0"/>
    </xf>
    <xf numFmtId="172" fontId="96" fillId="2" borderId="103" xfId="0" applyNumberFormat="1" applyFont="1" applyFill="1" applyBorder="1" applyAlignment="1" applyProtection="1">
      <alignment horizontal="right" wrapText="1"/>
      <protection locked="0"/>
    </xf>
    <xf numFmtId="174" fontId="92" fillId="0" borderId="57" xfId="0" applyNumberFormat="1" applyFont="1" applyBorder="1"/>
    <xf numFmtId="174" fontId="96" fillId="2" borderId="55" xfId="0" applyNumberFormat="1" applyFont="1" applyFill="1" applyBorder="1" applyAlignment="1" applyProtection="1">
      <alignment horizontal="right"/>
      <protection locked="0"/>
    </xf>
    <xf numFmtId="172" fontId="96" fillId="2" borderId="55" xfId="0" applyNumberFormat="1" applyFont="1" applyFill="1" applyBorder="1" applyAlignment="1" applyProtection="1">
      <alignment horizontal="right"/>
      <protection locked="0"/>
    </xf>
    <xf numFmtId="172" fontId="96" fillId="2" borderId="109" xfId="0" applyNumberFormat="1" applyFont="1" applyFill="1" applyBorder="1" applyAlignment="1" applyProtection="1">
      <alignment horizontal="right"/>
      <protection locked="0"/>
    </xf>
    <xf numFmtId="0" fontId="91" fillId="3" borderId="75" xfId="0" applyFont="1" applyFill="1" applyBorder="1"/>
    <xf numFmtId="0" fontId="91" fillId="3" borderId="52" xfId="0" applyFont="1" applyFill="1" applyBorder="1"/>
    <xf numFmtId="0" fontId="90" fillId="0" borderId="103" xfId="0" applyFont="1" applyBorder="1" applyAlignment="1">
      <alignment horizontal="center" vertical="top"/>
    </xf>
    <xf numFmtId="175" fontId="92" fillId="0" borderId="0" xfId="0" applyNumberFormat="1" applyFont="1" applyAlignment="1">
      <alignment horizontal="right" vertical="top"/>
    </xf>
    <xf numFmtId="201" fontId="91" fillId="0" borderId="0" xfId="0" applyNumberFormat="1" applyFont="1" applyAlignment="1">
      <alignment horizontal="center"/>
    </xf>
    <xf numFmtId="172" fontId="96" fillId="0" borderId="75" xfId="0" applyNumberFormat="1" applyFont="1" applyBorder="1" applyAlignment="1">
      <alignment horizontal="right" vertical="top"/>
    </xf>
    <xf numFmtId="172" fontId="90" fillId="0" borderId="75" xfId="0" applyNumberFormat="1" applyFont="1" applyBorder="1" applyAlignment="1">
      <alignment horizontal="right" vertical="top"/>
    </xf>
    <xf numFmtId="200" fontId="107" fillId="0" borderId="0" xfId="0" applyNumberFormat="1" applyFont="1" applyAlignment="1">
      <alignment horizontal="right" vertical="top"/>
    </xf>
    <xf numFmtId="174" fontId="107" fillId="0" borderId="52" xfId="0" applyNumberFormat="1" applyFont="1" applyBorder="1" applyAlignment="1">
      <alignment horizontal="center" vertical="top"/>
    </xf>
    <xf numFmtId="174" fontId="107" fillId="0" borderId="47" xfId="0" applyNumberFormat="1" applyFont="1" applyBorder="1" applyAlignment="1">
      <alignment horizontal="center" vertical="top"/>
    </xf>
    <xf numFmtId="172" fontId="107" fillId="0" borderId="52" xfId="0" applyNumberFormat="1" applyFont="1" applyBorder="1" applyAlignment="1">
      <alignment horizontal="right" vertical="top"/>
    </xf>
    <xf numFmtId="174" fontId="107" fillId="0" borderId="47" xfId="0" applyNumberFormat="1" applyFont="1" applyBorder="1" applyAlignment="1">
      <alignment horizontal="right" vertical="top"/>
    </xf>
    <xf numFmtId="172" fontId="107" fillId="0" borderId="47" xfId="0" applyNumberFormat="1" applyFont="1" applyBorder="1" applyAlignment="1">
      <alignment horizontal="right" vertical="top"/>
    </xf>
    <xf numFmtId="0" fontId="107" fillId="3" borderId="47" xfId="0" applyFont="1" applyFill="1" applyBorder="1"/>
    <xf numFmtId="0" fontId="104" fillId="0" borderId="0" xfId="6628" applyFont="1"/>
    <xf numFmtId="0" fontId="96" fillId="2" borderId="103" xfId="0" applyFont="1" applyFill="1" applyBorder="1" applyAlignment="1" applyProtection="1">
      <alignment horizontal="center" vertical="top"/>
      <protection locked="0"/>
    </xf>
    <xf numFmtId="0" fontId="91" fillId="0" borderId="75" xfId="0" applyFont="1" applyBorder="1"/>
    <xf numFmtId="172" fontId="91" fillId="3" borderId="109" xfId="13330" applyNumberFormat="1" applyFont="1" applyFill="1" applyBorder="1" applyAlignment="1">
      <alignment horizontal="center" vertical="top"/>
    </xf>
    <xf numFmtId="0" fontId="92" fillId="61" borderId="0" xfId="0" applyFont="1" applyFill="1" applyAlignment="1">
      <alignment horizontal="left"/>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0" fontId="143" fillId="0" borderId="0" xfId="0" applyFont="1" applyAlignment="1">
      <alignment wrapText="1"/>
    </xf>
    <xf numFmtId="175" fontId="92" fillId="0" borderId="65" xfId="0" applyNumberFormat="1" applyFont="1" applyBorder="1" applyAlignment="1">
      <alignment horizontal="center" vertical="top"/>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43" fontId="91" fillId="0" borderId="0" xfId="0" applyNumberFormat="1" applyFont="1" applyAlignment="1">
      <alignment horizontal="right"/>
    </xf>
    <xf numFmtId="0" fontId="91" fillId="63" borderId="0" xfId="0" applyFont="1" applyFill="1" applyAlignment="1">
      <alignment wrapText="1"/>
    </xf>
    <xf numFmtId="0" fontId="106" fillId="0" borderId="65" xfId="0" applyFont="1" applyBorder="1" applyAlignment="1">
      <alignment horizontal="left"/>
    </xf>
    <xf numFmtId="174" fontId="92" fillId="0" borderId="65" xfId="0" applyNumberFormat="1" applyFont="1" applyBorder="1" applyAlignment="1">
      <alignment horizontal="center"/>
    </xf>
    <xf numFmtId="175" fontId="92" fillId="0" borderId="65" xfId="0" applyNumberFormat="1" applyFont="1" applyBorder="1" applyAlignment="1">
      <alignment horizontal="center"/>
    </xf>
    <xf numFmtId="202" fontId="92" fillId="0" borderId="57" xfId="0" applyNumberFormat="1" applyFont="1" applyBorder="1" applyAlignment="1">
      <alignment horizontal="right"/>
    </xf>
    <xf numFmtId="165" fontId="91" fillId="0" borderId="0" xfId="0" quotePrefix="1" applyNumberFormat="1" applyFont="1" applyAlignment="1">
      <alignment horizontal="right" vertical="top"/>
    </xf>
    <xf numFmtId="0" fontId="0" fillId="2" borderId="47" xfId="0" applyFill="1" applyBorder="1" applyProtection="1">
      <protection locked="0"/>
    </xf>
    <xf numFmtId="0" fontId="104" fillId="0" borderId="1" xfId="0" applyFont="1" applyBorder="1" applyAlignment="1">
      <alignment horizontal="left"/>
    </xf>
    <xf numFmtId="174" fontId="96" fillId="2" borderId="0" xfId="0" applyNumberFormat="1" applyFont="1" applyFill="1" applyAlignment="1" applyProtection="1">
      <alignment horizontal="right" vertical="top"/>
      <protection locked="0"/>
    </xf>
    <xf numFmtId="172" fontId="96" fillId="2" borderId="47" xfId="0" applyNumberFormat="1" applyFont="1" applyFill="1" applyBorder="1" applyAlignment="1" applyProtection="1">
      <alignment horizontal="right" vertical="top"/>
      <protection locked="0"/>
    </xf>
    <xf numFmtId="174" fontId="96" fillId="4" borderId="47" xfId="11" applyNumberFormat="1" applyFont="1" applyBorder="1" applyAlignment="1" applyProtection="1">
      <alignment horizontal="right" vertical="top"/>
      <protection locked="0"/>
    </xf>
    <xf numFmtId="172" fontId="91" fillId="2" borderId="47" xfId="0" applyNumberFormat="1" applyFont="1" applyFill="1" applyBorder="1" applyAlignment="1" applyProtection="1">
      <alignment horizontal="right" vertical="top"/>
      <protection locked="0"/>
    </xf>
    <xf numFmtId="172" fontId="91" fillId="2" borderId="103" xfId="0" applyNumberFormat="1" applyFont="1" applyFill="1" applyBorder="1" applyAlignment="1" applyProtection="1">
      <alignment horizontal="right"/>
      <protection locked="0"/>
    </xf>
    <xf numFmtId="10" fontId="96" fillId="4" borderId="55" xfId="11" applyNumberFormat="1" applyFont="1" applyBorder="1" applyAlignment="1" applyProtection="1">
      <alignment horizontal="center" vertical="top"/>
      <protection locked="0"/>
    </xf>
    <xf numFmtId="173" fontId="91" fillId="2" borderId="55" xfId="0" applyNumberFormat="1" applyFont="1" applyFill="1" applyBorder="1" applyAlignment="1" applyProtection="1">
      <alignment horizontal="center" vertical="top"/>
      <protection locked="0"/>
    </xf>
    <xf numFmtId="173" fontId="91" fillId="2" borderId="103" xfId="0" applyNumberFormat="1" applyFont="1" applyFill="1" applyBorder="1" applyAlignment="1" applyProtection="1">
      <alignment horizontal="center" vertical="top"/>
      <protection locked="0"/>
    </xf>
    <xf numFmtId="173" fontId="91" fillId="2" borderId="109" xfId="0" applyNumberFormat="1" applyFont="1" applyFill="1" applyBorder="1" applyAlignment="1" applyProtection="1">
      <alignment horizontal="center" vertical="top"/>
      <protection locked="0"/>
    </xf>
    <xf numFmtId="172" fontId="96" fillId="2" borderId="103" xfId="0" applyNumberFormat="1" applyFont="1" applyFill="1" applyBorder="1" applyAlignment="1" applyProtection="1">
      <alignment horizontal="right"/>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65"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3" fontId="92" fillId="0" borderId="6" xfId="0" applyNumberFormat="1" applyFont="1" applyBorder="1" applyAlignment="1">
      <alignment horizontal="center"/>
    </xf>
    <xf numFmtId="204" fontId="91" fillId="0" borderId="0" xfId="0" applyNumberFormat="1" applyFont="1" applyAlignment="1">
      <alignment horizontal="center"/>
    </xf>
    <xf numFmtId="204" fontId="91" fillId="0" borderId="57" xfId="0" applyNumberFormat="1" applyFont="1" applyBorder="1" applyAlignment="1">
      <alignment horizontal="center"/>
    </xf>
    <xf numFmtId="204" fontId="91" fillId="0" borderId="1" xfId="0" applyNumberFormat="1" applyFont="1" applyBorder="1" applyAlignment="1">
      <alignment horizontal="center"/>
    </xf>
    <xf numFmtId="204" fontId="91" fillId="0" borderId="65" xfId="0" applyNumberFormat="1" applyFont="1" applyBorder="1" applyAlignment="1">
      <alignment horizontal="center"/>
    </xf>
    <xf numFmtId="205" fontId="91" fillId="0" borderId="0" xfId="0" applyNumberFormat="1" applyFont="1" applyAlignment="1">
      <alignment horizontal="center"/>
    </xf>
    <xf numFmtId="0" fontId="92" fillId="62" borderId="65" xfId="0" applyFont="1" applyFill="1" applyBorder="1" applyAlignment="1">
      <alignment horizontal="right"/>
    </xf>
    <xf numFmtId="0" fontId="92" fillId="62" borderId="65" xfId="0" applyFont="1" applyFill="1" applyBorder="1" applyAlignment="1">
      <alignment horizontal="right" wrapText="1"/>
    </xf>
    <xf numFmtId="0" fontId="92" fillId="62" borderId="58" xfId="0" applyFont="1" applyFill="1" applyBorder="1" applyAlignment="1">
      <alignment horizontal="center" wrapText="1"/>
    </xf>
    <xf numFmtId="0" fontId="92" fillId="62" borderId="0" xfId="0" applyFont="1" applyFill="1"/>
    <xf numFmtId="0" fontId="91" fillId="62" borderId="0" xfId="0" applyFont="1" applyFill="1"/>
    <xf numFmtId="0" fontId="92" fillId="63" borderId="69" xfId="0" applyFont="1" applyFill="1" applyBorder="1" applyAlignment="1">
      <alignment horizontal="right"/>
    </xf>
    <xf numFmtId="194" fontId="92" fillId="63" borderId="65" xfId="0" applyNumberFormat="1" applyFont="1" applyFill="1" applyBorder="1" applyAlignment="1">
      <alignment horizontal="right"/>
    </xf>
    <xf numFmtId="0" fontId="92" fillId="63" borderId="104" xfId="0" applyFont="1" applyFill="1" applyBorder="1" applyAlignment="1">
      <alignment horizontal="right"/>
    </xf>
    <xf numFmtId="0" fontId="92" fillId="63" borderId="105" xfId="0" applyFont="1" applyFill="1" applyBorder="1" applyAlignment="1">
      <alignment horizontal="right"/>
    </xf>
    <xf numFmtId="0" fontId="92" fillId="63" borderId="106" xfId="0" applyFont="1" applyFill="1" applyBorder="1" applyAlignment="1">
      <alignment horizontal="right"/>
    </xf>
    <xf numFmtId="0" fontId="92" fillId="63" borderId="15" xfId="0" applyFont="1" applyFill="1" applyBorder="1" applyAlignment="1">
      <alignment horizontal="right"/>
    </xf>
    <xf numFmtId="0" fontId="92" fillId="63" borderId="1" xfId="0" applyFont="1" applyFill="1" applyBorder="1" applyAlignment="1">
      <alignment horizontal="right"/>
    </xf>
    <xf numFmtId="0" fontId="92" fillId="63" borderId="14" xfId="0" applyFont="1" applyFill="1" applyBorder="1" applyAlignment="1">
      <alignment horizontal="right"/>
    </xf>
    <xf numFmtId="0" fontId="104" fillId="62" borderId="65" xfId="0" applyFont="1" applyFill="1" applyBorder="1" applyAlignment="1">
      <alignment horizontal="center" vertical="top"/>
    </xf>
    <xf numFmtId="0" fontId="107" fillId="62" borderId="65" xfId="0" applyFont="1" applyFill="1" applyBorder="1" applyAlignment="1">
      <alignment horizontal="center" vertical="top"/>
    </xf>
    <xf numFmtId="0" fontId="92" fillId="63" borderId="69" xfId="0" applyFont="1" applyFill="1" applyBorder="1" applyAlignment="1">
      <alignment horizontal="center"/>
    </xf>
    <xf numFmtId="174" fontId="92" fillId="0" borderId="52" xfId="0" applyNumberFormat="1" applyFont="1" applyBorder="1" applyAlignment="1">
      <alignment horizontal="right"/>
    </xf>
    <xf numFmtId="0" fontId="107" fillId="63" borderId="17" xfId="0" applyFont="1" applyFill="1" applyBorder="1" applyAlignment="1">
      <alignment horizontal="right" vertical="top"/>
    </xf>
    <xf numFmtId="0" fontId="107" fillId="63" borderId="60" xfId="0" applyFont="1" applyFill="1" applyBorder="1" applyAlignment="1">
      <alignment horizontal="right" vertical="top"/>
    </xf>
    <xf numFmtId="0" fontId="107" fillId="63" borderId="61" xfId="0" applyFont="1" applyFill="1" applyBorder="1" applyAlignment="1">
      <alignment horizontal="right" vertical="top"/>
    </xf>
    <xf numFmtId="0" fontId="107" fillId="63" borderId="62" xfId="0" applyFont="1" applyFill="1" applyBorder="1" applyAlignment="1">
      <alignment horizontal="right" vertical="top"/>
    </xf>
    <xf numFmtId="0" fontId="104" fillId="63" borderId="40" xfId="0" applyFont="1" applyFill="1" applyBorder="1" applyAlignment="1">
      <alignment horizontal="right" vertical="top"/>
    </xf>
    <xf numFmtId="0" fontId="104" fillId="63" borderId="45" xfId="0" applyFont="1" applyFill="1" applyBorder="1" applyAlignment="1">
      <alignment horizontal="right" vertical="top"/>
    </xf>
    <xf numFmtId="0" fontId="104" fillId="63" borderId="41" xfId="0" applyFont="1" applyFill="1" applyBorder="1" applyAlignment="1">
      <alignment horizontal="right" vertical="top"/>
    </xf>
    <xf numFmtId="0" fontId="104" fillId="63" borderId="46" xfId="0" applyFont="1" applyFill="1" applyBorder="1" applyAlignment="1">
      <alignment horizontal="right" vertical="top"/>
    </xf>
    <xf numFmtId="206" fontId="104" fillId="0" borderId="0" xfId="33110" applyNumberFormat="1" applyFont="1" applyAlignment="1">
      <alignment horizontal="right" vertical="top"/>
    </xf>
    <xf numFmtId="206"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3" borderId="0" xfId="0" applyFont="1" applyFill="1" applyAlignment="1">
      <alignment horizontal="center"/>
    </xf>
    <xf numFmtId="0" fontId="92" fillId="63" borderId="15" xfId="0" applyFont="1" applyFill="1" applyBorder="1" applyAlignment="1">
      <alignment horizontal="center"/>
    </xf>
    <xf numFmtId="0" fontId="92" fillId="63" borderId="1" xfId="0" applyFont="1" applyFill="1" applyBorder="1" applyAlignment="1">
      <alignment horizontal="center"/>
    </xf>
    <xf numFmtId="0" fontId="92" fillId="63" borderId="14" xfId="0" applyFont="1" applyFill="1" applyBorder="1" applyAlignment="1">
      <alignment horizontal="center"/>
    </xf>
    <xf numFmtId="0" fontId="92" fillId="63" borderId="59" xfId="0" applyFont="1" applyFill="1" applyBorder="1" applyAlignment="1">
      <alignment horizontal="center"/>
    </xf>
    <xf numFmtId="194" fontId="92" fillId="63" borderId="57" xfId="0" applyNumberFormat="1" applyFont="1" applyFill="1" applyBorder="1" applyAlignment="1">
      <alignment horizontal="center"/>
    </xf>
    <xf numFmtId="194" fontId="92" fillId="63" borderId="58" xfId="0" applyNumberFormat="1" applyFont="1" applyFill="1" applyBorder="1" applyAlignment="1">
      <alignment horizontal="center"/>
    </xf>
    <xf numFmtId="0" fontId="92" fillId="63" borderId="104" xfId="0" applyFont="1" applyFill="1" applyBorder="1" applyAlignment="1">
      <alignment horizontal="center"/>
    </xf>
    <xf numFmtId="0" fontId="92" fillId="63" borderId="105" xfId="0" applyFont="1" applyFill="1" applyBorder="1" applyAlignment="1">
      <alignment horizontal="center"/>
    </xf>
    <xf numFmtId="0" fontId="92" fillId="63" borderId="106" xfId="0" applyFont="1" applyFill="1" applyBorder="1" applyAlignment="1">
      <alignment horizontal="center"/>
    </xf>
    <xf numFmtId="0" fontId="92" fillId="0" borderId="5" xfId="0" applyFont="1" applyBorder="1" applyAlignment="1">
      <alignment wrapText="1"/>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3" borderId="45" xfId="0" applyFont="1" applyFill="1" applyBorder="1" applyAlignment="1">
      <alignment horizontal="center" vertical="top"/>
    </xf>
    <xf numFmtId="0" fontId="104" fillId="63" borderId="41" xfId="0" applyFont="1" applyFill="1" applyBorder="1" applyAlignment="1">
      <alignment horizontal="center" vertical="top"/>
    </xf>
    <xf numFmtId="0" fontId="104" fillId="63" borderId="46" xfId="0" applyFont="1" applyFill="1" applyBorder="1" applyAlignment="1">
      <alignment horizontal="center" vertical="top"/>
    </xf>
    <xf numFmtId="188" fontId="92" fillId="63" borderId="0" xfId="0" applyNumberFormat="1" applyFont="1" applyFill="1" applyAlignment="1">
      <alignment horizontal="center" wrapText="1"/>
    </xf>
    <xf numFmtId="0" fontId="92" fillId="63" borderId="65" xfId="0" applyFont="1" applyFill="1" applyBorder="1" applyAlignment="1">
      <alignment horizontal="right"/>
    </xf>
    <xf numFmtId="0" fontId="104" fillId="63" borderId="18" xfId="0" applyFont="1" applyFill="1" applyBorder="1" applyAlignment="1">
      <alignment horizontal="right" vertical="top"/>
    </xf>
    <xf numFmtId="0" fontId="104" fillId="63" borderId="0" xfId="0" quotePrefix="1" applyFont="1" applyFill="1" applyAlignment="1">
      <alignment horizontal="right" vertical="top"/>
    </xf>
    <xf numFmtId="0" fontId="104" fillId="63" borderId="0" xfId="0" applyFont="1" applyFill="1" applyAlignment="1">
      <alignment horizontal="right" vertical="top"/>
    </xf>
    <xf numFmtId="0" fontId="104" fillId="63" borderId="16" xfId="0" applyFont="1" applyFill="1" applyBorder="1" applyAlignment="1">
      <alignment horizontal="right" vertical="top"/>
    </xf>
    <xf numFmtId="0" fontId="104" fillId="63" borderId="15" xfId="0" applyFont="1" applyFill="1" applyBorder="1" applyAlignment="1">
      <alignment horizontal="right" vertical="top"/>
    </xf>
    <xf numFmtId="0" fontId="104" fillId="63" borderId="1" xfId="0" applyFont="1" applyFill="1" applyBorder="1" applyAlignment="1">
      <alignment horizontal="right" vertical="top"/>
    </xf>
    <xf numFmtId="0" fontId="104" fillId="63" borderId="14" xfId="0" applyFont="1" applyFill="1" applyBorder="1" applyAlignment="1">
      <alignment horizontal="right" vertical="top"/>
    </xf>
    <xf numFmtId="44" fontId="95" fillId="62" borderId="0" xfId="8" applyNumberFormat="1" applyFont="1" applyFill="1"/>
    <xf numFmtId="173" fontId="95" fillId="62" borderId="0" xfId="8" applyNumberFormat="1" applyFont="1" applyFill="1"/>
    <xf numFmtId="0" fontId="107" fillId="63" borderId="60" xfId="0" applyFont="1" applyFill="1" applyBorder="1" applyAlignment="1">
      <alignment horizontal="center" vertical="top"/>
    </xf>
    <xf numFmtId="0" fontId="107" fillId="63" borderId="61" xfId="0" applyFont="1" applyFill="1" applyBorder="1" applyAlignment="1">
      <alignment horizontal="center" vertical="top"/>
    </xf>
    <xf numFmtId="0" fontId="107" fillId="63" borderId="62" xfId="0" applyFont="1" applyFill="1" applyBorder="1" applyAlignment="1">
      <alignment horizontal="center" vertical="top"/>
    </xf>
    <xf numFmtId="0" fontId="102" fillId="71" borderId="0" xfId="33111" applyFont="1" applyFill="1" applyAlignment="1">
      <alignment horizontal="left" vertical="top"/>
    </xf>
    <xf numFmtId="0" fontId="120" fillId="71" borderId="0" xfId="33111" applyFont="1" applyFill="1" applyAlignment="1">
      <alignment horizontal="left" vertical="top" wrapText="1"/>
    </xf>
    <xf numFmtId="166" fontId="120" fillId="0" borderId="0" xfId="8" applyNumberFormat="1" applyFont="1" applyAlignment="1">
      <alignment horizontal="center"/>
    </xf>
    <xf numFmtId="43" fontId="91" fillId="0" borderId="0" xfId="4" applyFont="1" applyFill="1" applyProtection="1"/>
    <xf numFmtId="0" fontId="104" fillId="0" borderId="57" xfId="8" applyFont="1" applyBorder="1" applyAlignment="1">
      <alignment horizontal="left"/>
    </xf>
    <xf numFmtId="175" fontId="92" fillId="0" borderId="0" xfId="0" applyNumberFormat="1" applyFont="1" applyAlignment="1">
      <alignment horizontal="right"/>
    </xf>
    <xf numFmtId="194" fontId="92" fillId="63" borderId="65" xfId="0" applyNumberFormat="1" applyFont="1" applyFill="1" applyBorder="1" applyAlignment="1">
      <alignment horizontal="center"/>
    </xf>
    <xf numFmtId="194" fontId="92" fillId="63" borderId="63" xfId="0" applyNumberFormat="1" applyFont="1" applyFill="1" applyBorder="1" applyAlignment="1">
      <alignment horizontal="center"/>
    </xf>
    <xf numFmtId="0" fontId="107" fillId="63" borderId="40" xfId="0" applyFont="1" applyFill="1" applyBorder="1" applyAlignment="1">
      <alignment horizontal="center" vertical="top"/>
    </xf>
    <xf numFmtId="0" fontId="104" fillId="63" borderId="40" xfId="0" applyFont="1" applyFill="1" applyBorder="1" applyAlignment="1">
      <alignment horizontal="center" vertical="top"/>
    </xf>
    <xf numFmtId="0" fontId="102" fillId="59" borderId="1" xfId="0" applyFont="1" applyFill="1" applyBorder="1"/>
    <xf numFmtId="0" fontId="92" fillId="59" borderId="1" xfId="0" applyFont="1" applyFill="1" applyBorder="1"/>
    <xf numFmtId="0" fontId="92" fillId="59" borderId="1" xfId="0" applyFont="1" applyFill="1" applyBorder="1" applyAlignment="1">
      <alignment horizontal="right"/>
    </xf>
    <xf numFmtId="174" fontId="95" fillId="2" borderId="55" xfId="6" applyNumberFormat="1" applyFont="1" applyFill="1" applyBorder="1" applyProtection="1">
      <protection locked="0"/>
    </xf>
    <xf numFmtId="0" fontId="92" fillId="61" borderId="57" xfId="0" applyFont="1" applyFill="1" applyBorder="1"/>
    <xf numFmtId="172" fontId="91" fillId="0" borderId="55" xfId="0" applyNumberFormat="1" applyFont="1" applyBorder="1" applyAlignment="1">
      <alignment horizontal="right" vertical="top"/>
    </xf>
    <xf numFmtId="189" fontId="146" fillId="0" borderId="55" xfId="11" applyNumberFormat="1" applyFont="1" applyFill="1" applyBorder="1" applyAlignment="1" applyProtection="1">
      <alignment horizontal="center" vertical="top"/>
      <protection locked="0"/>
    </xf>
    <xf numFmtId="164" fontId="96" fillId="4" borderId="55"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102" fillId="61" borderId="0" xfId="0" applyFont="1" applyFill="1"/>
    <xf numFmtId="0" fontId="92" fillId="67" borderId="113" xfId="0" applyFont="1" applyFill="1" applyBorder="1" applyAlignment="1">
      <alignment horizontal="right"/>
    </xf>
    <xf numFmtId="174" fontId="91" fillId="2" borderId="47" xfId="0" applyNumberFormat="1" applyFont="1" applyFill="1" applyBorder="1" applyAlignment="1" applyProtection="1">
      <alignment horizontal="right" vertical="top"/>
      <protection locked="0"/>
    </xf>
    <xf numFmtId="209" fontId="91" fillId="0" borderId="1" xfId="33110" applyNumberFormat="1" applyFont="1" applyFill="1" applyBorder="1"/>
    <xf numFmtId="209" fontId="91" fillId="0" borderId="47" xfId="33110" applyNumberFormat="1" applyFont="1" applyFill="1" applyBorder="1"/>
    <xf numFmtId="209" fontId="91" fillId="0" borderId="52" xfId="33110" applyNumberFormat="1" applyFont="1" applyFill="1" applyBorder="1"/>
    <xf numFmtId="174" fontId="96" fillId="4" borderId="55" xfId="11" applyNumberFormat="1" applyFont="1" applyBorder="1" applyAlignment="1" applyProtection="1">
      <alignment horizontal="center" vertical="top"/>
      <protection locked="0"/>
    </xf>
    <xf numFmtId="175" fontId="96" fillId="4" borderId="55" xfId="11" applyNumberFormat="1" applyFont="1" applyBorder="1" applyAlignment="1" applyProtection="1">
      <alignment horizontal="center" vertical="top"/>
      <protection locked="0"/>
    </xf>
    <xf numFmtId="174" fontId="96" fillId="2" borderId="55"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0" fontId="96" fillId="4" borderId="55" xfId="11" applyNumberFormat="1" applyFont="1" applyBorder="1" applyAlignment="1" applyProtection="1">
      <alignment horizontal="center"/>
      <protection locked="0"/>
    </xf>
    <xf numFmtId="210" fontId="96" fillId="4" borderId="66" xfId="11" applyNumberFormat="1" applyFont="1" applyBorder="1" applyAlignment="1" applyProtection="1">
      <alignment horizontal="center"/>
      <protection locked="0"/>
    </xf>
    <xf numFmtId="189" fontId="96" fillId="4" borderId="3" xfId="11" applyNumberFormat="1" applyFont="1" applyAlignment="1" applyProtection="1">
      <alignment horizontal="center"/>
      <protection locked="0"/>
    </xf>
    <xf numFmtId="211" fontId="96" fillId="4" borderId="3" xfId="11" applyNumberFormat="1" applyFont="1" applyAlignment="1" applyProtection="1">
      <alignment horizontal="center"/>
      <protection locked="0"/>
    </xf>
    <xf numFmtId="212"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174" fontId="92" fillId="0" borderId="65" xfId="0" applyNumberFormat="1" applyFont="1" applyBorder="1" applyAlignment="1">
      <alignment horizontal="right"/>
    </xf>
    <xf numFmtId="172" fontId="90" fillId="0" borderId="103" xfId="0" applyNumberFormat="1" applyFont="1" applyBorder="1" applyAlignment="1">
      <alignment horizontal="right" vertical="top"/>
    </xf>
    <xf numFmtId="172" fontId="90" fillId="0" borderId="55" xfId="0" applyNumberFormat="1" applyFont="1" applyBorder="1" applyAlignment="1">
      <alignment horizontal="right" vertical="top"/>
    </xf>
    <xf numFmtId="172" fontId="96" fillId="2" borderId="0" xfId="0" applyNumberFormat="1" applyFont="1" applyFill="1" applyAlignment="1" applyProtection="1">
      <alignment horizontal="right" vertical="top"/>
      <protection locked="0"/>
    </xf>
    <xf numFmtId="172" fontId="101" fillId="2" borderId="0" xfId="0" applyNumberFormat="1" applyFont="1" applyFill="1" applyAlignment="1" applyProtection="1">
      <alignment horizontal="right" vertical="top"/>
      <protection locked="0"/>
    </xf>
    <xf numFmtId="172" fontId="92" fillId="3" borderId="109" xfId="13330" applyNumberFormat="1" applyFont="1" applyFill="1" applyBorder="1" applyAlignment="1">
      <alignment horizontal="right" vertical="top"/>
    </xf>
    <xf numFmtId="172" fontId="96" fillId="2" borderId="103" xfId="0" applyNumberFormat="1" applyFont="1" applyFill="1" applyBorder="1" applyAlignment="1" applyProtection="1">
      <alignment horizontal="right" vertical="top"/>
      <protection locked="0"/>
    </xf>
    <xf numFmtId="9" fontId="101" fillId="2" borderId="55" xfId="9" applyFont="1" applyFill="1" applyBorder="1" applyAlignment="1" applyProtection="1">
      <alignment horizontal="right" vertical="top"/>
      <protection locked="0"/>
    </xf>
    <xf numFmtId="0" fontId="91" fillId="3" borderId="0" xfId="0" applyFont="1" applyFill="1" applyAlignment="1">
      <alignment horizontal="right"/>
    </xf>
    <xf numFmtId="1" fontId="96" fillId="2" borderId="109" xfId="0" applyNumberFormat="1" applyFont="1" applyFill="1" applyBorder="1" applyAlignment="1" applyProtection="1">
      <alignment horizontal="center" vertical="top"/>
      <protection locked="0"/>
    </xf>
    <xf numFmtId="0" fontId="95" fillId="0" borderId="102" xfId="0" applyFont="1" applyBorder="1"/>
    <xf numFmtId="0" fontId="95" fillId="0" borderId="55" xfId="8" applyFont="1" applyBorder="1"/>
    <xf numFmtId="0" fontId="95" fillId="0" borderId="55" xfId="0" applyFont="1" applyBorder="1"/>
    <xf numFmtId="0" fontId="91" fillId="0" borderId="55" xfId="0" applyFont="1" applyBorder="1"/>
    <xf numFmtId="0" fontId="95" fillId="0" borderId="103" xfId="8" applyFont="1" applyBorder="1"/>
    <xf numFmtId="174" fontId="95" fillId="0" borderId="103" xfId="8" applyNumberFormat="1" applyFont="1" applyBorder="1"/>
    <xf numFmtId="172" fontId="116" fillId="2" borderId="103" xfId="6" applyNumberFormat="1" applyFont="1" applyFill="1" applyBorder="1" applyProtection="1">
      <protection locked="0"/>
    </xf>
    <xf numFmtId="172" fontId="116" fillId="2" borderId="109" xfId="6" applyNumberFormat="1" applyFont="1" applyFill="1" applyBorder="1" applyAlignment="1" applyProtection="1">
      <protection locked="0"/>
    </xf>
    <xf numFmtId="174" fontId="95" fillId="0" borderId="66" xfId="8" applyNumberFormat="1" applyFont="1" applyBorder="1"/>
    <xf numFmtId="174" fontId="116" fillId="2" borderId="66" xfId="6" quotePrefix="1" applyNumberFormat="1" applyFont="1" applyFill="1" applyBorder="1" applyProtection="1">
      <protection locked="0"/>
    </xf>
    <xf numFmtId="174" fontId="116" fillId="2" borderId="66" xfId="6" applyNumberFormat="1" applyFont="1" applyFill="1" applyBorder="1" applyProtection="1">
      <protection locked="0"/>
    </xf>
    <xf numFmtId="0" fontId="94" fillId="62" borderId="65" xfId="8" applyFont="1" applyFill="1" applyBorder="1"/>
    <xf numFmtId="0" fontId="94" fillId="62" borderId="114" xfId="8" applyFont="1" applyFill="1" applyBorder="1" applyAlignment="1">
      <alignment horizontal="center" wrapText="1"/>
    </xf>
    <xf numFmtId="44" fontId="94" fillId="62" borderId="114" xfId="6" applyFont="1" applyFill="1" applyBorder="1" applyAlignment="1" applyProtection="1">
      <alignment horizontal="center"/>
    </xf>
    <xf numFmtId="0" fontId="94" fillId="59" borderId="65" xfId="8" applyFont="1" applyFill="1" applyBorder="1"/>
    <xf numFmtId="0" fontId="95" fillId="59" borderId="65" xfId="8" applyFont="1" applyFill="1" applyBorder="1"/>
    <xf numFmtId="44" fontId="95" fillId="59" borderId="65" xfId="6" applyFont="1" applyFill="1" applyBorder="1" applyProtection="1"/>
    <xf numFmtId="0" fontId="91" fillId="2" borderId="103" xfId="0" applyFont="1" applyFill="1" applyBorder="1" applyAlignment="1">
      <alignment horizontal="center" vertical="top"/>
    </xf>
    <xf numFmtId="0" fontId="91" fillId="2" borderId="55" xfId="0" applyFont="1" applyFill="1" applyBorder="1" applyAlignment="1">
      <alignment horizontal="center" vertical="top"/>
    </xf>
    <xf numFmtId="0" fontId="91" fillId="2" borderId="109" xfId="0" applyFont="1" applyFill="1" applyBorder="1" applyAlignment="1">
      <alignment horizontal="center" vertical="top"/>
    </xf>
    <xf numFmtId="172" fontId="91" fillId="2" borderId="55" xfId="0" applyNumberFormat="1" applyFont="1" applyFill="1" applyBorder="1" applyAlignment="1">
      <alignment horizontal="center" vertical="top"/>
    </xf>
    <xf numFmtId="0" fontId="96" fillId="2" borderId="55" xfId="0" applyFont="1" applyFill="1" applyBorder="1" applyProtection="1">
      <protection locked="0"/>
    </xf>
    <xf numFmtId="175" fontId="96" fillId="2" borderId="55" xfId="0" applyNumberFormat="1" applyFont="1" applyFill="1" applyBorder="1" applyProtection="1">
      <protection locked="0"/>
    </xf>
    <xf numFmtId="0" fontId="96" fillId="2" borderId="109" xfId="0" applyFont="1" applyFill="1" applyBorder="1" applyProtection="1">
      <protection locked="0"/>
    </xf>
    <xf numFmtId="175" fontId="96" fillId="2" borderId="109" xfId="0" applyNumberFormat="1" applyFont="1" applyFill="1" applyBorder="1" applyProtection="1">
      <protection locked="0"/>
    </xf>
    <xf numFmtId="174" fontId="96" fillId="2" borderId="103" xfId="0" applyNumberFormat="1" applyFont="1" applyFill="1" applyBorder="1" applyProtection="1">
      <protection locked="0"/>
    </xf>
    <xf numFmtId="0" fontId="92" fillId="0" borderId="65" xfId="0" applyFont="1" applyBorder="1"/>
    <xf numFmtId="0" fontId="91" fillId="3" borderId="115" xfId="0" applyFont="1" applyFill="1" applyBorder="1"/>
    <xf numFmtId="0" fontId="91" fillId="3" borderId="116" xfId="0" applyFont="1" applyFill="1" applyBorder="1"/>
    <xf numFmtId="0" fontId="91" fillId="0" borderId="59" xfId="0" applyFont="1" applyBorder="1" applyAlignment="1">
      <alignment horizontal="left" indent="1"/>
    </xf>
    <xf numFmtId="0" fontId="92" fillId="62" borderId="57" xfId="0" applyFont="1" applyFill="1" applyBorder="1" applyAlignment="1">
      <alignment horizontal="right"/>
    </xf>
    <xf numFmtId="0" fontId="92" fillId="62" borderId="57" xfId="0" applyFont="1" applyFill="1" applyBorder="1" applyAlignment="1">
      <alignment horizontal="right" wrapText="1"/>
    </xf>
    <xf numFmtId="0" fontId="129" fillId="0" borderId="118" xfId="0" applyFont="1" applyBorder="1" applyAlignment="1">
      <alignment horizontal="left" indent="1"/>
    </xf>
    <xf numFmtId="173" fontId="96" fillId="2" borderId="120" xfId="0" applyNumberFormat="1" applyFont="1" applyFill="1" applyBorder="1" applyAlignment="1" applyProtection="1">
      <alignment horizontal="center"/>
      <protection locked="0"/>
    </xf>
    <xf numFmtId="0" fontId="92" fillId="62" borderId="65" xfId="0" applyFont="1" applyFill="1" applyBorder="1"/>
    <xf numFmtId="0" fontId="91" fillId="62" borderId="65" xfId="0" applyFont="1" applyFill="1" applyBorder="1"/>
    <xf numFmtId="172" fontId="91" fillId="0" borderId="50" xfId="0" applyNumberFormat="1" applyFont="1" applyBorder="1"/>
    <xf numFmtId="174" fontId="90" fillId="0" borderId="67" xfId="0" applyNumberFormat="1" applyFont="1" applyBorder="1"/>
    <xf numFmtId="172" fontId="96" fillId="2" borderId="67" xfId="0" applyNumberFormat="1" applyFont="1" applyFill="1" applyBorder="1" applyProtection="1">
      <protection locked="0"/>
    </xf>
    <xf numFmtId="172" fontId="96" fillId="0" borderId="67" xfId="0" applyNumberFormat="1" applyFont="1" applyBorder="1" applyProtection="1">
      <protection locked="0"/>
    </xf>
    <xf numFmtId="172" fontId="90" fillId="0" borderId="115" xfId="0" applyNumberFormat="1" applyFont="1" applyBorder="1"/>
    <xf numFmtId="0" fontId="92" fillId="63" borderId="59" xfId="0" applyFont="1" applyFill="1" applyBorder="1" applyAlignment="1">
      <alignment horizontal="right"/>
    </xf>
    <xf numFmtId="194" fontId="92" fillId="63" borderId="57" xfId="0" applyNumberFormat="1" applyFont="1" applyFill="1" applyBorder="1" applyAlignment="1">
      <alignment horizontal="right"/>
    </xf>
    <xf numFmtId="194" fontId="92" fillId="63" borderId="58" xfId="0" applyNumberFormat="1" applyFont="1" applyFill="1" applyBorder="1" applyAlignment="1">
      <alignment horizontal="right"/>
    </xf>
    <xf numFmtId="0" fontId="92" fillId="63" borderId="57" xfId="0" applyFont="1" applyFill="1" applyBorder="1" applyAlignment="1">
      <alignment horizontal="right"/>
    </xf>
    <xf numFmtId="0" fontId="92" fillId="63" borderId="58" xfId="0" applyFont="1" applyFill="1" applyBorder="1" applyAlignment="1">
      <alignment horizontal="right"/>
    </xf>
    <xf numFmtId="0" fontId="95" fillId="0" borderId="115" xfId="8" applyFont="1" applyBorder="1"/>
    <xf numFmtId="0" fontId="95" fillId="0" borderId="67" xfId="8" applyFont="1" applyBorder="1"/>
    <xf numFmtId="0" fontId="95" fillId="0" borderId="121" xfId="8" applyFont="1" applyBorder="1"/>
    <xf numFmtId="0" fontId="94" fillId="0" borderId="65" xfId="8" applyFont="1" applyBorder="1"/>
    <xf numFmtId="174" fontId="94" fillId="0" borderId="65" xfId="8" applyNumberFormat="1" applyFont="1" applyBorder="1"/>
    <xf numFmtId="174" fontId="94" fillId="0" borderId="65" xfId="6" applyNumberFormat="1" applyFont="1" applyBorder="1" applyProtection="1"/>
    <xf numFmtId="0" fontId="111" fillId="0" borderId="14" xfId="0" applyFont="1" applyBorder="1"/>
    <xf numFmtId="175" fontId="95" fillId="0" borderId="66" xfId="6" applyNumberFormat="1" applyFont="1" applyFill="1" applyBorder="1" applyProtection="1"/>
    <xf numFmtId="0" fontId="129" fillId="0" borderId="0" xfId="0" applyFont="1" applyAlignment="1">
      <alignment horizontal="left" vertical="center" indent="1"/>
    </xf>
    <xf numFmtId="172" fontId="101" fillId="4" borderId="55" xfId="11" applyNumberFormat="1" applyFont="1" applyBorder="1" applyAlignment="1" applyProtection="1">
      <alignment horizontal="center" vertical="top"/>
      <protection locked="0"/>
    </xf>
    <xf numFmtId="174" fontId="101" fillId="4" borderId="55" xfId="11" applyNumberFormat="1" applyFont="1" applyBorder="1" applyAlignment="1" applyProtection="1">
      <alignment horizontal="center" vertical="top"/>
      <protection locked="0"/>
    </xf>
    <xf numFmtId="173" fontId="101" fillId="4" borderId="55" xfId="11" applyNumberFormat="1" applyFont="1" applyBorder="1" applyAlignment="1" applyProtection="1">
      <alignment horizontal="center" vertical="top"/>
      <protection locked="0"/>
    </xf>
    <xf numFmtId="208" fontId="101" fillId="4" borderId="55" xfId="11" applyNumberFormat="1" applyFont="1" applyBorder="1" applyAlignment="1" applyProtection="1">
      <alignment horizontal="center" vertical="top"/>
      <protection locked="0"/>
    </xf>
    <xf numFmtId="187" fontId="101" fillId="4" borderId="55" xfId="11" applyNumberFormat="1" applyFont="1" applyBorder="1" applyAlignment="1" applyProtection="1">
      <alignment horizontal="center" vertical="top"/>
      <protection locked="0"/>
    </xf>
    <xf numFmtId="172" fontId="96" fillId="0" borderId="121" xfId="0" applyNumberFormat="1" applyFont="1" applyBorder="1" applyProtection="1">
      <protection locked="0"/>
    </xf>
    <xf numFmtId="172" fontId="96" fillId="0" borderId="102" xfId="0" applyNumberFormat="1" applyFont="1" applyBorder="1" applyProtection="1">
      <protection locked="0"/>
    </xf>
    <xf numFmtId="172" fontId="96" fillId="2" borderId="115" xfId="0" applyNumberFormat="1" applyFont="1" applyFill="1" applyBorder="1" applyProtection="1">
      <protection locked="0"/>
    </xf>
    <xf numFmtId="172" fontId="96" fillId="2" borderId="103" xfId="0" applyNumberFormat="1" applyFont="1" applyFill="1" applyBorder="1" applyProtection="1">
      <protection locked="0"/>
    </xf>
    <xf numFmtId="172" fontId="90" fillId="0" borderId="121" xfId="0" applyNumberFormat="1" applyFont="1" applyBorder="1" applyProtection="1">
      <protection locked="0"/>
    </xf>
    <xf numFmtId="172" fontId="90" fillId="0" borderId="102" xfId="0" applyNumberFormat="1" applyFont="1" applyBorder="1" applyProtection="1">
      <protection locked="0"/>
    </xf>
    <xf numFmtId="174" fontId="96" fillId="2" borderId="115" xfId="0" applyNumberFormat="1" applyFont="1" applyFill="1" applyBorder="1" applyProtection="1">
      <protection locked="0"/>
    </xf>
    <xf numFmtId="195" fontId="96" fillId="2" borderId="75" xfId="0" applyNumberFormat="1" applyFont="1" applyFill="1" applyBorder="1" applyProtection="1">
      <protection locked="0"/>
    </xf>
    <xf numFmtId="172" fontId="91" fillId="0" borderId="75" xfId="0" applyNumberFormat="1" applyFont="1" applyBorder="1"/>
    <xf numFmtId="0" fontId="114" fillId="0" borderId="0" xfId="0" applyFont="1" applyAlignment="1">
      <alignment horizontal="center" vertical="center"/>
    </xf>
    <xf numFmtId="172" fontId="91" fillId="2" borderId="103" xfId="0" applyNumberFormat="1" applyFont="1" applyFill="1" applyBorder="1" applyAlignment="1">
      <alignment horizontal="center" vertical="top"/>
    </xf>
    <xf numFmtId="0" fontId="92" fillId="63" borderId="59" xfId="0" applyFont="1" applyFill="1" applyBorder="1"/>
    <xf numFmtId="0" fontId="91" fillId="63" borderId="57" xfId="0" applyFont="1" applyFill="1" applyBorder="1"/>
    <xf numFmtId="0" fontId="91" fillId="63" borderId="58" xfId="0" applyFont="1" applyFill="1" applyBorder="1"/>
    <xf numFmtId="0" fontId="92" fillId="63" borderId="65" xfId="0" applyFont="1" applyFill="1" applyBorder="1" applyAlignment="1">
      <alignment horizontal="center"/>
    </xf>
    <xf numFmtId="0" fontId="92" fillId="63" borderId="63" xfId="0" applyFont="1" applyFill="1" applyBorder="1" applyAlignment="1">
      <alignment horizontal="center"/>
    </xf>
    <xf numFmtId="0" fontId="104" fillId="63" borderId="60" xfId="0" applyFont="1" applyFill="1" applyBorder="1" applyAlignment="1">
      <alignment horizontal="center" vertical="top"/>
    </xf>
    <xf numFmtId="0" fontId="104" fillId="63" borderId="60" xfId="0" quotePrefix="1" applyFont="1" applyFill="1" applyBorder="1" applyAlignment="1">
      <alignment horizontal="center" vertical="top"/>
    </xf>
    <xf numFmtId="0" fontId="104" fillId="63" borderId="61" xfId="0" applyFont="1" applyFill="1" applyBorder="1" applyAlignment="1">
      <alignment horizontal="center" vertical="top"/>
    </xf>
    <xf numFmtId="0" fontId="104" fillId="63" borderId="62" xfId="0" applyFont="1" applyFill="1" applyBorder="1" applyAlignment="1">
      <alignment horizontal="center" vertical="top"/>
    </xf>
    <xf numFmtId="0" fontId="129" fillId="0" borderId="0" xfId="0" applyFont="1" applyAlignment="1">
      <alignment horizontal="center" vertical="center"/>
    </xf>
    <xf numFmtId="0" fontId="96" fillId="2" borderId="66" xfId="0" applyFont="1" applyFill="1" applyBorder="1" applyAlignment="1" applyProtection="1">
      <alignment horizontal="center" vertical="center"/>
      <protection locked="0"/>
    </xf>
    <xf numFmtId="172" fontId="96" fillId="2" borderId="68" xfId="0" applyNumberFormat="1" applyFont="1" applyFill="1" applyBorder="1" applyAlignment="1" applyProtection="1">
      <alignment horizontal="center" vertical="center"/>
      <protection locked="0"/>
    </xf>
    <xf numFmtId="172" fontId="96" fillId="2" borderId="71" xfId="0" applyNumberFormat="1" applyFont="1" applyFill="1" applyBorder="1" applyAlignment="1" applyProtection="1">
      <alignment horizontal="center" vertical="center"/>
      <protection locked="0"/>
    </xf>
    <xf numFmtId="172" fontId="96" fillId="2" borderId="72" xfId="0" applyNumberFormat="1" applyFont="1" applyFill="1" applyBorder="1" applyAlignment="1" applyProtection="1">
      <alignment horizontal="center" vertical="center"/>
      <protection locked="0"/>
    </xf>
    <xf numFmtId="0" fontId="92" fillId="0" borderId="5" xfId="0" applyFont="1" applyBorder="1"/>
    <xf numFmtId="174" fontId="92" fillId="0" borderId="6" xfId="0" applyNumberFormat="1" applyFont="1" applyBorder="1" applyAlignment="1">
      <alignment horizontal="right"/>
    </xf>
    <xf numFmtId="0" fontId="96" fillId="0" borderId="50" xfId="0" applyFont="1" applyBorder="1" applyAlignment="1" applyProtection="1">
      <alignment vertical="center"/>
      <protection locked="0"/>
    </xf>
    <xf numFmtId="172" fontId="96" fillId="0" borderId="50" xfId="0" applyNumberFormat="1" applyFont="1" applyBorder="1" applyProtection="1">
      <protection locked="0"/>
    </xf>
    <xf numFmtId="0" fontId="90" fillId="0" borderId="50" xfId="0" applyFont="1" applyBorder="1" applyAlignment="1" applyProtection="1">
      <alignment vertical="center"/>
      <protection locked="0"/>
    </xf>
    <xf numFmtId="174" fontId="96" fillId="2" borderId="122" xfId="0" applyNumberFormat="1" applyFont="1" applyFill="1" applyBorder="1" applyProtection="1">
      <protection locked="0"/>
    </xf>
    <xf numFmtId="172" fontId="96" fillId="2" borderId="74" xfId="0" applyNumberFormat="1" applyFont="1" applyFill="1" applyBorder="1" applyProtection="1">
      <protection locked="0"/>
    </xf>
    <xf numFmtId="172" fontId="96" fillId="0" borderId="74" xfId="0" applyNumberFormat="1" applyFont="1" applyBorder="1" applyProtection="1">
      <protection locked="0"/>
    </xf>
    <xf numFmtId="172" fontId="96" fillId="0" borderId="123" xfId="0" applyNumberFormat="1" applyFont="1" applyBorder="1" applyProtection="1">
      <protection locked="0"/>
    </xf>
    <xf numFmtId="172" fontId="96" fillId="2" borderId="122" xfId="0" applyNumberFormat="1" applyFont="1" applyFill="1" applyBorder="1" applyProtection="1">
      <protection locked="0"/>
    </xf>
    <xf numFmtId="0" fontId="91" fillId="2" borderId="47" xfId="0" quotePrefix="1" applyFont="1" applyFill="1" applyBorder="1" applyProtection="1">
      <protection locked="0"/>
    </xf>
    <xf numFmtId="0" fontId="92" fillId="0" borderId="57" xfId="0" applyFont="1" applyBorder="1" applyAlignment="1">
      <alignment horizontal="left" wrapText="1"/>
    </xf>
    <xf numFmtId="172" fontId="92" fillId="0" borderId="57" xfId="0" quotePrefix="1" applyNumberFormat="1" applyFont="1" applyBorder="1" applyAlignment="1">
      <alignment horizontal="right"/>
    </xf>
    <xf numFmtId="0" fontId="96" fillId="2" borderId="50" xfId="0" applyFont="1" applyFill="1" applyBorder="1" applyAlignment="1" applyProtection="1">
      <alignment horizontal="center"/>
      <protection locked="0"/>
    </xf>
    <xf numFmtId="49" fontId="96" fillId="2" borderId="50" xfId="0" applyNumberFormat="1" applyFont="1" applyFill="1" applyBorder="1" applyAlignment="1" applyProtection="1">
      <alignment horizontal="center"/>
      <protection locked="0"/>
    </xf>
    <xf numFmtId="173" fontId="96" fillId="2" borderId="125" xfId="0" applyNumberFormat="1" applyFont="1" applyFill="1" applyBorder="1" applyAlignment="1" applyProtection="1">
      <alignment horizontal="center"/>
      <protection locked="0"/>
    </xf>
    <xf numFmtId="172" fontId="91" fillId="3" borderId="57" xfId="0" applyNumberFormat="1" applyFont="1" applyFill="1" applyBorder="1"/>
    <xf numFmtId="193" fontId="91" fillId="3" borderId="57" xfId="0" quotePrefix="1" applyNumberFormat="1" applyFont="1" applyFill="1" applyBorder="1" applyAlignment="1">
      <alignment horizontal="center"/>
    </xf>
    <xf numFmtId="0" fontId="129" fillId="0" borderId="117" xfId="0" applyFont="1" applyBorder="1" applyAlignment="1">
      <alignment horizontal="left" indent="1"/>
    </xf>
    <xf numFmtId="0" fontId="91" fillId="2" borderId="47" xfId="0" applyFont="1" applyFill="1" applyBorder="1" applyAlignment="1" applyProtection="1">
      <alignment wrapText="1"/>
      <protection locked="0"/>
    </xf>
    <xf numFmtId="0" fontId="96" fillId="2" borderId="122" xfId="0" applyFont="1" applyFill="1" applyBorder="1" applyAlignment="1" applyProtection="1">
      <alignment horizontal="center" vertical="center"/>
      <protection locked="0"/>
    </xf>
    <xf numFmtId="0" fontId="96" fillId="2" borderId="103" xfId="0" applyFont="1" applyFill="1" applyBorder="1" applyAlignment="1" applyProtection="1">
      <alignment horizontal="center" vertical="center"/>
      <protection locked="0"/>
    </xf>
    <xf numFmtId="0" fontId="96" fillId="2" borderId="126" xfId="0" applyFont="1" applyFill="1" applyBorder="1" applyAlignment="1" applyProtection="1">
      <alignment horizontal="center" vertical="center"/>
      <protection locked="0"/>
    </xf>
    <xf numFmtId="0" fontId="96" fillId="2" borderId="74" xfId="0" applyFont="1" applyFill="1" applyBorder="1" applyAlignment="1" applyProtection="1">
      <alignment horizontal="center" vertical="center"/>
      <protection locked="0"/>
    </xf>
    <xf numFmtId="0" fontId="96" fillId="2" borderId="124" xfId="0" applyFont="1" applyFill="1" applyBorder="1" applyAlignment="1" applyProtection="1">
      <alignment horizontal="center" vertical="center"/>
      <protection locked="0"/>
    </xf>
    <xf numFmtId="0" fontId="96" fillId="2" borderId="109" xfId="0" applyFont="1" applyFill="1" applyBorder="1" applyAlignment="1" applyProtection="1">
      <alignment horizontal="center" vertical="center"/>
      <protection locked="0"/>
    </xf>
    <xf numFmtId="0" fontId="107" fillId="3" borderId="0" xfId="0" applyFont="1" applyFill="1"/>
    <xf numFmtId="0" fontId="91" fillId="0" borderId="0" xfId="0" applyFont="1" applyAlignment="1">
      <alignment horizontal="right" vertical="top"/>
    </xf>
    <xf numFmtId="172" fontId="92" fillId="0" borderId="0" xfId="0" applyNumberFormat="1" applyFont="1" applyAlignment="1">
      <alignment horizontal="right" vertical="top"/>
    </xf>
    <xf numFmtId="0" fontId="147" fillId="2" borderId="103" xfId="0" applyFont="1" applyFill="1" applyBorder="1" applyProtection="1">
      <protection locked="0"/>
    </xf>
    <xf numFmtId="174" fontId="96" fillId="4" borderId="55" xfId="11" applyNumberFormat="1" applyFont="1" applyBorder="1" applyAlignment="1" applyProtection="1">
      <alignment horizontal="right" vertical="center"/>
      <protection locked="0"/>
    </xf>
    <xf numFmtId="0" fontId="106" fillId="0" borderId="57" xfId="0" applyFont="1" applyBorder="1"/>
    <xf numFmtId="0" fontId="104" fillId="71" borderId="0" xfId="0" applyFont="1" applyFill="1"/>
    <xf numFmtId="174" fontId="104" fillId="71" borderId="0" xfId="0" applyNumberFormat="1" applyFont="1" applyFill="1" applyAlignment="1">
      <alignment horizontal="right"/>
    </xf>
    <xf numFmtId="0" fontId="104" fillId="71" borderId="0" xfId="0" applyFont="1" applyFill="1" applyAlignment="1">
      <alignment horizontal="right"/>
    </xf>
    <xf numFmtId="164" fontId="104" fillId="71" borderId="0" xfId="0" applyNumberFormat="1" applyFont="1" applyFill="1" applyAlignment="1">
      <alignment horizontal="right"/>
    </xf>
    <xf numFmtId="0" fontId="148" fillId="60" borderId="1" xfId="0" applyFont="1" applyFill="1" applyBorder="1"/>
    <xf numFmtId="0" fontId="149" fillId="60" borderId="1" xfId="0" applyFont="1" applyFill="1" applyBorder="1"/>
    <xf numFmtId="194" fontId="61" fillId="60" borderId="1" xfId="0" applyNumberFormat="1" applyFont="1" applyFill="1" applyBorder="1"/>
    <xf numFmtId="0" fontId="148" fillId="59" borderId="1" xfId="0" applyFont="1" applyFill="1" applyBorder="1"/>
    <xf numFmtId="164" fontId="61" fillId="59" borderId="1" xfId="0" applyNumberFormat="1" applyFont="1" applyFill="1" applyBorder="1" applyAlignment="1">
      <alignment horizontal="center" vertical="top"/>
    </xf>
    <xf numFmtId="165" fontId="61" fillId="59" borderId="1" xfId="0" applyNumberFormat="1" applyFont="1" applyFill="1" applyBorder="1"/>
    <xf numFmtId="194" fontId="61" fillId="59" borderId="1" xfId="0" applyNumberFormat="1" applyFont="1" applyFill="1" applyBorder="1" applyAlignment="1">
      <alignment horizontal="right"/>
    </xf>
    <xf numFmtId="0" fontId="148" fillId="62" borderId="1" xfId="0" applyFont="1" applyFill="1" applyBorder="1"/>
    <xf numFmtId="164" fontId="61" fillId="62" borderId="1" xfId="0" applyNumberFormat="1" applyFont="1" applyFill="1" applyBorder="1" applyAlignment="1">
      <alignment horizontal="center" vertical="top"/>
    </xf>
    <xf numFmtId="164" fontId="61" fillId="62" borderId="1" xfId="0" quotePrefix="1" applyNumberFormat="1" applyFont="1" applyFill="1" applyBorder="1" applyAlignment="1">
      <alignment horizontal="center" vertical="top"/>
    </xf>
    <xf numFmtId="194" fontId="61" fillId="62" borderId="1" xfId="0" applyNumberFormat="1" applyFont="1" applyFill="1" applyBorder="1" applyAlignment="1">
      <alignment horizontal="right"/>
    </xf>
    <xf numFmtId="0" fontId="148" fillId="61" borderId="65" xfId="0" applyFont="1" applyFill="1" applyBorder="1"/>
    <xf numFmtId="0" fontId="149" fillId="61" borderId="65" xfId="0" applyFont="1" applyFill="1" applyBorder="1"/>
    <xf numFmtId="194" fontId="61" fillId="61" borderId="65" xfId="0" applyNumberFormat="1" applyFont="1" applyFill="1" applyBorder="1"/>
    <xf numFmtId="164" fontId="149" fillId="62" borderId="65" xfId="0" applyNumberFormat="1" applyFont="1" applyFill="1" applyBorder="1" applyAlignment="1">
      <alignment horizontal="center" vertical="top"/>
    </xf>
    <xf numFmtId="0" fontId="110" fillId="59" borderId="0" xfId="0" applyFont="1" applyFill="1"/>
    <xf numFmtId="165" fontId="149" fillId="59" borderId="0" xfId="0" applyNumberFormat="1" applyFont="1" applyFill="1"/>
    <xf numFmtId="194" fontId="61" fillId="61" borderId="65" xfId="0" applyNumberFormat="1" applyFont="1" applyFill="1" applyBorder="1" applyAlignment="1">
      <alignment horizontal="right"/>
    </xf>
    <xf numFmtId="0" fontId="110" fillId="62" borderId="0" xfId="0" applyFont="1" applyFill="1"/>
    <xf numFmtId="164" fontId="110" fillId="62" borderId="0" xfId="0" applyNumberFormat="1" applyFont="1" applyFill="1" applyAlignment="1">
      <alignment horizontal="center" vertical="top"/>
    </xf>
    <xf numFmtId="164" fontId="149" fillId="62" borderId="0" xfId="0" applyNumberFormat="1" applyFont="1" applyFill="1" applyAlignment="1">
      <alignment horizontal="center" vertical="top"/>
    </xf>
    <xf numFmtId="164" fontId="149" fillId="62" borderId="0" xfId="0" applyNumberFormat="1" applyFont="1" applyFill="1" applyAlignment="1">
      <alignment horizontal="right" vertical="top"/>
    </xf>
    <xf numFmtId="214" fontId="91" fillId="0" borderId="0" xfId="0" applyNumberFormat="1" applyFont="1"/>
    <xf numFmtId="172" fontId="91" fillId="2" borderId="0" xfId="0" applyNumberFormat="1" applyFont="1" applyFill="1" applyAlignment="1">
      <alignment horizontal="right" vertical="top"/>
    </xf>
    <xf numFmtId="0" fontId="92" fillId="65" borderId="5" xfId="0" applyFont="1" applyFill="1" applyBorder="1"/>
    <xf numFmtId="174" fontId="92" fillId="65" borderId="6" xfId="0" applyNumberFormat="1" applyFont="1" applyFill="1" applyBorder="1" applyAlignment="1">
      <alignment horizontal="right"/>
    </xf>
    <xf numFmtId="0" fontId="91" fillId="65" borderId="6" xfId="0" applyFont="1" applyFill="1" applyBorder="1"/>
    <xf numFmtId="0" fontId="92" fillId="65" borderId="53" xfId="0" applyFont="1" applyFill="1" applyBorder="1"/>
    <xf numFmtId="174" fontId="92" fillId="65" borderId="53" xfId="0" applyNumberFormat="1" applyFont="1" applyFill="1" applyBorder="1" applyAlignment="1">
      <alignment horizontal="right"/>
    </xf>
    <xf numFmtId="184" fontId="92" fillId="65" borderId="53" xfId="0" applyNumberFormat="1" applyFont="1" applyFill="1" applyBorder="1" applyAlignment="1">
      <alignment horizontal="right"/>
    </xf>
    <xf numFmtId="0" fontId="105" fillId="2" borderId="47" xfId="0" applyFont="1" applyFill="1" applyBorder="1" applyProtection="1">
      <protection locked="0"/>
    </xf>
    <xf numFmtId="183" fontId="92" fillId="0" borderId="0" xfId="4" applyNumberFormat="1" applyFont="1" applyFill="1" applyBorder="1" applyAlignment="1" applyProtection="1">
      <alignment horizontal="center"/>
      <protection locked="0"/>
    </xf>
    <xf numFmtId="183" fontId="92" fillId="0" borderId="57" xfId="4" applyNumberFormat="1" applyFont="1" applyFill="1" applyBorder="1" applyAlignment="1" applyProtection="1">
      <alignment horizontal="center"/>
      <protection locked="0"/>
    </xf>
    <xf numFmtId="172" fontId="91" fillId="65" borderId="57" xfId="0" applyNumberFormat="1" applyFont="1" applyFill="1" applyBorder="1" applyAlignment="1">
      <alignment horizontal="center"/>
    </xf>
    <xf numFmtId="0" fontId="92" fillId="65" borderId="57" xfId="0" applyFont="1" applyFill="1" applyBorder="1"/>
    <xf numFmtId="174" fontId="92" fillId="65" borderId="57" xfId="0" applyNumberFormat="1" applyFont="1" applyFill="1" applyBorder="1" applyAlignment="1">
      <alignment horizontal="right"/>
    </xf>
    <xf numFmtId="172" fontId="92" fillId="65" borderId="57" xfId="0" applyNumberFormat="1" applyFont="1" applyFill="1" applyBorder="1" applyAlignment="1">
      <alignment horizontal="center"/>
    </xf>
    <xf numFmtId="172" fontId="92" fillId="65" borderId="57" xfId="0" applyNumberFormat="1" applyFont="1" applyFill="1" applyBorder="1" applyAlignment="1">
      <alignment horizontal="right"/>
    </xf>
    <xf numFmtId="172" fontId="92" fillId="65" borderId="57" xfId="0" applyNumberFormat="1" applyFont="1" applyFill="1" applyBorder="1" applyAlignment="1">
      <alignment horizontal="left"/>
    </xf>
    <xf numFmtId="0" fontId="92" fillId="65" borderId="0" xfId="0" applyFont="1" applyFill="1"/>
    <xf numFmtId="172" fontId="91" fillId="65" borderId="0" xfId="0" applyNumberFormat="1" applyFont="1" applyFill="1" applyAlignment="1">
      <alignment horizontal="right"/>
    </xf>
    <xf numFmtId="172" fontId="91" fillId="65" borderId="0" xfId="0" applyNumberFormat="1" applyFont="1" applyFill="1" applyAlignment="1">
      <alignment horizontal="center"/>
    </xf>
    <xf numFmtId="175" fontId="96" fillId="69" borderId="55" xfId="11" applyNumberFormat="1" applyFont="1" applyFill="1" applyBorder="1" applyAlignment="1" applyProtection="1">
      <alignment horizontal="right"/>
      <protection locked="0"/>
    </xf>
    <xf numFmtId="174" fontId="101" fillId="2" borderId="103" xfId="0" applyNumberFormat="1" applyFont="1" applyFill="1" applyBorder="1" applyAlignment="1" applyProtection="1">
      <alignment horizontal="right" wrapText="1"/>
      <protection locked="0"/>
    </xf>
    <xf numFmtId="0" fontId="104" fillId="65" borderId="0" xfId="0" applyFont="1" applyFill="1"/>
    <xf numFmtId="174" fontId="104" fillId="65" borderId="0" xfId="0" applyNumberFormat="1" applyFont="1" applyFill="1" applyAlignment="1">
      <alignment horizontal="right"/>
    </xf>
    <xf numFmtId="0" fontId="104" fillId="65" borderId="0" xfId="0" applyFont="1" applyFill="1" applyAlignment="1">
      <alignment horizontal="right"/>
    </xf>
    <xf numFmtId="164" fontId="104" fillId="65" borderId="0" xfId="0" applyNumberFormat="1" applyFont="1" applyFill="1" applyAlignment="1">
      <alignment horizontal="right"/>
    </xf>
    <xf numFmtId="172" fontId="92" fillId="65" borderId="6" xfId="0" applyNumberFormat="1" applyFont="1" applyFill="1" applyBorder="1" applyAlignment="1">
      <alignment horizontal="center"/>
    </xf>
    <xf numFmtId="172" fontId="96" fillId="2" borderId="102" xfId="0" applyNumberFormat="1" applyFont="1" applyFill="1" applyBorder="1" applyAlignment="1" applyProtection="1">
      <alignment horizontal="right"/>
      <protection locked="0"/>
    </xf>
    <xf numFmtId="0" fontId="104" fillId="65" borderId="57" xfId="0" applyFont="1" applyFill="1" applyBorder="1"/>
    <xf numFmtId="174" fontId="104" fillId="65" borderId="57" xfId="0" applyNumberFormat="1" applyFont="1" applyFill="1" applyBorder="1" applyAlignment="1">
      <alignment horizontal="right"/>
    </xf>
    <xf numFmtId="174" fontId="91" fillId="0" borderId="0" xfId="0" quotePrefix="1" applyNumberFormat="1" applyFont="1" applyAlignment="1">
      <alignment horizontal="right"/>
    </xf>
    <xf numFmtId="172" fontId="91" fillId="0" borderId="15" xfId="0" applyNumberFormat="1" applyFont="1" applyBorder="1" applyAlignment="1">
      <alignment horizontal="right"/>
    </xf>
    <xf numFmtId="0" fontId="92" fillId="65" borderId="6" xfId="0" applyFont="1" applyFill="1" applyBorder="1"/>
    <xf numFmtId="189" fontId="91" fillId="0" borderId="0" xfId="0" applyNumberFormat="1" applyFont="1" applyAlignment="1">
      <alignment horizontal="center" vertical="top"/>
    </xf>
    <xf numFmtId="0" fontId="129" fillId="0" borderId="127" xfId="0" applyFont="1" applyBorder="1" applyAlignment="1">
      <alignment horizontal="left" indent="1"/>
    </xf>
    <xf numFmtId="0" fontId="0" fillId="62" borderId="0" xfId="0" applyFill="1"/>
    <xf numFmtId="164" fontId="96" fillId="2" borderId="55" xfId="11" applyNumberFormat="1" applyFont="1" applyFill="1" applyBorder="1" applyAlignment="1" applyProtection="1">
      <alignment horizontal="center" vertical="top"/>
      <protection locked="0"/>
    </xf>
    <xf numFmtId="189" fontId="96" fillId="4" borderId="66"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4" fillId="2" borderId="0" xfId="0" applyFont="1" applyFill="1"/>
    <xf numFmtId="0" fontId="11" fillId="2" borderId="0" xfId="0" applyFont="1" applyFill="1"/>
    <xf numFmtId="0" fontId="11" fillId="0" borderId="1" xfId="0" applyFont="1" applyBorder="1"/>
    <xf numFmtId="0" fontId="134"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4" fillId="62" borderId="0" xfId="0" applyFont="1" applyFill="1"/>
    <xf numFmtId="0" fontId="83" fillId="62" borderId="0" xfId="0" applyFont="1" applyFill="1"/>
    <xf numFmtId="0" fontId="134" fillId="63" borderId="0" xfId="0" applyFont="1" applyFill="1"/>
    <xf numFmtId="0" fontId="83" fillId="63" borderId="0" xfId="0" applyFont="1" applyFill="1"/>
    <xf numFmtId="0" fontId="0" fillId="63" borderId="0" xfId="0" applyFill="1"/>
    <xf numFmtId="0" fontId="134" fillId="65" borderId="1" xfId="0" applyFont="1" applyFill="1" applyBorder="1"/>
    <xf numFmtId="0" fontId="83" fillId="65" borderId="1" xfId="0" applyFont="1" applyFill="1" applyBorder="1"/>
    <xf numFmtId="0" fontId="0" fillId="65" borderId="1" xfId="0" applyFill="1" applyBorder="1"/>
    <xf numFmtId="0" fontId="134" fillId="61" borderId="1" xfId="0" applyFont="1" applyFill="1" applyBorder="1"/>
    <xf numFmtId="0" fontId="83" fillId="61" borderId="1" xfId="0" applyFont="1" applyFill="1" applyBorder="1"/>
    <xf numFmtId="0" fontId="0" fillId="61" borderId="1" xfId="0" applyFill="1" applyBorder="1"/>
    <xf numFmtId="174" fontId="83" fillId="69" borderId="0" xfId="0" applyNumberFormat="1" applyFont="1" applyFill="1"/>
    <xf numFmtId="172" fontId="83" fillId="69" borderId="0" xfId="0" applyNumberFormat="1" applyFont="1" applyFill="1"/>
    <xf numFmtId="0" fontId="83" fillId="69" borderId="0" xfId="0" applyFont="1" applyFill="1"/>
    <xf numFmtId="172" fontId="83" fillId="69" borderId="0" xfId="0" applyNumberFormat="1" applyFont="1" applyFill="1" applyAlignment="1">
      <alignment horizontal="right"/>
    </xf>
    <xf numFmtId="174" fontId="0" fillId="62" borderId="0" xfId="0" applyNumberFormat="1" applyFill="1"/>
    <xf numFmtId="172" fontId="0" fillId="62" borderId="0" xfId="0" applyNumberFormat="1" applyFill="1"/>
    <xf numFmtId="174" fontId="83" fillId="62" borderId="0" xfId="0" applyNumberFormat="1" applyFont="1" applyFill="1" applyAlignment="1">
      <alignment horizontal="right"/>
    </xf>
    <xf numFmtId="0" fontId="0" fillId="62" borderId="0" xfId="0" applyFill="1" applyAlignment="1">
      <alignment horizontal="right"/>
    </xf>
    <xf numFmtId="0" fontId="134" fillId="69" borderId="0" xfId="0" applyFont="1" applyFill="1"/>
    <xf numFmtId="0" fontId="0" fillId="69" borderId="0" xfId="0" applyFill="1"/>
    <xf numFmtId="0" fontId="0" fillId="2" borderId="0" xfId="0" applyFill="1"/>
    <xf numFmtId="0" fontId="83" fillId="62" borderId="47" xfId="0" applyFont="1" applyFill="1" applyBorder="1"/>
    <xf numFmtId="172" fontId="0" fillId="62" borderId="47" xfId="0" applyNumberFormat="1" applyFill="1" applyBorder="1"/>
    <xf numFmtId="174" fontId="83" fillId="0" borderId="47" xfId="0" applyNumberFormat="1" applyFont="1" applyBorder="1" applyAlignment="1">
      <alignment horizontal="right"/>
    </xf>
    <xf numFmtId="0" fontId="134" fillId="0" borderId="47" xfId="0" applyFont="1" applyBorder="1"/>
    <xf numFmtId="0" fontId="83" fillId="65" borderId="0" xfId="0" applyFont="1" applyFill="1"/>
    <xf numFmtId="0" fontId="0" fillId="65" borderId="0" xfId="0" applyFill="1"/>
    <xf numFmtId="0" fontId="11" fillId="0" borderId="0" xfId="0" applyFont="1" applyAlignment="1">
      <alignment horizontal="right"/>
    </xf>
    <xf numFmtId="172" fontId="107" fillId="2" borderId="55" xfId="8" applyNumberFormat="1" applyFont="1" applyFill="1" applyBorder="1" applyAlignment="1">
      <alignment horizontal="right"/>
    </xf>
    <xf numFmtId="172" fontId="107" fillId="0" borderId="55" xfId="8" applyNumberFormat="1" applyFont="1" applyBorder="1" applyAlignment="1">
      <alignment horizontal="right"/>
    </xf>
    <xf numFmtId="0" fontId="0" fillId="0" borderId="65" xfId="0" applyBorder="1"/>
    <xf numFmtId="172" fontId="0" fillId="0" borderId="57" xfId="0" applyNumberFormat="1" applyBorder="1"/>
    <xf numFmtId="0" fontId="146" fillId="67" borderId="0" xfId="0" applyFont="1" applyFill="1"/>
    <xf numFmtId="172" fontId="146" fillId="2" borderId="103" xfId="0" applyNumberFormat="1" applyFont="1" applyFill="1" applyBorder="1"/>
    <xf numFmtId="172" fontId="146" fillId="0" borderId="0" xfId="0" applyNumberFormat="1" applyFont="1"/>
    <xf numFmtId="172" fontId="146" fillId="2" borderId="55" xfId="0" applyNumberFormat="1" applyFont="1" applyFill="1" applyBorder="1"/>
    <xf numFmtId="172" fontId="146" fillId="2" borderId="102" xfId="0" applyNumberFormat="1" applyFont="1" applyFill="1" applyBorder="1"/>
    <xf numFmtId="172" fontId="146" fillId="67" borderId="57" xfId="0" applyNumberFormat="1" applyFont="1" applyFill="1" applyBorder="1"/>
    <xf numFmtId="172" fontId="146" fillId="0" borderId="57" xfId="0" applyNumberFormat="1" applyFont="1" applyBorder="1"/>
    <xf numFmtId="172" fontId="107" fillId="2" borderId="102" xfId="8" applyNumberFormat="1" applyFont="1" applyFill="1" applyBorder="1" applyAlignment="1">
      <alignment horizontal="right"/>
    </xf>
    <xf numFmtId="172" fontId="107" fillId="0" borderId="102" xfId="8" applyNumberFormat="1" applyFont="1" applyBorder="1" applyAlignment="1">
      <alignment horizontal="right"/>
    </xf>
    <xf numFmtId="0" fontId="11" fillId="0" borderId="57" xfId="0" applyFont="1" applyBorder="1"/>
    <xf numFmtId="0" fontId="11" fillId="0" borderId="65" xfId="0" applyFont="1" applyBorder="1" applyAlignment="1">
      <alignment horizontal="right"/>
    </xf>
    <xf numFmtId="172" fontId="146" fillId="67" borderId="103" xfId="0" applyNumberFormat="1" applyFont="1" applyFill="1" applyBorder="1"/>
    <xf numFmtId="172" fontId="146" fillId="67" borderId="55" xfId="0" applyNumberFormat="1" applyFont="1" applyFill="1" applyBorder="1"/>
    <xf numFmtId="172" fontId="146" fillId="67" borderId="102" xfId="0" applyNumberFormat="1" applyFont="1" applyFill="1" applyBorder="1"/>
    <xf numFmtId="172" fontId="107" fillId="0" borderId="57" xfId="8" applyNumberFormat="1" applyFont="1" applyBorder="1" applyAlignment="1">
      <alignment horizontal="right"/>
    </xf>
    <xf numFmtId="0" fontId="146" fillId="0" borderId="103" xfId="0" applyFont="1" applyBorder="1" applyAlignment="1">
      <alignment horizontal="right"/>
    </xf>
    <xf numFmtId="43" fontId="107" fillId="0" borderId="1" xfId="4" applyFont="1" applyBorder="1" applyProtection="1"/>
    <xf numFmtId="0" fontId="83" fillId="62" borderId="102" xfId="0" applyFont="1" applyFill="1" applyBorder="1"/>
    <xf numFmtId="0" fontId="83" fillId="62" borderId="66" xfId="0" applyFont="1" applyFill="1" applyBorder="1"/>
    <xf numFmtId="0" fontId="0" fillId="0" borderId="57" xfId="0" applyBorder="1"/>
    <xf numFmtId="0" fontId="11" fillId="65" borderId="1" xfId="0" applyFont="1" applyFill="1" applyBorder="1"/>
    <xf numFmtId="43" fontId="107" fillId="65" borderId="1" xfId="4" applyFont="1" applyFill="1" applyBorder="1" applyProtection="1"/>
    <xf numFmtId="0" fontId="11" fillId="61" borderId="1" xfId="0" applyFont="1" applyFill="1" applyBorder="1"/>
    <xf numFmtId="172" fontId="0" fillId="61" borderId="1" xfId="0" applyNumberFormat="1" applyFill="1" applyBorder="1"/>
    <xf numFmtId="43" fontId="107" fillId="61" borderId="1" xfId="4" applyFont="1" applyFill="1" applyBorder="1" applyProtection="1"/>
    <xf numFmtId="0" fontId="11" fillId="72" borderId="1" xfId="0" applyFont="1" applyFill="1" applyBorder="1"/>
    <xf numFmtId="0" fontId="0" fillId="72" borderId="1" xfId="0" applyFill="1" applyBorder="1"/>
    <xf numFmtId="172" fontId="146" fillId="0" borderId="103" xfId="0" applyNumberFormat="1" applyFont="1" applyBorder="1"/>
    <xf numFmtId="172" fontId="146" fillId="0" borderId="55" xfId="0" applyNumberFormat="1" applyFont="1" applyBorder="1"/>
    <xf numFmtId="172" fontId="146" fillId="0" borderId="102" xfId="0" applyNumberFormat="1" applyFont="1" applyBorder="1"/>
    <xf numFmtId="172" fontId="146" fillId="0" borderId="103" xfId="0" applyNumberFormat="1" applyFont="1" applyBorder="1" applyAlignment="1">
      <alignment horizontal="right"/>
    </xf>
    <xf numFmtId="174" fontId="146" fillId="0" borderId="103" xfId="0" applyNumberFormat="1" applyFont="1" applyBorder="1" applyAlignment="1">
      <alignment horizontal="right"/>
    </xf>
    <xf numFmtId="174" fontId="107" fillId="0" borderId="57" xfId="8" applyNumberFormat="1" applyFont="1" applyBorder="1" applyAlignment="1">
      <alignment horizontal="right"/>
    </xf>
    <xf numFmtId="174" fontId="107" fillId="0" borderId="55" xfId="8" applyNumberFormat="1" applyFont="1" applyBorder="1" applyAlignment="1">
      <alignment horizontal="right"/>
    </xf>
    <xf numFmtId="174" fontId="104" fillId="0" borderId="57" xfId="8" applyNumberFormat="1" applyFont="1" applyBorder="1" applyAlignment="1">
      <alignment horizontal="right"/>
    </xf>
    <xf numFmtId="174" fontId="146" fillId="0" borderId="0" xfId="0" applyNumberFormat="1" applyFont="1"/>
    <xf numFmtId="174" fontId="146" fillId="0" borderId="57" xfId="0" applyNumberFormat="1" applyFont="1" applyBorder="1"/>
    <xf numFmtId="174" fontId="146" fillId="67" borderId="57" xfId="0" applyNumberFormat="1" applyFont="1" applyFill="1" applyBorder="1"/>
    <xf numFmtId="174" fontId="151" fillId="0" borderId="57" xfId="0" applyNumberFormat="1" applyFont="1" applyBorder="1"/>
    <xf numFmtId="175" fontId="83" fillId="62" borderId="47" xfId="0" applyNumberFormat="1" applyFont="1" applyFill="1" applyBorder="1"/>
    <xf numFmtId="175" fontId="11" fillId="63" borderId="0" xfId="0" applyNumberFormat="1" applyFont="1" applyFill="1" applyAlignment="1">
      <alignment horizontal="right"/>
    </xf>
    <xf numFmtId="175" fontId="11" fillId="0" borderId="0" xfId="0" applyNumberFormat="1" applyFont="1" applyAlignment="1">
      <alignment horizontal="right"/>
    </xf>
    <xf numFmtId="175" fontId="0" fillId="0" borderId="65" xfId="0" applyNumberFormat="1" applyBorder="1"/>
    <xf numFmtId="0" fontId="152" fillId="2" borderId="0" xfId="0" applyFont="1" applyFill="1"/>
    <xf numFmtId="0" fontId="152" fillId="0" borderId="0" xfId="0" applyFont="1"/>
    <xf numFmtId="172" fontId="153" fillId="2" borderId="55" xfId="8" applyNumberFormat="1" applyFont="1" applyFill="1" applyBorder="1" applyAlignment="1">
      <alignment horizontal="right"/>
    </xf>
    <xf numFmtId="172" fontId="153" fillId="2" borderId="102" xfId="8" applyNumberFormat="1" applyFont="1" applyFill="1" applyBorder="1" applyAlignment="1">
      <alignment horizontal="right"/>
    </xf>
    <xf numFmtId="0" fontId="11" fillId="59" borderId="0" xfId="0" applyFont="1" applyFill="1"/>
    <xf numFmtId="175" fontId="11" fillId="0" borderId="65" xfId="0" applyNumberFormat="1" applyFont="1" applyBorder="1"/>
    <xf numFmtId="0" fontId="11" fillId="67" borderId="1" xfId="0" applyFont="1" applyFill="1" applyBorder="1"/>
    <xf numFmtId="0" fontId="0" fillId="67" borderId="1" xfId="0" applyFill="1" applyBorder="1"/>
    <xf numFmtId="174" fontId="146" fillId="0" borderId="103" xfId="0" applyNumberFormat="1" applyFont="1" applyBorder="1"/>
    <xf numFmtId="174" fontId="146" fillId="67" borderId="103" xfId="0" applyNumberFormat="1" applyFont="1" applyFill="1" applyBorder="1"/>
    <xf numFmtId="0" fontId="121" fillId="0" borderId="0" xfId="0" applyFont="1" applyAlignment="1">
      <alignment horizontal="left"/>
    </xf>
    <xf numFmtId="0" fontId="16" fillId="0" borderId="0" xfId="0" applyFont="1" applyAlignment="1">
      <alignment horizontal="center"/>
    </xf>
    <xf numFmtId="0" fontId="121" fillId="0" borderId="0" xfId="0" applyFont="1" applyAlignment="1">
      <alignment horizontal="center"/>
    </xf>
    <xf numFmtId="0" fontId="121" fillId="0" borderId="0" xfId="0" applyFont="1"/>
    <xf numFmtId="0" fontId="16" fillId="0" borderId="1" xfId="0" applyFont="1" applyBorder="1" applyAlignment="1">
      <alignment horizontal="center"/>
    </xf>
    <xf numFmtId="0" fontId="4" fillId="0" borderId="0" xfId="0" applyFont="1" applyAlignment="1">
      <alignment horizontal="center"/>
    </xf>
    <xf numFmtId="0" fontId="155" fillId="2" borderId="40" xfId="0" applyFont="1" applyFill="1" applyBorder="1" applyAlignment="1">
      <alignment horizontal="center"/>
    </xf>
    <xf numFmtId="0" fontId="156" fillId="2" borderId="40" xfId="0" applyFont="1" applyFill="1" applyBorder="1" applyAlignment="1">
      <alignment horizontal="center" vertical="center"/>
    </xf>
    <xf numFmtId="0" fontId="120" fillId="0" borderId="0" xfId="0" applyFont="1" applyAlignment="1">
      <alignment horizontal="center" vertical="center"/>
    </xf>
    <xf numFmtId="0" fontId="121" fillId="0" borderId="1" xfId="0" applyFont="1" applyBorder="1" applyAlignment="1">
      <alignment horizontal="center"/>
    </xf>
    <xf numFmtId="0" fontId="121" fillId="0" borderId="1" xfId="0" applyFont="1" applyBorder="1"/>
    <xf numFmtId="0" fontId="120" fillId="0" borderId="1" xfId="0" applyFont="1" applyBorder="1" applyAlignment="1">
      <alignment horizontal="center" vertical="center"/>
    </xf>
    <xf numFmtId="172" fontId="16" fillId="62" borderId="40" xfId="0" applyNumberFormat="1" applyFont="1" applyFill="1" applyBorder="1" applyAlignment="1">
      <alignment horizontal="center"/>
    </xf>
    <xf numFmtId="175" fontId="121"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55" xfId="0" applyFont="1" applyFill="1" applyBorder="1" applyAlignment="1">
      <alignment horizontal="center"/>
    </xf>
    <xf numFmtId="0" fontId="14" fillId="0" borderId="0" xfId="0" applyFont="1" applyAlignment="1">
      <alignment horizontal="center"/>
    </xf>
    <xf numFmtId="172" fontId="157" fillId="0" borderId="0" xfId="0" applyNumberFormat="1" applyFont="1" applyAlignment="1">
      <alignment horizontal="center"/>
    </xf>
    <xf numFmtId="174" fontId="11" fillId="0" borderId="128" xfId="0" applyNumberFormat="1" applyFont="1" applyBorder="1"/>
    <xf numFmtId="0" fontId="0" fillId="2" borderId="0" xfId="0" applyFill="1" applyAlignment="1">
      <alignment horizontal="center"/>
    </xf>
    <xf numFmtId="0" fontId="0" fillId="2" borderId="57" xfId="0" applyFill="1" applyBorder="1" applyAlignment="1">
      <alignment horizontal="center"/>
    </xf>
    <xf numFmtId="172" fontId="153" fillId="0" borderId="55" xfId="8" applyNumberFormat="1" applyFont="1" applyBorder="1" applyAlignment="1">
      <alignment horizontal="right"/>
    </xf>
    <xf numFmtId="172" fontId="153" fillId="0" borderId="102" xfId="8" applyNumberFormat="1" applyFont="1" applyBorder="1" applyAlignment="1">
      <alignment horizontal="right"/>
    </xf>
    <xf numFmtId="172" fontId="153" fillId="0" borderId="114" xfId="8" applyNumberFormat="1" applyFont="1" applyBorder="1" applyAlignment="1">
      <alignment horizontal="right"/>
    </xf>
    <xf numFmtId="172" fontId="153" fillId="0" borderId="103" xfId="8" applyNumberFormat="1" applyFont="1" applyBorder="1" applyAlignment="1">
      <alignment horizontal="right"/>
    </xf>
    <xf numFmtId="172" fontId="153" fillId="0" borderId="109" xfId="8" applyNumberFormat="1" applyFont="1" applyBorder="1" applyAlignment="1">
      <alignment horizontal="right"/>
    </xf>
    <xf numFmtId="172" fontId="153" fillId="0" borderId="129" xfId="8" applyNumberFormat="1" applyFont="1" applyBorder="1" applyAlignment="1">
      <alignment horizontal="right"/>
    </xf>
    <xf numFmtId="172" fontId="153" fillId="0" borderId="130" xfId="8" applyNumberFormat="1" applyFont="1" applyBorder="1" applyAlignment="1">
      <alignment horizontal="right"/>
    </xf>
    <xf numFmtId="172" fontId="153" fillId="0" borderId="131" xfId="8" applyNumberFormat="1" applyFont="1" applyBorder="1" applyAlignment="1">
      <alignment horizontal="right"/>
    </xf>
    <xf numFmtId="172" fontId="153" fillId="0" borderId="132" xfId="8" applyNumberFormat="1" applyFont="1" applyBorder="1" applyAlignment="1">
      <alignment horizontal="right"/>
    </xf>
    <xf numFmtId="172" fontId="107" fillId="0" borderId="74" xfId="8" applyNumberFormat="1" applyFont="1" applyBorder="1" applyAlignment="1">
      <alignment horizontal="right"/>
    </xf>
    <xf numFmtId="172" fontId="107" fillId="0" borderId="124" xfId="8" applyNumberFormat="1" applyFont="1" applyBorder="1" applyAlignment="1">
      <alignment horizontal="right"/>
    </xf>
    <xf numFmtId="172" fontId="153" fillId="0" borderId="134" xfId="8" applyNumberFormat="1" applyFont="1" applyBorder="1" applyAlignment="1">
      <alignment horizontal="right"/>
    </xf>
    <xf numFmtId="172" fontId="107" fillId="0" borderId="133" xfId="8" applyNumberFormat="1" applyFont="1" applyBorder="1" applyAlignment="1">
      <alignment horizontal="right"/>
    </xf>
    <xf numFmtId="0" fontId="11" fillId="0" borderId="0" xfId="0" applyFont="1" applyAlignment="1">
      <alignment horizontal="center"/>
    </xf>
    <xf numFmtId="0" fontId="158" fillId="0" borderId="0" xfId="0" applyFont="1" applyAlignment="1">
      <alignment horizontal="center"/>
    </xf>
    <xf numFmtId="0" fontId="0" fillId="2" borderId="47" xfId="0" applyFill="1" applyBorder="1" applyAlignment="1">
      <alignment horizontal="center"/>
    </xf>
    <xf numFmtId="172" fontId="0" fillId="0" borderId="47"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59" fillId="0" borderId="0" xfId="0" applyFont="1"/>
    <xf numFmtId="175" fontId="159" fillId="0" borderId="0" xfId="0" applyNumberFormat="1" applyFont="1" applyAlignment="1">
      <alignment horizontal="center"/>
    </xf>
    <xf numFmtId="175" fontId="121" fillId="0" borderId="57" xfId="0" applyNumberFormat="1" applyFont="1" applyBorder="1" applyAlignment="1">
      <alignment horizontal="center"/>
    </xf>
    <xf numFmtId="0" fontId="160" fillId="61" borderId="0" xfId="0" applyFont="1" applyFill="1" applyAlignment="1">
      <alignment horizontal="center"/>
    </xf>
    <xf numFmtId="0" fontId="160" fillId="60" borderId="0" xfId="0" applyFont="1" applyFill="1" applyAlignment="1">
      <alignment horizontal="center"/>
    </xf>
    <xf numFmtId="174" fontId="0" fillId="67" borderId="0" xfId="0" applyNumberFormat="1" applyFill="1"/>
    <xf numFmtId="172" fontId="0" fillId="67" borderId="47" xfId="0" applyNumberFormat="1" applyFill="1" applyBorder="1"/>
    <xf numFmtId="0" fontId="161" fillId="0" borderId="0" xfId="0" applyFont="1"/>
    <xf numFmtId="172" fontId="162" fillId="0" borderId="103" xfId="8" applyNumberFormat="1" applyFont="1" applyBorder="1" applyAlignment="1">
      <alignment horizontal="right"/>
    </xf>
    <xf numFmtId="172" fontId="162" fillId="0" borderId="129" xfId="8" applyNumberFormat="1" applyFont="1" applyBorder="1" applyAlignment="1">
      <alignment horizontal="right"/>
    </xf>
    <xf numFmtId="172" fontId="162" fillId="0" borderId="55" xfId="8" applyNumberFormat="1" applyFont="1" applyBorder="1" applyAlignment="1">
      <alignment horizontal="right"/>
    </xf>
    <xf numFmtId="172" fontId="162" fillId="0" borderId="130" xfId="8" applyNumberFormat="1" applyFont="1" applyBorder="1" applyAlignment="1">
      <alignment horizontal="right"/>
    </xf>
    <xf numFmtId="172" fontId="162" fillId="0" borderId="102" xfId="8" applyNumberFormat="1" applyFont="1" applyBorder="1" applyAlignment="1">
      <alignment horizontal="right"/>
    </xf>
    <xf numFmtId="172" fontId="162" fillId="0" borderId="131" xfId="8" applyNumberFormat="1" applyFont="1" applyBorder="1" applyAlignment="1">
      <alignment horizontal="right"/>
    </xf>
    <xf numFmtId="172" fontId="162" fillId="0" borderId="109" xfId="8" applyNumberFormat="1" applyFont="1" applyBorder="1" applyAlignment="1">
      <alignment horizontal="right"/>
    </xf>
    <xf numFmtId="172" fontId="162" fillId="0" borderId="132" xfId="8" applyNumberFormat="1" applyFont="1" applyBorder="1" applyAlignment="1">
      <alignment horizontal="right"/>
    </xf>
    <xf numFmtId="172" fontId="107" fillId="0" borderId="126" xfId="8" applyNumberFormat="1" applyFont="1" applyBorder="1" applyAlignment="1">
      <alignment horizontal="right"/>
    </xf>
    <xf numFmtId="175" fontId="146" fillId="0" borderId="0" xfId="0" applyNumberFormat="1" applyFont="1" applyAlignment="1">
      <alignment horizontal="center"/>
    </xf>
    <xf numFmtId="0" fontId="146" fillId="0" borderId="0" xfId="0" applyFont="1"/>
    <xf numFmtId="174" fontId="162" fillId="0" borderId="0" xfId="0" applyNumberFormat="1" applyFont="1" applyAlignment="1">
      <alignment horizontal="right"/>
    </xf>
    <xf numFmtId="175" fontId="162" fillId="0" borderId="0" xfId="0" applyNumberFormat="1" applyFont="1" applyAlignment="1">
      <alignment horizontal="right"/>
    </xf>
    <xf numFmtId="172" fontId="83" fillId="59" borderId="66" xfId="0" applyNumberFormat="1" applyFont="1" applyFill="1" applyBorder="1"/>
    <xf numFmtId="172" fontId="83" fillId="59" borderId="102" xfId="0" applyNumberFormat="1" applyFont="1" applyFill="1" applyBorder="1"/>
    <xf numFmtId="0" fontId="16" fillId="2" borderId="0" xfId="0" applyFont="1" applyFill="1" applyAlignment="1">
      <alignment horizontal="center"/>
    </xf>
    <xf numFmtId="0" fontId="0" fillId="59" borderId="0" xfId="0" applyFill="1"/>
    <xf numFmtId="9" fontId="0" fillId="0" borderId="0" xfId="0" applyNumberFormat="1"/>
    <xf numFmtId="9" fontId="0" fillId="2" borderId="0" xfId="0" applyNumberFormat="1" applyFill="1"/>
    <xf numFmtId="0" fontId="0" fillId="0" borderId="0" xfId="0" applyAlignment="1">
      <alignment horizontal="left"/>
    </xf>
    <xf numFmtId="9" fontId="163" fillId="2" borderId="55" xfId="9" applyFont="1" applyFill="1" applyBorder="1" applyAlignment="1" applyProtection="1">
      <alignment horizontal="center" vertical="top"/>
      <protection locked="0"/>
    </xf>
    <xf numFmtId="172" fontId="163" fillId="2" borderId="55" xfId="9" applyNumberFormat="1" applyFont="1" applyFill="1" applyBorder="1" applyAlignment="1" applyProtection="1">
      <alignment horizontal="right" vertical="top"/>
      <protection locked="0"/>
    </xf>
    <xf numFmtId="172" fontId="163" fillId="2" borderId="55" xfId="9" applyNumberFormat="1" applyFont="1" applyFill="1" applyBorder="1" applyAlignment="1" applyProtection="1">
      <alignment horizontal="center" vertical="top"/>
      <protection locked="0"/>
    </xf>
    <xf numFmtId="172" fontId="163" fillId="2" borderId="102" xfId="9" applyNumberFormat="1" applyFont="1" applyFill="1" applyBorder="1" applyAlignment="1" applyProtection="1">
      <alignment horizontal="right" vertical="top"/>
      <protection locked="0"/>
    </xf>
    <xf numFmtId="0" fontId="0" fillId="63" borderId="47" xfId="0" applyFill="1" applyBorder="1"/>
    <xf numFmtId="0" fontId="0" fillId="63" borderId="57" xfId="0" applyFill="1" applyBorder="1"/>
    <xf numFmtId="174" fontId="0" fillId="63" borderId="0" xfId="0" applyNumberFormat="1" applyFill="1"/>
    <xf numFmtId="172" fontId="0" fillId="63" borderId="47" xfId="0" applyNumberFormat="1" applyFill="1" applyBorder="1"/>
    <xf numFmtId="174" fontId="11" fillId="63" borderId="128" xfId="0" applyNumberFormat="1" applyFont="1" applyFill="1" applyBorder="1"/>
    <xf numFmtId="9" fontId="163" fillId="2" borderId="102" xfId="9" applyFont="1" applyFill="1" applyBorder="1" applyAlignment="1" applyProtection="1">
      <alignment horizontal="center" vertical="top"/>
      <protection locked="0"/>
    </xf>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2" fontId="154" fillId="2" borderId="55" xfId="9" applyNumberFormat="1" applyFont="1" applyFill="1" applyBorder="1" applyAlignment="1" applyProtection="1">
      <alignment horizontal="center" vertical="top"/>
      <protection locked="0"/>
    </xf>
    <xf numFmtId="172" fontId="154" fillId="2" borderId="55" xfId="9" applyNumberFormat="1" applyFont="1" applyFill="1" applyBorder="1" applyAlignment="1" applyProtection="1">
      <alignment horizontal="right" vertical="top"/>
      <protection locked="0"/>
    </xf>
    <xf numFmtId="0" fontId="91" fillId="2" borderId="103" xfId="0" applyFont="1" applyFill="1" applyBorder="1" applyProtection="1">
      <protection locked="0"/>
    </xf>
    <xf numFmtId="189" fontId="91" fillId="0" borderId="0" xfId="9" applyNumberFormat="1" applyFont="1" applyFill="1" applyBorder="1" applyAlignment="1" applyProtection="1">
      <alignment horizontal="center" vertical="top"/>
    </xf>
    <xf numFmtId="172" fontId="91" fillId="0" borderId="57" xfId="9" applyNumberFormat="1" applyFont="1" applyFill="1" applyBorder="1" applyAlignment="1" applyProtection="1">
      <alignment horizontal="center" vertical="top"/>
    </xf>
    <xf numFmtId="174" fontId="91" fillId="0" borderId="57"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7" xfId="0" applyNumberFormat="1" applyFont="1" applyBorder="1"/>
    <xf numFmtId="164" fontId="105" fillId="0" borderId="0" xfId="0" applyNumberFormat="1" applyFont="1" applyAlignment="1">
      <alignment horizontal="center" vertical="top"/>
    </xf>
    <xf numFmtId="194" fontId="92" fillId="63" borderId="63" xfId="0" applyNumberFormat="1" applyFont="1" applyFill="1" applyBorder="1" applyAlignment="1">
      <alignment horizontal="right"/>
    </xf>
    <xf numFmtId="174" fontId="92" fillId="0" borderId="65" xfId="0" applyNumberFormat="1" applyFont="1" applyBorder="1" applyAlignment="1">
      <alignment horizontal="right" vertical="top"/>
    </xf>
    <xf numFmtId="5" fontId="92" fillId="0" borderId="65" xfId="0" applyNumberFormat="1" applyFont="1" applyBorder="1" applyAlignment="1">
      <alignment horizontal="center" vertical="top"/>
    </xf>
    <xf numFmtId="1" fontId="91" fillId="0" borderId="65" xfId="0" applyNumberFormat="1" applyFont="1" applyBorder="1" applyAlignment="1">
      <alignment horizontal="left"/>
    </xf>
    <xf numFmtId="172" fontId="91" fillId="0" borderId="65" xfId="0" applyNumberFormat="1" applyFont="1" applyBorder="1" applyAlignment="1">
      <alignment horizontal="center"/>
    </xf>
    <xf numFmtId="177" fontId="91" fillId="0" borderId="57" xfId="0" applyNumberFormat="1" applyFont="1" applyBorder="1" applyAlignment="1">
      <alignment horizontal="left"/>
    </xf>
    <xf numFmtId="177" fontId="91" fillId="0" borderId="57" xfId="0" applyNumberFormat="1" applyFont="1" applyBorder="1" applyAlignment="1">
      <alignment horizontal="right" vertical="top"/>
    </xf>
    <xf numFmtId="174" fontId="91" fillId="0" borderId="57" xfId="0" applyNumberFormat="1" applyFont="1" applyBorder="1" applyAlignment="1">
      <alignment horizontal="right" vertical="top"/>
    </xf>
    <xf numFmtId="0" fontId="110" fillId="62" borderId="65" xfId="0" applyFont="1" applyFill="1" applyBorder="1"/>
    <xf numFmtId="164" fontId="149" fillId="62" borderId="65" xfId="0" applyNumberFormat="1" applyFont="1" applyFill="1" applyBorder="1" applyAlignment="1">
      <alignment horizontal="right" vertical="top"/>
    </xf>
    <xf numFmtId="175" fontId="92" fillId="0" borderId="65" xfId="0" applyNumberFormat="1" applyFont="1" applyBorder="1" applyAlignment="1">
      <alignment horizontal="right" vertical="top"/>
    </xf>
    <xf numFmtId="0" fontId="104" fillId="0" borderId="57" xfId="0" applyFont="1" applyBorder="1" applyAlignment="1">
      <alignment horizontal="center" vertical="top"/>
    </xf>
    <xf numFmtId="172" fontId="92" fillId="3" borderId="57" xfId="0" applyNumberFormat="1" applyFont="1" applyFill="1" applyBorder="1" applyAlignment="1">
      <alignment horizontal="right"/>
    </xf>
    <xf numFmtId="0" fontId="92" fillId="62" borderId="57" xfId="0" applyFont="1" applyFill="1" applyBorder="1"/>
    <xf numFmtId="172" fontId="92" fillId="0" borderId="57" xfId="0" applyNumberFormat="1" applyFont="1" applyBorder="1" applyAlignment="1">
      <alignment horizontal="center"/>
    </xf>
    <xf numFmtId="172" fontId="91" fillId="65" borderId="57" xfId="0" applyNumberFormat="1" applyFont="1" applyFill="1" applyBorder="1" applyAlignment="1">
      <alignment horizontal="right"/>
    </xf>
    <xf numFmtId="0" fontId="107" fillId="0" borderId="57" xfId="0" applyFont="1" applyBorder="1" applyAlignment="1">
      <alignment horizontal="right" vertical="top"/>
    </xf>
    <xf numFmtId="0" fontId="104" fillId="0" borderId="57" xfId="0" applyFont="1" applyBorder="1" applyAlignment="1">
      <alignment horizontal="right" vertical="top"/>
    </xf>
    <xf numFmtId="0" fontId="91" fillId="69" borderId="57" xfId="0" applyFont="1" applyFill="1" applyBorder="1"/>
    <xf numFmtId="200" fontId="91" fillId="0" borderId="63" xfId="0" applyNumberFormat="1" applyFont="1" applyBorder="1" applyAlignment="1">
      <alignment horizontal="right"/>
    </xf>
    <xf numFmtId="172" fontId="92" fillId="5" borderId="57" xfId="0" applyNumberFormat="1" applyFont="1" applyFill="1" applyBorder="1" applyAlignment="1">
      <alignment horizontal="center"/>
    </xf>
    <xf numFmtId="164" fontId="91" fillId="3" borderId="65" xfId="0" applyNumberFormat="1" applyFont="1" applyFill="1" applyBorder="1" applyAlignment="1">
      <alignment horizontal="center" vertical="top"/>
    </xf>
    <xf numFmtId="0" fontId="92" fillId="3" borderId="57" xfId="0" applyFont="1" applyFill="1" applyBorder="1" applyAlignment="1">
      <alignment horizontal="center"/>
    </xf>
    <xf numFmtId="0" fontId="89" fillId="0" borderId="57" xfId="0" applyFont="1" applyBorder="1"/>
    <xf numFmtId="183" fontId="91" fillId="0" borderId="57" xfId="13118" applyNumberFormat="1" applyFont="1" applyFill="1" applyBorder="1" applyProtection="1"/>
    <xf numFmtId="174" fontId="92" fillId="0" borderId="57" xfId="13118" applyNumberFormat="1" applyFont="1" applyFill="1" applyBorder="1" applyProtection="1"/>
    <xf numFmtId="0" fontId="92" fillId="63" borderId="63" xfId="0" applyFont="1" applyFill="1" applyBorder="1" applyAlignment="1">
      <alignment horizontal="right"/>
    </xf>
    <xf numFmtId="0" fontId="104" fillId="0" borderId="40" xfId="0" applyFont="1" applyBorder="1" applyAlignment="1">
      <alignment horizontal="center" vertical="top"/>
    </xf>
    <xf numFmtId="0" fontId="107" fillId="0" borderId="40" xfId="0" applyFont="1" applyBorder="1" applyAlignment="1">
      <alignment horizontal="center" vertical="top"/>
    </xf>
    <xf numFmtId="172" fontId="107" fillId="0" borderId="57" xfId="5" applyNumberFormat="1" applyFont="1" applyBorder="1" applyAlignment="1" applyProtection="1">
      <alignment horizontal="center"/>
    </xf>
    <xf numFmtId="43" fontId="83" fillId="0" borderId="57" xfId="4" applyFont="1" applyBorder="1" applyProtection="1"/>
    <xf numFmtId="0" fontId="83" fillId="0" borderId="57" xfId="0" applyFont="1" applyBorder="1"/>
    <xf numFmtId="43" fontId="8" fillId="0" borderId="0" xfId="4" applyFont="1"/>
    <xf numFmtId="189" fontId="0" fillId="0" borderId="0" xfId="0" applyNumberFormat="1"/>
    <xf numFmtId="0" fontId="11" fillId="0" borderId="1" xfId="0" quotePrefix="1" applyFont="1" applyBorder="1" applyAlignment="1">
      <alignment horizontal="right"/>
    </xf>
    <xf numFmtId="0" fontId="83" fillId="67" borderId="0" xfId="0" applyFont="1" applyFill="1"/>
    <xf numFmtId="0" fontId="83" fillId="67" borderId="47" xfId="0" applyFont="1" applyFill="1" applyBorder="1"/>
    <xf numFmtId="0" fontId="91" fillId="0" borderId="0" xfId="0" quotePrefix="1" applyFont="1" applyAlignment="1">
      <alignment horizontal="right" vertical="top"/>
    </xf>
    <xf numFmtId="174" fontId="11" fillId="2" borderId="0" xfId="0" applyNumberFormat="1" applyFont="1" applyFill="1"/>
    <xf numFmtId="174" fontId="0" fillId="0" borderId="0" xfId="0" quotePrefix="1" applyNumberFormat="1"/>
    <xf numFmtId="175" fontId="152" fillId="2" borderId="0" xfId="0" applyNumberFormat="1" applyFont="1" applyFill="1"/>
    <xf numFmtId="174" fontId="150" fillId="0" borderId="65" xfId="0" applyNumberFormat="1" applyFont="1" applyBorder="1" applyAlignment="1">
      <alignment horizontal="right"/>
    </xf>
    <xf numFmtId="38" fontId="95" fillId="0" borderId="0" xfId="8" applyNumberFormat="1" applyFont="1"/>
    <xf numFmtId="174" fontId="166" fillId="0" borderId="0" xfId="0" applyNumberFormat="1" applyFont="1" applyAlignment="1">
      <alignment horizontal="right"/>
    </xf>
    <xf numFmtId="174" fontId="105" fillId="0" borderId="0" xfId="0" applyNumberFormat="1" applyFont="1"/>
    <xf numFmtId="175" fontId="95" fillId="0" borderId="0" xfId="8" applyNumberFormat="1" applyFont="1"/>
    <xf numFmtId="172" fontId="104" fillId="0" borderId="57" xfId="0" applyNumberFormat="1" applyFont="1" applyBorder="1" applyAlignment="1">
      <alignment horizontal="right"/>
    </xf>
    <xf numFmtId="174" fontId="168" fillId="0" borderId="57" xfId="0" applyNumberFormat="1" applyFont="1" applyBorder="1" applyAlignment="1">
      <alignment horizontal="right"/>
    </xf>
    <xf numFmtId="174" fontId="169" fillId="0" borderId="57" xfId="0" applyNumberFormat="1" applyFont="1" applyBorder="1"/>
    <xf numFmtId="174" fontId="92" fillId="0" borderId="65" xfId="0" applyNumberFormat="1" applyFont="1" applyBorder="1"/>
    <xf numFmtId="172" fontId="116" fillId="2" borderId="102" xfId="8" applyNumberFormat="1" applyFont="1" applyFill="1" applyBorder="1" applyProtection="1">
      <protection locked="0"/>
    </xf>
    <xf numFmtId="172" fontId="95" fillId="0" borderId="0" xfId="8" applyNumberFormat="1" applyFont="1"/>
    <xf numFmtId="0" fontId="94" fillId="0" borderId="0" xfId="8" applyFont="1" applyAlignment="1">
      <alignment horizontal="center" wrapText="1"/>
    </xf>
    <xf numFmtId="0" fontId="94" fillId="0" borderId="0" xfId="8" quotePrefix="1" applyFont="1" applyAlignment="1">
      <alignment horizontal="center" wrapText="1"/>
    </xf>
    <xf numFmtId="0" fontId="95" fillId="0" borderId="0" xfId="8" applyFont="1" applyAlignment="1">
      <alignment horizontal="center" wrapText="1"/>
    </xf>
    <xf numFmtId="172" fontId="95" fillId="0" borderId="0" xfId="6" applyNumberFormat="1" applyFont="1" applyFill="1" applyBorder="1" applyAlignment="1" applyProtection="1">
      <alignment horizontal="center"/>
    </xf>
    <xf numFmtId="14" fontId="95" fillId="0" borderId="0" xfId="6" applyNumberFormat="1" applyFont="1" applyFill="1" applyBorder="1" applyAlignment="1" applyProtection="1">
      <alignment horizontal="center"/>
    </xf>
    <xf numFmtId="0" fontId="95" fillId="0" borderId="0" xfId="8" quotePrefix="1" applyFont="1" applyAlignment="1">
      <alignment horizontal="center" wrapText="1"/>
    </xf>
    <xf numFmtId="0" fontId="11" fillId="0" borderId="1" xfId="0" applyFont="1" applyBorder="1" applyAlignment="1">
      <alignment horizontal="right" wrapText="1"/>
    </xf>
    <xf numFmtId="0" fontId="83" fillId="0" borderId="47" xfId="0" applyFont="1" applyBorder="1"/>
    <xf numFmtId="0" fontId="83" fillId="0" borderId="75" xfId="0" applyFont="1" applyBorder="1"/>
    <xf numFmtId="172" fontId="0" fillId="0" borderId="75" xfId="0" applyNumberFormat="1" applyBorder="1"/>
    <xf numFmtId="172" fontId="0" fillId="62" borderId="75" xfId="0" applyNumberFormat="1" applyFill="1" applyBorder="1"/>
    <xf numFmtId="189" fontId="0" fillId="0" borderId="1" xfId="0" applyNumberFormat="1" applyBorder="1"/>
    <xf numFmtId="0" fontId="92" fillId="62" borderId="5" xfId="0" applyFont="1" applyFill="1" applyBorder="1" applyAlignment="1">
      <alignment horizontal="left"/>
    </xf>
    <xf numFmtId="174" fontId="92" fillId="62" borderId="6" xfId="0" applyNumberFormat="1" applyFont="1" applyFill="1" applyBorder="1" applyAlignment="1">
      <alignment horizontal="center"/>
    </xf>
    <xf numFmtId="175" fontId="92" fillId="62" borderId="6" xfId="0" applyNumberFormat="1" applyFont="1" applyFill="1" applyBorder="1" applyAlignment="1">
      <alignment horizontal="center"/>
    </xf>
    <xf numFmtId="174" fontId="92" fillId="62" borderId="6" xfId="0" applyNumberFormat="1" applyFont="1" applyFill="1" applyBorder="1" applyAlignment="1">
      <alignment horizontal="right"/>
    </xf>
    <xf numFmtId="0" fontId="96" fillId="2" borderId="48" xfId="0" quotePrefix="1" applyFont="1" applyFill="1" applyBorder="1" applyProtection="1">
      <protection locked="0"/>
    </xf>
    <xf numFmtId="0" fontId="96" fillId="2" borderId="107" xfId="0" applyFont="1" applyFill="1" applyBorder="1" applyProtection="1">
      <protection locked="0"/>
    </xf>
    <xf numFmtId="0" fontId="96" fillId="2" borderId="48" xfId="0" applyFont="1" applyFill="1" applyBorder="1" applyProtection="1">
      <protection locked="0"/>
    </xf>
    <xf numFmtId="187" fontId="0" fillId="0" borderId="0" xfId="0" applyNumberFormat="1"/>
    <xf numFmtId="8" fontId="0" fillId="0" borderId="0" xfId="0" applyNumberFormat="1"/>
    <xf numFmtId="0" fontId="0" fillId="0" borderId="0" xfId="0" quotePrefix="1"/>
    <xf numFmtId="172" fontId="2" fillId="66" borderId="0" xfId="6628" applyNumberFormat="1" applyFill="1"/>
    <xf numFmtId="0" fontId="107" fillId="0" borderId="55" xfId="0" applyFont="1" applyBorder="1" applyAlignment="1">
      <alignment horizontal="center"/>
    </xf>
    <xf numFmtId="0" fontId="118" fillId="2" borderId="55" xfId="0" applyFont="1" applyFill="1" applyBorder="1" applyAlignment="1" applyProtection="1">
      <alignment horizontal="center"/>
      <protection locked="0"/>
    </xf>
    <xf numFmtId="0" fontId="96" fillId="2" borderId="137" xfId="0" applyFont="1" applyFill="1" applyBorder="1" applyProtection="1">
      <protection locked="0"/>
    </xf>
    <xf numFmtId="172" fontId="96" fillId="73" borderId="55" xfId="0" applyNumberFormat="1" applyFont="1" applyFill="1" applyBorder="1" applyAlignment="1" applyProtection="1">
      <alignment horizontal="right" wrapText="1"/>
      <protection locked="0"/>
    </xf>
    <xf numFmtId="172" fontId="96" fillId="73" borderId="55" xfId="0" applyNumberFormat="1" applyFont="1" applyFill="1" applyBorder="1" applyAlignment="1" applyProtection="1">
      <alignment horizontal="right"/>
      <protection locked="0"/>
    </xf>
    <xf numFmtId="172" fontId="96" fillId="2" borderId="49" xfId="13118" applyNumberFormat="1" applyFont="1" applyFill="1" applyBorder="1" applyProtection="1">
      <protection locked="0"/>
    </xf>
    <xf numFmtId="174" fontId="96" fillId="2" borderId="48" xfId="13118" applyNumberFormat="1" applyFont="1" applyFill="1" applyBorder="1" applyProtection="1">
      <protection locked="0"/>
    </xf>
    <xf numFmtId="0" fontId="167" fillId="0" borderId="0" xfId="0" applyFont="1"/>
    <xf numFmtId="172" fontId="104" fillId="0" borderId="0" xfId="0" applyNumberFormat="1" applyFont="1" applyAlignment="1">
      <alignment horizontal="right"/>
    </xf>
    <xf numFmtId="174" fontId="168" fillId="0" borderId="0" xfId="0" applyNumberFormat="1" applyFont="1" applyAlignment="1">
      <alignment horizontal="right"/>
    </xf>
    <xf numFmtId="174" fontId="169" fillId="0" borderId="0" xfId="0" applyNumberFormat="1" applyFont="1"/>
    <xf numFmtId="172" fontId="91" fillId="0" borderId="0" xfId="0" quotePrefix="1" applyNumberFormat="1" applyFont="1" applyAlignment="1">
      <alignment horizontal="right" vertical="top"/>
    </xf>
    <xf numFmtId="0" fontId="91" fillId="3" borderId="50" xfId="0" applyFont="1" applyFill="1" applyBorder="1"/>
    <xf numFmtId="172" fontId="91" fillId="0" borderId="103" xfId="9" applyNumberFormat="1" applyFont="1" applyFill="1" applyBorder="1" applyAlignment="1" applyProtection="1">
      <alignment horizontal="center" vertical="top"/>
    </xf>
    <xf numFmtId="172" fontId="91" fillId="0" borderId="103" xfId="9" applyNumberFormat="1" applyFont="1" applyFill="1" applyBorder="1" applyAlignment="1" applyProtection="1">
      <alignment horizontal="right" vertical="top"/>
    </xf>
    <xf numFmtId="0" fontId="92" fillId="0" borderId="0" xfId="0" applyFont="1" applyProtection="1">
      <protection locked="0"/>
    </xf>
    <xf numFmtId="175" fontId="91" fillId="62" borderId="1" xfId="0" applyNumberFormat="1" applyFont="1" applyFill="1" applyBorder="1"/>
    <xf numFmtId="0" fontId="91" fillId="62" borderId="1" xfId="0" applyFont="1" applyFill="1" applyBorder="1" applyAlignment="1">
      <alignment horizontal="right"/>
    </xf>
    <xf numFmtId="0" fontId="92" fillId="62" borderId="1" xfId="0" applyFont="1" applyFill="1" applyBorder="1" applyAlignment="1">
      <alignment horizontal="right"/>
    </xf>
    <xf numFmtId="172" fontId="91" fillId="62" borderId="0" xfId="0" applyNumberFormat="1" applyFont="1" applyFill="1"/>
    <xf numFmtId="0" fontId="107" fillId="62" borderId="0" xfId="0" applyFont="1" applyFill="1" applyAlignment="1">
      <alignment horizontal="center" vertical="top"/>
    </xf>
    <xf numFmtId="0" fontId="104" fillId="62" borderId="0" xfId="0" applyFont="1" applyFill="1" applyAlignment="1">
      <alignment horizontal="center" vertical="top"/>
    </xf>
    <xf numFmtId="195" fontId="171" fillId="2" borderId="47" xfId="0" applyNumberFormat="1" applyFont="1" applyFill="1" applyBorder="1" applyProtection="1">
      <protection locked="0"/>
    </xf>
    <xf numFmtId="0" fontId="105" fillId="0" borderId="0" xfId="0" applyFont="1" applyAlignment="1">
      <alignment horizontal="left"/>
    </xf>
    <xf numFmtId="0" fontId="105" fillId="73" borderId="0" xfId="0" applyFont="1" applyFill="1" applyAlignment="1">
      <alignment horizontal="left"/>
    </xf>
    <xf numFmtId="174" fontId="91" fillId="73" borderId="0" xfId="0" applyNumberFormat="1" applyFont="1" applyFill="1" applyAlignment="1">
      <alignment horizontal="center"/>
    </xf>
    <xf numFmtId="174" fontId="92" fillId="73" borderId="0" xfId="0" applyNumberFormat="1" applyFont="1" applyFill="1" applyAlignment="1">
      <alignment horizontal="center"/>
    </xf>
    <xf numFmtId="0" fontId="136" fillId="0" borderId="0" xfId="0" applyFont="1" applyAlignment="1">
      <alignment horizontal="left"/>
    </xf>
    <xf numFmtId="215" fontId="92" fillId="0" borderId="6" xfId="0" applyNumberFormat="1" applyFont="1" applyBorder="1" applyAlignment="1">
      <alignment horizontal="right"/>
    </xf>
    <xf numFmtId="0" fontId="91" fillId="0" borderId="6" xfId="0" applyFont="1" applyBorder="1"/>
    <xf numFmtId="195" fontId="91" fillId="0" borderId="0" xfId="0" applyNumberFormat="1" applyFont="1" applyAlignment="1">
      <alignment horizontal="right"/>
    </xf>
    <xf numFmtId="0" fontId="92" fillId="65" borderId="1" xfId="0" applyFont="1" applyFill="1" applyBorder="1"/>
    <xf numFmtId="174" fontId="91" fillId="65" borderId="1" xfId="0" applyNumberFormat="1" applyFont="1" applyFill="1" applyBorder="1" applyAlignment="1">
      <alignment horizontal="right"/>
    </xf>
    <xf numFmtId="0" fontId="91" fillId="65" borderId="1" xfId="0" applyFont="1" applyFill="1" applyBorder="1"/>
    <xf numFmtId="172" fontId="91" fillId="65" borderId="1" xfId="0" applyNumberFormat="1" applyFont="1" applyFill="1" applyBorder="1"/>
    <xf numFmtId="174" fontId="96" fillId="0" borderId="0" xfId="0" applyNumberFormat="1" applyFont="1" applyAlignment="1" applyProtection="1">
      <alignment horizontal="right"/>
      <protection locked="0"/>
    </xf>
    <xf numFmtId="174" fontId="90" fillId="0" borderId="0" xfId="0" applyNumberFormat="1" applyFont="1" applyAlignment="1" applyProtection="1">
      <alignment horizontal="right"/>
      <protection locked="0"/>
    </xf>
    <xf numFmtId="174" fontId="90" fillId="0" borderId="57" xfId="0" applyNumberFormat="1" applyFont="1" applyBorder="1" applyAlignment="1" applyProtection="1">
      <alignment horizontal="right"/>
      <protection locked="0"/>
    </xf>
    <xf numFmtId="174" fontId="96" fillId="2" borderId="57" xfId="0" applyNumberFormat="1" applyFont="1" applyFill="1" applyBorder="1" applyAlignment="1" applyProtection="1">
      <alignment horizontal="right"/>
      <protection locked="0"/>
    </xf>
    <xf numFmtId="174" fontId="15" fillId="0" borderId="57" xfId="6628" applyNumberFormat="1" applyFont="1" applyBorder="1"/>
    <xf numFmtId="172" fontId="15" fillId="0" borderId="0" xfId="6628" applyNumberFormat="1" applyFont="1" applyAlignment="1">
      <alignment horizontal="left"/>
    </xf>
    <xf numFmtId="172" fontId="15" fillId="0" borderId="0" xfId="6628" applyNumberFormat="1" applyFont="1"/>
    <xf numFmtId="174" fontId="2" fillId="2" borderId="0" xfId="6628" applyNumberFormat="1" applyFill="1"/>
    <xf numFmtId="194" fontId="92" fillId="63" borderId="69" xfId="0" applyNumberFormat="1" applyFont="1" applyFill="1" applyBorder="1" applyAlignment="1">
      <alignment horizontal="right"/>
    </xf>
    <xf numFmtId="0" fontId="173" fillId="0" borderId="138" xfId="0" applyFont="1" applyBorder="1" applyAlignment="1">
      <alignment vertical="center" wrapText="1"/>
    </xf>
    <xf numFmtId="0" fontId="109" fillId="64" borderId="55" xfId="0" applyFont="1" applyFill="1" applyBorder="1"/>
    <xf numFmtId="0" fontId="173" fillId="0" borderId="0" xfId="0" applyFont="1" applyAlignment="1">
      <alignment vertical="center" wrapText="1"/>
    </xf>
    <xf numFmtId="164" fontId="90" fillId="0" borderId="55" xfId="11" applyNumberFormat="1" applyFont="1" applyFill="1" applyBorder="1" applyAlignment="1" applyProtection="1">
      <alignment horizontal="center" vertical="top"/>
      <protection locked="0"/>
    </xf>
    <xf numFmtId="189" fontId="96" fillId="2" borderId="0" xfId="0" applyNumberFormat="1" applyFont="1" applyFill="1" applyAlignment="1" applyProtection="1">
      <alignment horizontal="right"/>
      <protection locked="0"/>
    </xf>
    <xf numFmtId="172" fontId="90" fillId="0" borderId="0" xfId="0" applyNumberFormat="1" applyFont="1" applyAlignment="1" applyProtection="1">
      <alignment horizontal="right"/>
      <protection locked="0"/>
    </xf>
    <xf numFmtId="0" fontId="174" fillId="0" borderId="0" xfId="0" applyFont="1"/>
    <xf numFmtId="173" fontId="107" fillId="0" borderId="0" xfId="0" applyNumberFormat="1" applyFont="1" applyAlignment="1">
      <alignment horizontal="right" vertical="top"/>
    </xf>
    <xf numFmtId="164" fontId="107" fillId="0" borderId="0" xfId="0" applyNumberFormat="1" applyFont="1" applyAlignment="1">
      <alignment horizontal="center"/>
    </xf>
    <xf numFmtId="0" fontId="107" fillId="0" borderId="57" xfId="0" applyFont="1" applyBorder="1"/>
    <xf numFmtId="202" fontId="107" fillId="0" borderId="57" xfId="0" applyNumberFormat="1" applyFont="1" applyBorder="1"/>
    <xf numFmtId="202" fontId="104" fillId="0" borderId="57" xfId="0" applyNumberFormat="1" applyFont="1" applyBorder="1"/>
    <xf numFmtId="173" fontId="104" fillId="0" borderId="57" xfId="0" applyNumberFormat="1" applyFont="1" applyBorder="1" applyAlignment="1">
      <alignment horizontal="right" vertical="top"/>
    </xf>
    <xf numFmtId="0" fontId="102" fillId="0" borderId="1" xfId="0" applyFont="1" applyBorder="1"/>
    <xf numFmtId="188" fontId="110" fillId="0" borderId="1" xfId="0" applyNumberFormat="1" applyFont="1" applyBorder="1"/>
    <xf numFmtId="218" fontId="101" fillId="4" borderId="55" xfId="11" applyNumberFormat="1" applyFont="1" applyBorder="1" applyAlignment="1" applyProtection="1">
      <alignment horizontal="right"/>
      <protection locked="0"/>
    </xf>
    <xf numFmtId="0" fontId="105" fillId="66" borderId="0" xfId="0" applyFont="1" applyFill="1" applyAlignment="1">
      <alignment horizontal="left"/>
    </xf>
    <xf numFmtId="174" fontId="91" fillId="66" borderId="0" xfId="0" applyNumberFormat="1" applyFont="1" applyFill="1" applyAlignment="1">
      <alignment horizontal="center"/>
    </xf>
    <xf numFmtId="174" fontId="177" fillId="0" borderId="0" xfId="8" applyNumberFormat="1" applyFont="1"/>
    <xf numFmtId="174" fontId="177" fillId="0" borderId="0" xfId="10" applyNumberFormat="1" applyFont="1" applyProtection="1"/>
    <xf numFmtId="174" fontId="104" fillId="0" borderId="57" xfId="0" applyNumberFormat="1" applyFont="1" applyBorder="1"/>
    <xf numFmtId="174" fontId="107" fillId="0" borderId="57" xfId="0" applyNumberFormat="1" applyFont="1" applyBorder="1"/>
    <xf numFmtId="182" fontId="92" fillId="0" borderId="57" xfId="0" applyNumberFormat="1" applyFont="1" applyBorder="1" applyAlignment="1">
      <alignment horizontal="center" vertical="top"/>
    </xf>
    <xf numFmtId="174" fontId="90" fillId="2" borderId="55" xfId="11" applyNumberFormat="1" applyFont="1" applyFill="1" applyBorder="1" applyAlignment="1" applyProtection="1">
      <alignment horizontal="right" vertical="center"/>
      <protection locked="0"/>
    </xf>
    <xf numFmtId="172" fontId="90" fillId="2" borderId="55" xfId="11" applyNumberFormat="1" applyFont="1" applyFill="1" applyBorder="1" applyAlignment="1" applyProtection="1">
      <alignment horizontal="right" vertical="top"/>
      <protection locked="0"/>
    </xf>
    <xf numFmtId="172" fontId="171" fillId="2" borderId="55" xfId="11" applyNumberFormat="1" applyFont="1" applyFill="1" applyBorder="1" applyAlignment="1" applyProtection="1">
      <alignment horizontal="right" vertical="top"/>
      <protection locked="0"/>
    </xf>
    <xf numFmtId="0" fontId="89" fillId="0" borderId="0" xfId="0" applyFont="1"/>
    <xf numFmtId="183" fontId="91" fillId="0" borderId="0" xfId="13118" applyNumberFormat="1" applyFont="1" applyFill="1" applyBorder="1" applyProtection="1"/>
    <xf numFmtId="174" fontId="92" fillId="0" borderId="0" xfId="13118" applyNumberFormat="1" applyFont="1" applyFill="1" applyBorder="1" applyProtection="1"/>
    <xf numFmtId="209" fontId="91" fillId="0" borderId="0" xfId="33110" applyNumberFormat="1" applyFont="1" applyFill="1" applyBorder="1"/>
    <xf numFmtId="183" fontId="92" fillId="0" borderId="0" xfId="4" applyNumberFormat="1" applyFont="1" applyFill="1" applyBorder="1"/>
    <xf numFmtId="183" fontId="92" fillId="0" borderId="0" xfId="4" applyNumberFormat="1" applyFont="1" applyFill="1" applyBorder="1" applyAlignment="1">
      <alignment horizontal="center"/>
    </xf>
    <xf numFmtId="209" fontId="91" fillId="0" borderId="57" xfId="33110" applyNumberFormat="1" applyFont="1" applyFill="1" applyBorder="1"/>
    <xf numFmtId="183" fontId="92" fillId="0" borderId="57" xfId="4" applyNumberFormat="1" applyFont="1" applyFill="1" applyBorder="1"/>
    <xf numFmtId="183" fontId="92" fillId="0" borderId="57" xfId="4" applyNumberFormat="1" applyFont="1" applyFill="1" applyBorder="1" applyAlignment="1">
      <alignment horizontal="center"/>
    </xf>
    <xf numFmtId="172" fontId="101" fillId="2" borderId="55" xfId="9" applyNumberFormat="1" applyFont="1" applyFill="1" applyBorder="1" applyAlignment="1" applyProtection="1">
      <alignment horizontal="right" vertical="top"/>
      <protection locked="0"/>
    </xf>
    <xf numFmtId="185" fontId="94" fillId="63" borderId="64" xfId="6628" applyNumberFormat="1" applyFont="1" applyFill="1" applyBorder="1" applyAlignment="1">
      <alignment horizontal="center"/>
    </xf>
    <xf numFmtId="185" fontId="94" fillId="63" borderId="17" xfId="6628" applyNumberFormat="1" applyFont="1" applyFill="1" applyBorder="1" applyAlignment="1">
      <alignment horizontal="center"/>
    </xf>
    <xf numFmtId="172" fontId="125" fillId="0" borderId="0" xfId="6628" applyNumberFormat="1" applyFont="1" applyAlignment="1">
      <alignment horizontal="center"/>
    </xf>
    <xf numFmtId="174" fontId="171" fillId="2" borderId="55" xfId="0" applyNumberFormat="1" applyFont="1" applyFill="1" applyBorder="1" applyAlignment="1" applyProtection="1">
      <alignment horizontal="right" vertical="top"/>
      <protection locked="0"/>
    </xf>
    <xf numFmtId="174" fontId="171" fillId="67" borderId="55" xfId="0" applyNumberFormat="1" applyFont="1" applyFill="1" applyBorder="1" applyAlignment="1" applyProtection="1">
      <alignment horizontal="right" vertical="top"/>
      <protection locked="0"/>
    </xf>
    <xf numFmtId="172" fontId="2" fillId="0" borderId="0" xfId="6628" applyNumberFormat="1" applyProtection="1">
      <protection locked="0"/>
    </xf>
    <xf numFmtId="0" fontId="2" fillId="0" borderId="0" xfId="6628" applyProtection="1">
      <protection locked="0"/>
    </xf>
    <xf numFmtId="173" fontId="96" fillId="2" borderId="136" xfId="0" applyNumberFormat="1" applyFont="1" applyFill="1" applyBorder="1" applyAlignment="1" applyProtection="1">
      <alignment horizontal="center"/>
      <protection locked="0"/>
    </xf>
    <xf numFmtId="0" fontId="160" fillId="61" borderId="0" xfId="0" applyFont="1" applyFill="1" applyAlignment="1">
      <alignment horizontal="center" vertical="center"/>
    </xf>
    <xf numFmtId="0" fontId="138" fillId="0" borderId="0" xfId="0" applyFont="1" applyAlignment="1">
      <alignment horizontal="center" vertical="center"/>
    </xf>
    <xf numFmtId="0" fontId="91" fillId="61" borderId="47" xfId="0" applyFont="1" applyFill="1" applyBorder="1"/>
    <xf numFmtId="0" fontId="0" fillId="61" borderId="47" xfId="0" applyFill="1" applyBorder="1"/>
    <xf numFmtId="0" fontId="104" fillId="61" borderId="47" xfId="0" applyFont="1" applyFill="1" applyBorder="1"/>
    <xf numFmtId="0" fontId="180" fillId="0" borderId="0" xfId="0" applyFont="1" applyAlignment="1">
      <alignment horizontal="center"/>
    </xf>
    <xf numFmtId="0" fontId="181" fillId="0" borderId="0" xfId="7" applyFont="1" applyBorder="1" applyAlignment="1" applyProtection="1">
      <alignment horizontal="left"/>
    </xf>
    <xf numFmtId="0" fontId="181" fillId="0" borderId="51" xfId="7" applyFont="1" applyBorder="1" applyAlignment="1" applyProtection="1">
      <alignment horizontal="right"/>
    </xf>
    <xf numFmtId="0" fontId="104" fillId="0" borderId="0" xfId="0" applyFont="1" applyAlignment="1">
      <alignment horizontal="center"/>
    </xf>
    <xf numFmtId="0" fontId="104" fillId="0" borderId="1" xfId="0" applyFont="1" applyBorder="1" applyAlignment="1">
      <alignment horizontal="center"/>
    </xf>
    <xf numFmtId="0" fontId="172" fillId="2" borderId="0" xfId="0" applyFont="1" applyFill="1" applyAlignment="1" applyProtection="1">
      <alignment horizontal="left"/>
      <protection locked="0"/>
    </xf>
    <xf numFmtId="174" fontId="96" fillId="2" borderId="0" xfId="0" applyNumberFormat="1" applyFont="1" applyFill="1" applyAlignment="1" applyProtection="1">
      <alignment horizontal="center"/>
      <protection locked="0"/>
    </xf>
    <xf numFmtId="174" fontId="101" fillId="2" borderId="0" xfId="0" applyNumberFormat="1" applyFont="1" applyFill="1" applyAlignment="1" applyProtection="1">
      <alignment horizontal="center"/>
      <protection locked="0"/>
    </xf>
    <xf numFmtId="175" fontId="101" fillId="0" borderId="0" xfId="0" applyNumberFormat="1" applyFont="1" applyAlignment="1" applyProtection="1">
      <alignment horizontal="center"/>
      <protection locked="0"/>
    </xf>
    <xf numFmtId="0" fontId="92" fillId="0" borderId="1" xfId="0" applyFont="1" applyBorder="1" applyProtection="1">
      <protection locked="0"/>
    </xf>
    <xf numFmtId="0" fontId="0" fillId="0" borderId="0" xfId="0" applyProtection="1">
      <protection locked="0"/>
    </xf>
    <xf numFmtId="5" fontId="105" fillId="0" borderId="0" xfId="0" applyNumberFormat="1" applyFont="1" applyAlignment="1">
      <alignment horizontal="center" vertical="top"/>
    </xf>
    <xf numFmtId="175" fontId="105" fillId="0" borderId="0" xfId="0" applyNumberFormat="1" applyFont="1" applyAlignment="1">
      <alignment horizontal="center" vertical="top"/>
    </xf>
    <xf numFmtId="0" fontId="92" fillId="0" borderId="112" xfId="0" applyFont="1" applyBorder="1"/>
    <xf numFmtId="0" fontId="92" fillId="62" borderId="65" xfId="0" applyFont="1" applyFill="1" applyBorder="1" applyAlignment="1">
      <alignment horizontal="center" wrapText="1"/>
    </xf>
    <xf numFmtId="172" fontId="2" fillId="0" borderId="0" xfId="8" applyNumberFormat="1" applyProtection="1">
      <protection locked="0"/>
    </xf>
    <xf numFmtId="0" fontId="91" fillId="3" borderId="57" xfId="0" applyFont="1" applyFill="1" applyBorder="1" applyProtection="1">
      <protection locked="0"/>
    </xf>
    <xf numFmtId="172" fontId="91" fillId="3" borderId="57" xfId="0" applyNumberFormat="1" applyFont="1" applyFill="1" applyBorder="1" applyProtection="1">
      <protection locked="0"/>
    </xf>
    <xf numFmtId="193" fontId="91" fillId="3" borderId="57" xfId="0" quotePrefix="1" applyNumberFormat="1" applyFont="1" applyFill="1" applyBorder="1" applyAlignment="1" applyProtection="1">
      <alignment horizontal="center"/>
      <protection locked="0"/>
    </xf>
    <xf numFmtId="172" fontId="91" fillId="0" borderId="0" xfId="0" applyNumberFormat="1" applyFont="1" applyProtection="1">
      <protection locked="0"/>
    </xf>
    <xf numFmtId="0" fontId="105" fillId="3" borderId="0" xfId="0" applyFont="1" applyFill="1" applyProtection="1">
      <protection locked="0"/>
    </xf>
    <xf numFmtId="0" fontId="91" fillId="3" borderId="0" xfId="0" applyFont="1" applyFill="1" applyProtection="1">
      <protection locked="0"/>
    </xf>
    <xf numFmtId="0" fontId="91" fillId="2" borderId="0" xfId="0" applyFont="1" applyFill="1" applyProtection="1">
      <protection locked="0"/>
    </xf>
    <xf numFmtId="172" fontId="91" fillId="2" borderId="0" xfId="0" applyNumberFormat="1" applyFont="1" applyFill="1" applyProtection="1">
      <protection locked="0"/>
    </xf>
    <xf numFmtId="193" fontId="91" fillId="2" borderId="0" xfId="0" quotePrefix="1" applyNumberFormat="1" applyFont="1" applyFill="1" applyAlignment="1" applyProtection="1">
      <alignment horizontal="center"/>
      <protection locked="0"/>
    </xf>
    <xf numFmtId="174" fontId="91" fillId="0" borderId="0" xfId="0" applyNumberFormat="1" applyFont="1" applyAlignment="1" applyProtection="1">
      <alignment horizontal="right" vertical="top"/>
      <protection locked="0"/>
    </xf>
    <xf numFmtId="172" fontId="91" fillId="0" borderId="55" xfId="0" quotePrefix="1" applyNumberFormat="1" applyFont="1" applyBorder="1" applyAlignment="1">
      <alignment horizontal="right" vertical="top"/>
    </xf>
    <xf numFmtId="182" fontId="106" fillId="0" borderId="57" xfId="0" applyNumberFormat="1" applyFont="1" applyBorder="1" applyAlignment="1">
      <alignment horizontal="center" vertical="top"/>
    </xf>
    <xf numFmtId="182" fontId="106" fillId="0" borderId="0" xfId="0" applyNumberFormat="1" applyFont="1" applyAlignment="1">
      <alignment horizontal="center" vertical="top"/>
    </xf>
    <xf numFmtId="0" fontId="91" fillId="0" borderId="47" xfId="0" applyFont="1" applyBorder="1" applyProtection="1">
      <protection locked="0"/>
    </xf>
    <xf numFmtId="189" fontId="170" fillId="2" borderId="0" xfId="8" applyNumberFormat="1" applyFont="1" applyFill="1" applyProtection="1">
      <protection locked="0"/>
    </xf>
    <xf numFmtId="174" fontId="91" fillId="0" borderId="0" xfId="0" applyNumberFormat="1" applyFont="1" applyAlignment="1" applyProtection="1">
      <alignment horizontal="right"/>
      <protection locked="0"/>
    </xf>
    <xf numFmtId="172" fontId="91" fillId="0" borderId="0" xfId="0" applyNumberFormat="1" applyFont="1" applyAlignment="1" applyProtection="1">
      <alignment horizontal="right"/>
      <protection locked="0"/>
    </xf>
    <xf numFmtId="0" fontId="91" fillId="0" borderId="47" xfId="0" quotePrefix="1" applyFont="1" applyBorder="1" applyProtection="1">
      <protection locked="0"/>
    </xf>
    <xf numFmtId="0" fontId="96" fillId="0" borderId="0" xfId="0" applyFont="1" applyAlignment="1" applyProtection="1">
      <alignment horizontal="left"/>
      <protection locked="0"/>
    </xf>
    <xf numFmtId="0" fontId="96" fillId="0" borderId="0" xfId="0" applyFont="1" applyAlignment="1" applyProtection="1">
      <alignment horizontal="center"/>
      <protection locked="0"/>
    </xf>
    <xf numFmtId="1" fontId="96" fillId="0" borderId="0" xfId="0" applyNumberFormat="1" applyFont="1" applyAlignment="1" applyProtection="1">
      <alignment horizontal="right"/>
      <protection locked="0"/>
    </xf>
    <xf numFmtId="1" fontId="96" fillId="0" borderId="0" xfId="0" applyNumberFormat="1" applyFont="1" applyAlignment="1" applyProtection="1">
      <alignment horizontal="center"/>
      <protection locked="0"/>
    </xf>
    <xf numFmtId="174" fontId="96" fillId="0" borderId="0" xfId="0" applyNumberFormat="1" applyFont="1" applyAlignment="1" applyProtection="1">
      <alignment horizontal="center"/>
      <protection locked="0"/>
    </xf>
    <xf numFmtId="0" fontId="96" fillId="0" borderId="0" xfId="0" applyFont="1" applyProtection="1">
      <protection locked="0"/>
    </xf>
    <xf numFmtId="1" fontId="92" fillId="3" borderId="0" xfId="11" applyNumberFormat="1" applyFont="1" applyFill="1" applyBorder="1" applyAlignment="1" applyProtection="1">
      <alignment horizontal="center"/>
      <protection locked="0"/>
    </xf>
    <xf numFmtId="164" fontId="92" fillId="3" borderId="0" xfId="11" applyNumberFormat="1" applyFont="1" applyFill="1" applyBorder="1" applyAlignment="1" applyProtection="1">
      <alignment horizontal="center"/>
      <protection locked="0"/>
    </xf>
    <xf numFmtId="174" fontId="96" fillId="0" borderId="0" xfId="0" applyNumberFormat="1" applyFont="1" applyProtection="1">
      <protection locked="0"/>
    </xf>
    <xf numFmtId="172" fontId="96" fillId="0" borderId="0" xfId="11" applyNumberFormat="1" applyFont="1" applyFill="1" applyBorder="1" applyAlignment="1" applyProtection="1">
      <alignment horizontal="right"/>
      <protection locked="0"/>
    </xf>
    <xf numFmtId="182" fontId="96" fillId="0" borderId="0" xfId="11" applyNumberFormat="1" applyFont="1" applyFill="1" applyBorder="1" applyAlignment="1" applyProtection="1">
      <alignment horizontal="center"/>
      <protection locked="0"/>
    </xf>
    <xf numFmtId="182" fontId="96" fillId="0" borderId="0" xfId="0" applyNumberFormat="1" applyFont="1" applyAlignment="1" applyProtection="1">
      <alignment horizontal="center"/>
      <protection locked="0"/>
    </xf>
    <xf numFmtId="1" fontId="91" fillId="0" borderId="0" xfId="0" applyNumberFormat="1" applyFont="1" applyAlignment="1" applyProtection="1">
      <alignment horizontal="center"/>
      <protection locked="0"/>
    </xf>
    <xf numFmtId="182" fontId="91" fillId="0" borderId="0" xfId="0" applyNumberFormat="1" applyFont="1" applyAlignment="1" applyProtection="1">
      <alignment horizontal="center"/>
      <protection locked="0"/>
    </xf>
    <xf numFmtId="0" fontId="92" fillId="0" borderId="57" xfId="0" applyFont="1" applyBorder="1" applyProtection="1">
      <protection locked="0"/>
    </xf>
    <xf numFmtId="0" fontId="91" fillId="0" borderId="57" xfId="0" applyFont="1" applyBorder="1" applyProtection="1">
      <protection locked="0"/>
    </xf>
    <xf numFmtId="182" fontId="91" fillId="0" borderId="57" xfId="0" applyNumberFormat="1" applyFont="1" applyBorder="1" applyAlignment="1" applyProtection="1">
      <alignment horizontal="center"/>
      <protection locked="0"/>
    </xf>
    <xf numFmtId="172" fontId="92" fillId="0" borderId="57" xfId="0" applyNumberFormat="1" applyFont="1" applyBorder="1" applyAlignment="1" applyProtection="1">
      <alignment horizontal="center" vertical="top"/>
      <protection locked="0"/>
    </xf>
    <xf numFmtId="0" fontId="91" fillId="61" borderId="0" xfId="0" applyFont="1" applyFill="1" applyProtection="1">
      <protection locked="0"/>
    </xf>
    <xf numFmtId="182" fontId="91" fillId="61" borderId="0" xfId="0" applyNumberFormat="1" applyFont="1" applyFill="1" applyAlignment="1" applyProtection="1">
      <alignment horizontal="center"/>
      <protection locked="0"/>
    </xf>
    <xf numFmtId="164" fontId="91" fillId="61" borderId="0" xfId="0" applyNumberFormat="1" applyFont="1" applyFill="1" applyAlignment="1" applyProtection="1">
      <alignment horizontal="center"/>
      <protection locked="0"/>
    </xf>
    <xf numFmtId="172" fontId="91" fillId="61" borderId="0" xfId="0" applyNumberFormat="1" applyFont="1" applyFill="1" applyAlignment="1" applyProtection="1">
      <alignment horizontal="center" vertical="top"/>
      <protection locked="0"/>
    </xf>
    <xf numFmtId="0" fontId="91" fillId="0" borderId="1" xfId="0" applyFont="1" applyBorder="1" applyProtection="1">
      <protection locked="0"/>
    </xf>
    <xf numFmtId="182" fontId="91" fillId="0" borderId="1" xfId="0" applyNumberFormat="1" applyFont="1" applyBorder="1" applyAlignment="1" applyProtection="1">
      <alignment horizontal="center"/>
      <protection locked="0"/>
    </xf>
    <xf numFmtId="164" fontId="91" fillId="0" borderId="1" xfId="0" applyNumberFormat="1" applyFont="1" applyBorder="1" applyAlignment="1" applyProtection="1">
      <alignment horizontal="center"/>
      <protection locked="0"/>
    </xf>
    <xf numFmtId="172" fontId="91" fillId="0" borderId="1" xfId="0" applyNumberFormat="1" applyFont="1" applyBorder="1" applyAlignment="1" applyProtection="1">
      <alignment horizontal="center" vertical="top"/>
      <protection locked="0"/>
    </xf>
    <xf numFmtId="182" fontId="91" fillId="0" borderId="0" xfId="0" applyNumberFormat="1" applyFont="1" applyProtection="1">
      <protection locked="0"/>
    </xf>
    <xf numFmtId="182" fontId="91" fillId="0" borderId="57" xfId="0" applyNumberFormat="1" applyFont="1" applyBorder="1" applyProtection="1">
      <protection locked="0"/>
    </xf>
    <xf numFmtId="182" fontId="91" fillId="61" borderId="0" xfId="0" applyNumberFormat="1" applyFont="1" applyFill="1" applyProtection="1">
      <protection locked="0"/>
    </xf>
    <xf numFmtId="172" fontId="92" fillId="0" borderId="57" xfId="0" applyNumberFormat="1" applyFont="1" applyBorder="1" applyAlignment="1" applyProtection="1">
      <alignment horizontal="center"/>
      <protection locked="0"/>
    </xf>
    <xf numFmtId="173" fontId="92" fillId="0" borderId="57" xfId="0" applyNumberFormat="1" applyFont="1" applyBorder="1" applyAlignment="1" applyProtection="1">
      <alignment horizontal="center"/>
      <protection locked="0"/>
    </xf>
    <xf numFmtId="173" fontId="92" fillId="0" borderId="57" xfId="0" applyNumberFormat="1" applyFont="1" applyBorder="1" applyAlignment="1" applyProtection="1">
      <alignment horizontal="center" vertical="top"/>
      <protection locked="0"/>
    </xf>
    <xf numFmtId="0" fontId="92" fillId="61" borderId="0" xfId="0" applyFont="1" applyFill="1" applyProtection="1">
      <protection locked="0"/>
    </xf>
    <xf numFmtId="172" fontId="92" fillId="61" borderId="0" xfId="0" applyNumberFormat="1" applyFont="1" applyFill="1" applyAlignment="1" applyProtection="1">
      <alignment horizontal="center" vertical="top"/>
      <protection locked="0"/>
    </xf>
    <xf numFmtId="0" fontId="104" fillId="0" borderId="1" xfId="0" applyFont="1" applyBorder="1" applyProtection="1">
      <protection locked="0"/>
    </xf>
    <xf numFmtId="174" fontId="92" fillId="3" borderId="0" xfId="9" applyNumberFormat="1" applyFont="1" applyFill="1" applyBorder="1" applyAlignment="1" applyProtection="1">
      <alignment horizontal="center" vertical="top"/>
      <protection locked="0"/>
    </xf>
    <xf numFmtId="10" fontId="91" fillId="3" borderId="0" xfId="9" applyNumberFormat="1" applyFont="1" applyFill="1" applyBorder="1" applyAlignment="1" applyProtection="1">
      <alignment horizontal="center" vertical="top"/>
      <protection locked="0"/>
    </xf>
    <xf numFmtId="10" fontId="91" fillId="3" borderId="0" xfId="9" quotePrefix="1" applyNumberFormat="1" applyFont="1" applyFill="1" applyBorder="1" applyAlignment="1" applyProtection="1">
      <alignment horizontal="center" vertical="top"/>
      <protection locked="0"/>
    </xf>
    <xf numFmtId="0" fontId="182" fillId="0" borderId="0" xfId="0" applyFont="1"/>
    <xf numFmtId="0" fontId="182" fillId="0" borderId="57" xfId="0" applyFont="1" applyBorder="1"/>
    <xf numFmtId="174" fontId="92" fillId="0" borderId="0" xfId="0" applyNumberFormat="1" applyFont="1" applyAlignment="1" applyProtection="1">
      <alignment horizontal="center"/>
      <protection locked="0"/>
    </xf>
    <xf numFmtId="6" fontId="91" fillId="0" borderId="0" xfId="0" applyNumberFormat="1" applyFont="1" applyAlignment="1" applyProtection="1">
      <alignment horizontal="center"/>
      <protection locked="0"/>
    </xf>
    <xf numFmtId="174" fontId="91" fillId="0" borderId="0" xfId="0" applyNumberFormat="1" applyFont="1" applyAlignment="1" applyProtection="1">
      <alignment horizontal="center"/>
      <protection locked="0"/>
    </xf>
    <xf numFmtId="174" fontId="90" fillId="0" borderId="0" xfId="0" applyNumberFormat="1" applyFont="1" applyAlignment="1" applyProtection="1">
      <alignment horizontal="center"/>
      <protection locked="0"/>
    </xf>
    <xf numFmtId="8" fontId="92" fillId="0" borderId="0" xfId="0" applyNumberFormat="1" applyFont="1" applyProtection="1">
      <protection locked="0"/>
    </xf>
    <xf numFmtId="172" fontId="96" fillId="0" borderId="0" xfId="0" applyNumberFormat="1" applyFont="1" applyAlignment="1" applyProtection="1">
      <alignment horizontal="right"/>
      <protection locked="0"/>
    </xf>
    <xf numFmtId="172" fontId="90" fillId="0" borderId="0" xfId="0" applyNumberFormat="1" applyFont="1" applyProtection="1">
      <protection locked="0"/>
    </xf>
    <xf numFmtId="0" fontId="91" fillId="0" borderId="0" xfId="0" quotePrefix="1" applyFont="1" applyProtection="1">
      <protection locked="0"/>
    </xf>
    <xf numFmtId="172" fontId="91" fillId="0" borderId="0" xfId="0" applyNumberFormat="1" applyFont="1" applyAlignment="1" applyProtection="1">
      <alignment horizontal="right" wrapText="1"/>
      <protection locked="0"/>
    </xf>
    <xf numFmtId="0" fontId="91" fillId="0" borderId="57" xfId="0" quotePrefix="1" applyFont="1" applyBorder="1" applyProtection="1">
      <protection locked="0"/>
    </xf>
    <xf numFmtId="172" fontId="91" fillId="0" borderId="57" xfId="0" applyNumberFormat="1" applyFont="1" applyBorder="1" applyAlignment="1" applyProtection="1">
      <alignment horizontal="right" wrapText="1"/>
      <protection locked="0"/>
    </xf>
    <xf numFmtId="0" fontId="178" fillId="0" borderId="0" xfId="0" applyFont="1" applyAlignment="1">
      <alignment horizontal="left"/>
    </xf>
    <xf numFmtId="174" fontId="92" fillId="0" borderId="65" xfId="0" applyNumberFormat="1" applyFont="1" applyBorder="1" applyAlignment="1">
      <alignment horizontal="right" wrapText="1"/>
    </xf>
    <xf numFmtId="0" fontId="171" fillId="2" borderId="47" xfId="0" applyFont="1" applyFill="1" applyBorder="1" applyProtection="1">
      <protection locked="0"/>
    </xf>
    <xf numFmtId="172" fontId="91" fillId="3" borderId="47" xfId="9" applyNumberFormat="1" applyFont="1" applyFill="1" applyBorder="1" applyAlignment="1" applyProtection="1">
      <alignment horizontal="center" vertical="top"/>
      <protection locked="0"/>
    </xf>
    <xf numFmtId="187" fontId="91" fillId="3" borderId="47" xfId="0" applyNumberFormat="1" applyFont="1" applyFill="1" applyBorder="1" applyAlignment="1" applyProtection="1">
      <alignment horizontal="center" vertical="top"/>
      <protection locked="0"/>
    </xf>
    <xf numFmtId="174" fontId="91" fillId="3" borderId="47" xfId="0" applyNumberFormat="1" applyFont="1" applyFill="1" applyBorder="1" applyAlignment="1" applyProtection="1">
      <alignment horizontal="center"/>
      <protection locked="0"/>
    </xf>
    <xf numFmtId="174" fontId="90" fillId="0" borderId="57" xfId="4" applyNumberFormat="1" applyFont="1" applyFill="1" applyBorder="1" applyAlignment="1" applyProtection="1">
      <alignment horizontal="center"/>
      <protection locked="0"/>
    </xf>
    <xf numFmtId="174" fontId="90" fillId="0" borderId="0" xfId="4" applyNumberFormat="1" applyFont="1" applyFill="1" applyBorder="1" applyAlignment="1" applyProtection="1">
      <alignment horizontal="center"/>
      <protection locked="0"/>
    </xf>
    <xf numFmtId="0" fontId="105" fillId="0" borderId="0" xfId="0" quotePrefix="1" applyFont="1" applyAlignment="1">
      <alignment horizontal="center"/>
    </xf>
    <xf numFmtId="172" fontId="171" fillId="2" borderId="55" xfId="0" applyNumberFormat="1" applyFont="1" applyFill="1" applyBorder="1" applyAlignment="1" applyProtection="1">
      <alignment horizontal="center"/>
      <protection locked="0"/>
    </xf>
    <xf numFmtId="172" fontId="171" fillId="2" borderId="55" xfId="0" applyNumberFormat="1" applyFont="1" applyFill="1" applyBorder="1" applyAlignment="1" applyProtection="1">
      <alignment horizontal="center" vertical="top"/>
      <protection locked="0"/>
    </xf>
    <xf numFmtId="164" fontId="92" fillId="0" borderId="0" xfId="0" applyNumberFormat="1" applyFont="1" applyAlignment="1" applyProtection="1">
      <alignment horizontal="left"/>
      <protection locked="0"/>
    </xf>
    <xf numFmtId="172" fontId="91" fillId="0" borderId="52" xfId="0" applyNumberFormat="1" applyFont="1" applyBorder="1" applyProtection="1">
      <protection locked="0"/>
    </xf>
    <xf numFmtId="172" fontId="91" fillId="0" borderId="47" xfId="0" applyNumberFormat="1" applyFont="1" applyBorder="1" applyProtection="1">
      <protection locked="0"/>
    </xf>
    <xf numFmtId="174" fontId="91" fillId="0" borderId="52" xfId="0" applyNumberFormat="1" applyFont="1" applyBorder="1" applyProtection="1">
      <protection locked="0"/>
    </xf>
    <xf numFmtId="172" fontId="91" fillId="0" borderId="50" xfId="0" applyNumberFormat="1" applyFont="1" applyBorder="1" applyProtection="1">
      <protection locked="0"/>
    </xf>
    <xf numFmtId="174" fontId="91" fillId="0" borderId="47" xfId="0" applyNumberFormat="1" applyFont="1" applyBorder="1" applyProtection="1">
      <protection locked="0"/>
    </xf>
    <xf numFmtId="0" fontId="91" fillId="63" borderId="0" xfId="0" applyFont="1" applyFill="1"/>
    <xf numFmtId="0" fontId="92" fillId="63" borderId="0" xfId="0" applyFont="1" applyFill="1"/>
    <xf numFmtId="0" fontId="92" fillId="63" borderId="0" xfId="0" applyFont="1" applyFill="1" applyAlignment="1">
      <alignment horizontal="right" wrapText="1"/>
    </xf>
    <xf numFmtId="174" fontId="90" fillId="0" borderId="57" xfId="0" applyNumberFormat="1" applyFont="1" applyBorder="1" applyProtection="1">
      <protection locked="0"/>
    </xf>
    <xf numFmtId="172" fontId="90" fillId="0" borderId="47" xfId="0" applyNumberFormat="1" applyFont="1" applyBorder="1" applyProtection="1">
      <protection locked="0"/>
    </xf>
    <xf numFmtId="172" fontId="90" fillId="0" borderId="1" xfId="0" applyNumberFormat="1" applyFont="1" applyBorder="1" applyProtection="1">
      <protection locked="0"/>
    </xf>
    <xf numFmtId="174" fontId="91" fillId="0" borderId="103" xfId="0" applyNumberFormat="1" applyFont="1" applyBorder="1" applyAlignment="1" applyProtection="1">
      <alignment horizontal="right" vertical="top"/>
      <protection locked="0"/>
    </xf>
    <xf numFmtId="174" fontId="91" fillId="0" borderId="55" xfId="0" applyNumberFormat="1" applyFont="1" applyBorder="1" applyAlignment="1" applyProtection="1">
      <alignment horizontal="right" vertical="top"/>
      <protection locked="0"/>
    </xf>
    <xf numFmtId="174" fontId="91" fillId="0" borderId="109" xfId="0" applyNumberFormat="1" applyFont="1" applyBorder="1" applyAlignment="1" applyProtection="1">
      <alignment horizontal="right" vertical="top"/>
      <protection locked="0"/>
    </xf>
    <xf numFmtId="0" fontId="92" fillId="60" borderId="47" xfId="0" applyFont="1" applyFill="1" applyBorder="1" applyAlignment="1" applyProtection="1">
      <alignment horizontal="center" vertical="top"/>
      <protection locked="0"/>
    </xf>
    <xf numFmtId="174" fontId="91" fillId="0" borderId="0" xfId="0" applyNumberFormat="1" applyFont="1" applyAlignment="1" applyProtection="1">
      <alignment horizontal="center" vertical="top"/>
      <protection locked="0"/>
    </xf>
    <xf numFmtId="0" fontId="91" fillId="0" borderId="0" xfId="7" applyFont="1" applyFill="1" applyBorder="1" applyAlignment="1" applyProtection="1">
      <alignment horizontal="left" wrapText="1"/>
      <protection locked="0"/>
    </xf>
    <xf numFmtId="0" fontId="119" fillId="0" borderId="0" xfId="33111" applyAlignment="1" applyProtection="1">
      <alignment horizontal="left" vertical="top"/>
      <protection locked="0"/>
    </xf>
    <xf numFmtId="0" fontId="92" fillId="63" borderId="1" xfId="0" applyFont="1" applyFill="1" applyBorder="1" applyAlignment="1" applyProtection="1">
      <alignment horizontal="center"/>
      <protection locked="0"/>
    </xf>
    <xf numFmtId="0" fontId="92" fillId="63" borderId="14" xfId="0" applyFont="1" applyFill="1" applyBorder="1" applyAlignment="1" applyProtection="1">
      <alignment horizontal="center"/>
      <protection locked="0"/>
    </xf>
    <xf numFmtId="0" fontId="107" fillId="63" borderId="60" xfId="0" applyFont="1" applyFill="1" applyBorder="1" applyAlignment="1" applyProtection="1">
      <alignment horizontal="center" vertical="top"/>
      <protection locked="0"/>
    </xf>
    <xf numFmtId="0" fontId="107" fillId="63" borderId="61" xfId="0" applyFont="1" applyFill="1" applyBorder="1" applyAlignment="1" applyProtection="1">
      <alignment horizontal="center" vertical="top"/>
      <protection locked="0"/>
    </xf>
    <xf numFmtId="0" fontId="107" fillId="63" borderId="62" xfId="0" applyFont="1" applyFill="1" applyBorder="1" applyAlignment="1" applyProtection="1">
      <alignment horizontal="center" vertical="top"/>
      <protection locked="0"/>
    </xf>
    <xf numFmtId="0" fontId="104" fillId="63" borderId="45" xfId="0" applyFont="1" applyFill="1" applyBorder="1" applyAlignment="1" applyProtection="1">
      <alignment horizontal="center" vertical="top"/>
      <protection locked="0"/>
    </xf>
    <xf numFmtId="0" fontId="104" fillId="63" borderId="41" xfId="0" applyFont="1" applyFill="1" applyBorder="1" applyAlignment="1" applyProtection="1">
      <alignment horizontal="center" vertical="top"/>
      <protection locked="0"/>
    </xf>
    <xf numFmtId="0" fontId="104" fillId="63" borderId="46" xfId="0" applyFont="1" applyFill="1" applyBorder="1" applyAlignment="1" applyProtection="1">
      <alignment horizontal="center" vertical="top"/>
      <protection locked="0"/>
    </xf>
    <xf numFmtId="0" fontId="122" fillId="0" borderId="55" xfId="33111" applyFont="1" applyBorder="1" applyAlignment="1" applyProtection="1">
      <alignment horizontal="center" vertical="top"/>
      <protection locked="0"/>
    </xf>
    <xf numFmtId="172" fontId="122" fillId="0" borderId="55" xfId="33111" applyNumberFormat="1" applyFont="1" applyBorder="1" applyAlignment="1" applyProtection="1">
      <alignment horizontal="center" vertical="top"/>
      <protection locked="0"/>
    </xf>
    <xf numFmtId="0" fontId="120" fillId="71" borderId="0" xfId="33111" applyFont="1" applyFill="1" applyAlignment="1" applyProtection="1">
      <alignment horizontal="left" vertical="top" wrapText="1"/>
      <protection locked="0"/>
    </xf>
    <xf numFmtId="0" fontId="64" fillId="61" borderId="90" xfId="33111" applyFont="1" applyFill="1" applyBorder="1" applyAlignment="1" applyProtection="1">
      <alignment horizontal="center" vertical="top" wrapText="1"/>
      <protection locked="0"/>
    </xf>
    <xf numFmtId="0" fontId="91" fillId="0" borderId="93" xfId="33111" applyFont="1" applyBorder="1" applyAlignment="1" applyProtection="1">
      <alignment vertical="center" wrapText="1"/>
      <protection locked="0"/>
    </xf>
    <xf numFmtId="0" fontId="91" fillId="0" borderId="16" xfId="33111" applyFont="1" applyBorder="1" applyAlignment="1" applyProtection="1">
      <alignment horizontal="left" vertical="center"/>
      <protection locked="0"/>
    </xf>
    <xf numFmtId="0" fontId="91" fillId="0" borderId="95" xfId="33111" applyFont="1" applyBorder="1" applyAlignment="1" applyProtection="1">
      <alignment horizontal="right" vertical="center" wrapText="1"/>
      <protection locked="0"/>
    </xf>
    <xf numFmtId="0" fontId="91" fillId="0" borderId="95" xfId="33111" applyFont="1" applyBorder="1" applyAlignment="1" applyProtection="1">
      <alignment vertical="center" wrapText="1"/>
      <protection locked="0"/>
    </xf>
    <xf numFmtId="0" fontId="91" fillId="0" borderId="94" xfId="33111" applyFont="1" applyBorder="1" applyAlignment="1" applyProtection="1">
      <alignment horizontal="right" vertical="center" wrapText="1"/>
      <protection locked="0"/>
    </xf>
    <xf numFmtId="0" fontId="91" fillId="0" borderId="70" xfId="33111" applyFont="1" applyBorder="1" applyAlignment="1" applyProtection="1">
      <alignment horizontal="left" vertical="center"/>
      <protection locked="0"/>
    </xf>
    <xf numFmtId="0" fontId="91" fillId="0" borderId="74" xfId="33111" applyFont="1" applyBorder="1" applyAlignment="1" applyProtection="1">
      <alignment horizontal="right" vertical="center" wrapText="1"/>
      <protection locked="0"/>
    </xf>
    <xf numFmtId="0" fontId="91" fillId="0" borderId="70" xfId="33111" applyFont="1" applyBorder="1" applyAlignment="1" applyProtection="1">
      <alignment horizontal="right" vertical="center" wrapText="1"/>
      <protection locked="0"/>
    </xf>
    <xf numFmtId="172" fontId="91" fillId="0" borderId="70" xfId="33111" applyNumberFormat="1" applyFont="1" applyBorder="1" applyAlignment="1" applyProtection="1">
      <alignment horizontal="right" vertical="center"/>
      <protection locked="0"/>
    </xf>
    <xf numFmtId="172" fontId="91" fillId="0" borderId="95" xfId="33111" applyNumberFormat="1" applyFont="1" applyBorder="1" applyAlignment="1" applyProtection="1">
      <alignment vertical="center" wrapText="1"/>
      <protection locked="0"/>
    </xf>
    <xf numFmtId="0" fontId="96" fillId="0" borderId="94" xfId="33111" applyFont="1" applyBorder="1" applyAlignment="1" applyProtection="1">
      <alignment horizontal="right" vertical="center" wrapText="1"/>
      <protection locked="0"/>
    </xf>
    <xf numFmtId="181" fontId="91" fillId="0" borderId="95" xfId="33111" applyNumberFormat="1" applyFont="1" applyBorder="1" applyAlignment="1" applyProtection="1">
      <alignment horizontal="right" vertical="center" wrapText="1"/>
      <protection locked="0"/>
    </xf>
    <xf numFmtId="172" fontId="91" fillId="0" borderId="94" xfId="33111" applyNumberFormat="1" applyFont="1" applyBorder="1" applyAlignment="1" applyProtection="1">
      <alignment horizontal="right" vertical="center" wrapText="1"/>
      <protection locked="0"/>
    </xf>
    <xf numFmtId="172" fontId="91" fillId="0" borderId="95" xfId="33111" applyNumberFormat="1" applyFont="1" applyBorder="1" applyAlignment="1" applyProtection="1">
      <alignment horizontal="right" vertical="center" wrapText="1"/>
      <protection locked="0"/>
    </xf>
    <xf numFmtId="172" fontId="90" fillId="0" borderId="95" xfId="33111" quotePrefix="1" applyNumberFormat="1" applyFont="1" applyBorder="1" applyAlignment="1" applyProtection="1">
      <alignment vertical="center" wrapText="1"/>
      <protection locked="0"/>
    </xf>
    <xf numFmtId="172" fontId="91" fillId="0" borderId="101" xfId="33111" applyNumberFormat="1" applyFont="1" applyBorder="1" applyAlignment="1" applyProtection="1">
      <alignment horizontal="right" vertical="center" wrapText="1"/>
      <protection locked="0"/>
    </xf>
    <xf numFmtId="0" fontId="91" fillId="0" borderId="58" xfId="33111" applyFont="1" applyBorder="1" applyAlignment="1" applyProtection="1">
      <alignment vertical="top" wrapText="1"/>
      <protection locked="0"/>
    </xf>
    <xf numFmtId="0" fontId="91" fillId="0" borderId="57" xfId="33111" applyFont="1" applyBorder="1" applyAlignment="1" applyProtection="1">
      <alignment vertical="top" wrapText="1"/>
      <protection locked="0"/>
    </xf>
    <xf numFmtId="172" fontId="91" fillId="0" borderId="57" xfId="33111" applyNumberFormat="1" applyFont="1" applyBorder="1" applyAlignment="1" applyProtection="1">
      <alignment horizontal="right" vertical="top" wrapText="1"/>
      <protection locked="0"/>
    </xf>
    <xf numFmtId="0" fontId="91" fillId="0" borderId="57" xfId="33111" applyFont="1" applyBorder="1" applyAlignment="1" applyProtection="1">
      <alignment horizontal="right" vertical="top" wrapText="1"/>
      <protection locked="0"/>
    </xf>
    <xf numFmtId="0" fontId="91" fillId="0" borderId="1" xfId="33111" applyFont="1" applyBorder="1" applyAlignment="1" applyProtection="1">
      <alignment vertical="top" wrapText="1"/>
      <protection locked="0"/>
    </xf>
    <xf numFmtId="172" fontId="91" fillId="0" borderId="1" xfId="33111" applyNumberFormat="1" applyFont="1" applyBorder="1" applyAlignment="1" applyProtection="1">
      <alignment horizontal="right" vertical="top" wrapText="1"/>
      <protection locked="0"/>
    </xf>
    <xf numFmtId="0" fontId="91" fillId="0" borderId="1" xfId="33111" applyFont="1" applyBorder="1" applyAlignment="1" applyProtection="1">
      <alignment horizontal="right" vertical="top" wrapText="1"/>
      <protection locked="0"/>
    </xf>
    <xf numFmtId="0" fontId="121" fillId="0" borderId="0" xfId="33111" applyFont="1" applyAlignment="1" applyProtection="1">
      <alignment vertical="top" wrapText="1"/>
      <protection locked="0"/>
    </xf>
    <xf numFmtId="181" fontId="89" fillId="0" borderId="85" xfId="33111" applyNumberFormat="1" applyFont="1" applyBorder="1" applyAlignment="1" applyProtection="1">
      <alignment horizontal="right" vertical="top" wrapText="1"/>
      <protection locked="0"/>
    </xf>
    <xf numFmtId="0" fontId="89" fillId="0" borderId="86" xfId="33111" applyFont="1" applyBorder="1" applyAlignment="1" applyProtection="1">
      <alignment horizontal="left" vertical="top" wrapText="1"/>
      <protection locked="0"/>
    </xf>
    <xf numFmtId="191" fontId="90" fillId="0" borderId="81" xfId="33111" applyNumberFormat="1" applyFont="1" applyBorder="1" applyAlignment="1" applyProtection="1">
      <alignment horizontal="right" vertical="top" wrapText="1"/>
      <protection locked="0"/>
    </xf>
    <xf numFmtId="0" fontId="90" fillId="0" borderId="82" xfId="33111" applyFont="1" applyBorder="1" applyAlignment="1" applyProtection="1">
      <alignment horizontal="left" vertical="top" wrapText="1"/>
      <protection locked="0"/>
    </xf>
    <xf numFmtId="187" fontId="128" fillId="2" borderId="0" xfId="33111" applyNumberFormat="1" applyFont="1" applyFill="1" applyAlignment="1" applyProtection="1">
      <alignment horizontal="right" vertical="top"/>
      <protection locked="0"/>
    </xf>
    <xf numFmtId="0" fontId="128" fillId="0" borderId="0" xfId="33111" applyFont="1" applyAlignment="1" applyProtection="1">
      <alignment horizontal="left" vertical="top"/>
      <protection locked="0"/>
    </xf>
    <xf numFmtId="174" fontId="128" fillId="0" borderId="0" xfId="33111" applyNumberFormat="1" applyFont="1" applyAlignment="1" applyProtection="1">
      <alignment horizontal="right" vertical="top"/>
      <protection locked="0"/>
    </xf>
    <xf numFmtId="0" fontId="128" fillId="0" borderId="0" xfId="33111" quotePrefix="1" applyFont="1" applyAlignment="1" applyProtection="1">
      <alignment horizontal="left" vertical="top"/>
      <protection locked="0"/>
    </xf>
    <xf numFmtId="174" fontId="119" fillId="0" borderId="0" xfId="33111" applyNumberFormat="1" applyAlignment="1" applyProtection="1">
      <alignment horizontal="right" vertical="top"/>
      <protection locked="0"/>
    </xf>
    <xf numFmtId="207" fontId="92" fillId="0" borderId="47" xfId="0" applyNumberFormat="1" applyFont="1" applyBorder="1" applyAlignment="1">
      <alignment horizontal="right" vertical="top"/>
    </xf>
    <xf numFmtId="172" fontId="89" fillId="0" borderId="52" xfId="0" applyNumberFormat="1" applyFont="1" applyBorder="1" applyAlignment="1">
      <alignment horizontal="right" vertical="top"/>
    </xf>
    <xf numFmtId="0" fontId="92" fillId="3" borderId="47" xfId="0" applyFont="1" applyFill="1" applyBorder="1"/>
    <xf numFmtId="172" fontId="91" fillId="3" borderId="47" xfId="0" applyNumberFormat="1" applyFont="1" applyFill="1" applyBorder="1" applyAlignment="1">
      <alignment horizontal="right" vertical="top"/>
    </xf>
    <xf numFmtId="172" fontId="92" fillId="0" borderId="57" xfId="0" applyNumberFormat="1" applyFont="1" applyBorder="1" applyAlignment="1">
      <alignment horizontal="right" vertical="top"/>
    </xf>
    <xf numFmtId="174" fontId="171" fillId="2" borderId="47" xfId="0" applyNumberFormat="1" applyFont="1" applyFill="1" applyBorder="1" applyAlignment="1">
      <alignment horizontal="center" vertical="top"/>
    </xf>
    <xf numFmtId="172" fontId="171" fillId="2" borderId="47" xfId="0" applyNumberFormat="1" applyFont="1" applyFill="1" applyBorder="1" applyAlignment="1">
      <alignment horizontal="center" vertical="top"/>
    </xf>
    <xf numFmtId="0" fontId="105" fillId="0" borderId="0" xfId="0" applyFont="1" applyAlignment="1">
      <alignment horizontal="center"/>
    </xf>
    <xf numFmtId="219" fontId="90" fillId="0" borderId="55" xfId="11" applyNumberFormat="1" applyFont="1" applyFill="1" applyBorder="1" applyAlignment="1" applyProtection="1">
      <alignment horizontal="right"/>
    </xf>
    <xf numFmtId="0" fontId="92" fillId="63" borderId="13" xfId="0" applyFont="1" applyFill="1" applyBorder="1"/>
    <xf numFmtId="0" fontId="92" fillId="63" borderId="11" xfId="0" applyFont="1" applyFill="1" applyBorder="1"/>
    <xf numFmtId="0" fontId="92" fillId="63" borderId="12" xfId="0" applyFont="1" applyFill="1" applyBorder="1"/>
    <xf numFmtId="0" fontId="92" fillId="63" borderId="10" xfId="0" applyFont="1" applyFill="1" applyBorder="1"/>
    <xf numFmtId="0" fontId="92" fillId="63" borderId="9" xfId="0" applyFont="1" applyFill="1" applyBorder="1"/>
    <xf numFmtId="172" fontId="171" fillId="2" borderId="0" xfId="0" applyNumberFormat="1" applyFont="1" applyFill="1" applyProtection="1">
      <protection locked="0"/>
    </xf>
    <xf numFmtId="172" fontId="91" fillId="0" borderId="57" xfId="0" applyNumberFormat="1" applyFont="1" applyBorder="1" applyProtection="1">
      <protection locked="0"/>
    </xf>
    <xf numFmtId="172" fontId="92" fillId="0" borderId="57" xfId="0" applyNumberFormat="1" applyFont="1" applyBorder="1" applyProtection="1">
      <protection locked="0"/>
    </xf>
    <xf numFmtId="172" fontId="92" fillId="0" borderId="57" xfId="0" applyNumberFormat="1" applyFont="1" applyBorder="1"/>
    <xf numFmtId="172" fontId="91" fillId="0" borderId="65" xfId="0" applyNumberFormat="1" applyFont="1" applyBorder="1"/>
    <xf numFmtId="0" fontId="102" fillId="63" borderId="1" xfId="0" applyFont="1" applyFill="1" applyBorder="1"/>
    <xf numFmtId="209" fontId="91" fillId="63" borderId="1" xfId="33110" applyNumberFormat="1" applyFont="1" applyFill="1" applyBorder="1"/>
    <xf numFmtId="183" fontId="92" fillId="63" borderId="1" xfId="4" applyNumberFormat="1" applyFont="1" applyFill="1" applyBorder="1"/>
    <xf numFmtId="183" fontId="92" fillId="63" borderId="1" xfId="4" applyNumberFormat="1" applyFont="1" applyFill="1" applyBorder="1" applyAlignment="1">
      <alignment horizontal="center"/>
    </xf>
    <xf numFmtId="0" fontId="179" fillId="61" borderId="47" xfId="7" applyFont="1" applyFill="1" applyBorder="1" applyAlignment="1" applyProtection="1">
      <alignment horizontal="left" vertical="center"/>
    </xf>
    <xf numFmtId="0" fontId="179" fillId="0" borderId="47" xfId="7" applyFont="1" applyBorder="1" applyAlignment="1" applyProtection="1">
      <alignment horizontal="left" vertical="center"/>
    </xf>
    <xf numFmtId="0" fontId="179" fillId="0" borderId="47" xfId="7" applyFont="1" applyBorder="1" applyAlignment="1" applyProtection="1">
      <alignment horizontal="left" vertical="center" wrapText="1"/>
    </xf>
    <xf numFmtId="0" fontId="183" fillId="0" borderId="47" xfId="7" applyFont="1" applyBorder="1" applyAlignment="1" applyProtection="1"/>
    <xf numFmtId="174" fontId="90" fillId="0" borderId="47" xfId="9" applyNumberFormat="1" applyFont="1" applyFill="1" applyBorder="1" applyAlignment="1" applyProtection="1">
      <alignment horizontal="right" vertical="top"/>
      <protection locked="0"/>
    </xf>
    <xf numFmtId="174" fontId="90" fillId="0" borderId="47" xfId="9" applyNumberFormat="1" applyFont="1" applyFill="1" applyBorder="1" applyAlignment="1" applyProtection="1">
      <alignment horizontal="right" vertical="top"/>
    </xf>
    <xf numFmtId="174" fontId="91" fillId="0" borderId="47" xfId="9" applyNumberFormat="1" applyFont="1" applyFill="1" applyBorder="1" applyAlignment="1" applyProtection="1">
      <alignment horizontal="right" vertical="top"/>
      <protection locked="0"/>
    </xf>
    <xf numFmtId="172" fontId="90" fillId="0" borderId="50" xfId="13330" applyNumberFormat="1" applyFont="1" applyFill="1" applyBorder="1" applyAlignment="1">
      <alignment horizontal="right" vertical="top"/>
    </xf>
    <xf numFmtId="172" fontId="90" fillId="0" borderId="51" xfId="9" applyNumberFormat="1" applyFont="1" applyFill="1" applyBorder="1" applyAlignment="1" applyProtection="1">
      <alignment horizontal="right" vertical="top"/>
    </xf>
    <xf numFmtId="9" fontId="90" fillId="0" borderId="47" xfId="9" applyFont="1" applyFill="1" applyBorder="1" applyAlignment="1" applyProtection="1">
      <alignment horizontal="right" vertical="top"/>
      <protection locked="0"/>
    </xf>
    <xf numFmtId="172" fontId="96" fillId="0" borderId="47" xfId="9" applyNumberFormat="1" applyFont="1" applyFill="1" applyBorder="1" applyAlignment="1" applyProtection="1">
      <alignment horizontal="right" vertical="top"/>
      <protection locked="0"/>
    </xf>
    <xf numFmtId="0" fontId="184" fillId="0" borderId="57" xfId="0" applyFont="1" applyBorder="1"/>
    <xf numFmtId="174" fontId="116" fillId="69" borderId="66" xfId="6" quotePrefix="1" applyNumberFormat="1" applyFont="1" applyFill="1" applyBorder="1" applyProtection="1">
      <protection locked="0"/>
    </xf>
    <xf numFmtId="172" fontId="116" fillId="69" borderId="55" xfId="6" applyNumberFormat="1" applyFont="1" applyFill="1" applyBorder="1" applyProtection="1">
      <protection locked="0"/>
    </xf>
    <xf numFmtId="0" fontId="105" fillId="65" borderId="47" xfId="0" applyFont="1" applyFill="1" applyBorder="1" applyProtection="1">
      <protection locked="0"/>
    </xf>
    <xf numFmtId="220" fontId="95" fillId="0" borderId="0" xfId="8" quotePrefix="1" applyNumberFormat="1" applyFont="1" applyAlignment="1">
      <alignment horizontal="center" wrapText="1"/>
    </xf>
    <xf numFmtId="174" fontId="104" fillId="65" borderId="0" xfId="0" quotePrefix="1" applyNumberFormat="1" applyFont="1" applyFill="1" applyAlignment="1">
      <alignment horizontal="right"/>
    </xf>
    <xf numFmtId="172" fontId="96" fillId="69" borderId="74" xfId="0" applyNumberFormat="1" applyFont="1" applyFill="1" applyBorder="1" applyAlignment="1" applyProtection="1">
      <alignment horizontal="right"/>
      <protection locked="0"/>
    </xf>
    <xf numFmtId="172" fontId="96" fillId="69" borderId="67" xfId="0" applyNumberFormat="1" applyFont="1" applyFill="1" applyBorder="1" applyAlignment="1" applyProtection="1">
      <alignment horizontal="right"/>
      <protection locked="0"/>
    </xf>
    <xf numFmtId="172" fontId="96" fillId="69" borderId="55" xfId="0" applyNumberFormat="1" applyFont="1" applyFill="1" applyBorder="1" applyAlignment="1" applyProtection="1">
      <alignment horizontal="right"/>
      <protection locked="0"/>
    </xf>
    <xf numFmtId="172" fontId="96" fillId="69" borderId="124" xfId="0" applyNumberFormat="1" applyFont="1" applyFill="1" applyBorder="1" applyAlignment="1" applyProtection="1">
      <alignment horizontal="right"/>
      <protection locked="0"/>
    </xf>
    <xf numFmtId="172" fontId="96" fillId="69" borderId="121" xfId="0" applyNumberFormat="1" applyFont="1" applyFill="1" applyBorder="1" applyAlignment="1" applyProtection="1">
      <alignment horizontal="right"/>
      <protection locked="0"/>
    </xf>
    <xf numFmtId="172" fontId="96" fillId="69" borderId="102" xfId="0" applyNumberFormat="1" applyFont="1" applyFill="1" applyBorder="1" applyAlignment="1" applyProtection="1">
      <alignment horizontal="right"/>
      <protection locked="0"/>
    </xf>
    <xf numFmtId="172" fontId="96" fillId="69" borderId="50" xfId="0" applyNumberFormat="1" applyFont="1" applyFill="1" applyBorder="1" applyProtection="1">
      <protection locked="0"/>
    </xf>
    <xf numFmtId="0" fontId="147" fillId="2" borderId="47" xfId="0" applyFont="1" applyFill="1" applyBorder="1" applyProtection="1">
      <protection locked="0"/>
    </xf>
    <xf numFmtId="0" fontId="147" fillId="2" borderId="50" xfId="0" applyFont="1" applyFill="1" applyBorder="1" applyProtection="1">
      <protection locked="0"/>
    </xf>
    <xf numFmtId="0" fontId="185" fillId="0" borderId="0" xfId="7" applyFont="1" applyAlignment="1" applyProtection="1"/>
    <xf numFmtId="222" fontId="91" fillId="0" borderId="0" xfId="0" applyNumberFormat="1" applyFont="1" applyAlignment="1">
      <alignment horizontal="right"/>
    </xf>
    <xf numFmtId="223" fontId="91" fillId="3" borderId="0" xfId="0" applyNumberFormat="1" applyFont="1" applyFill="1" applyAlignment="1">
      <alignment horizontal="right"/>
    </xf>
    <xf numFmtId="0" fontId="165" fillId="0" borderId="0" xfId="0" applyFont="1"/>
    <xf numFmtId="189" fontId="83" fillId="2" borderId="0" xfId="0" applyNumberFormat="1" applyFont="1" applyFill="1" applyAlignment="1">
      <alignment horizontal="right"/>
    </xf>
    <xf numFmtId="175" fontId="83" fillId="2" borderId="0" xfId="0" applyNumberFormat="1" applyFont="1" applyFill="1" applyAlignment="1">
      <alignment horizontal="right"/>
    </xf>
    <xf numFmtId="0" fontId="11" fillId="67" borderId="0" xfId="0" applyFont="1" applyFill="1" applyAlignment="1">
      <alignment horizontal="left" indent="1"/>
    </xf>
    <xf numFmtId="0" fontId="186" fillId="67" borderId="0" xfId="0" applyFont="1" applyFill="1"/>
    <xf numFmtId="0" fontId="146" fillId="0" borderId="0" xfId="0" applyFont="1" applyAlignment="1">
      <alignment wrapText="1"/>
    </xf>
    <xf numFmtId="0" fontId="91" fillId="3" borderId="0" xfId="0" quotePrefix="1" applyFont="1" applyFill="1"/>
    <xf numFmtId="175" fontId="92" fillId="3" borderId="0" xfId="0" applyNumberFormat="1" applyFont="1" applyFill="1" applyAlignment="1">
      <alignment horizontal="right"/>
    </xf>
    <xf numFmtId="175" fontId="91" fillId="3" borderId="0" xfId="0" applyNumberFormat="1" applyFont="1" applyFill="1" applyAlignment="1">
      <alignment horizontal="right"/>
    </xf>
    <xf numFmtId="172" fontId="91" fillId="0" borderId="0" xfId="0" applyNumberFormat="1" applyFont="1" applyAlignment="1" applyProtection="1">
      <alignment horizontal="center"/>
      <protection locked="0"/>
    </xf>
    <xf numFmtId="172" fontId="104" fillId="0" borderId="57" xfId="0" applyNumberFormat="1" applyFont="1" applyBorder="1" applyAlignment="1">
      <alignment horizontal="right" vertical="top"/>
    </xf>
    <xf numFmtId="0" fontId="92" fillId="62" borderId="65" xfId="0" applyFont="1" applyFill="1" applyBorder="1" applyAlignment="1">
      <alignment wrapText="1"/>
    </xf>
    <xf numFmtId="173" fontId="92" fillId="0" borderId="0" xfId="0" applyNumberFormat="1" applyFont="1" applyAlignment="1">
      <alignment horizontal="right" vertical="top"/>
    </xf>
    <xf numFmtId="224" fontId="91" fillId="0" borderId="0" xfId="0" applyNumberFormat="1" applyFont="1" applyAlignment="1">
      <alignment horizontal="right"/>
    </xf>
    <xf numFmtId="176" fontId="91" fillId="0" borderId="0" xfId="0" applyNumberFormat="1" applyFont="1" applyAlignment="1">
      <alignment horizontal="right"/>
    </xf>
    <xf numFmtId="0" fontId="92" fillId="61" borderId="1" xfId="0" applyFont="1" applyFill="1" applyBorder="1" applyProtection="1">
      <protection locked="0"/>
    </xf>
    <xf numFmtId="189" fontId="96" fillId="4" borderId="55" xfId="11" applyNumberFormat="1" applyFont="1" applyBorder="1" applyAlignment="1" applyProtection="1">
      <alignment horizontal="center"/>
      <protection locked="0"/>
    </xf>
    <xf numFmtId="0" fontId="162" fillId="0" borderId="47" xfId="7" applyFont="1" applyBorder="1" applyAlignment="1" applyProtection="1">
      <alignment horizontal="left" vertical="center"/>
    </xf>
    <xf numFmtId="175" fontId="105" fillId="0" borderId="0" xfId="0" applyNumberFormat="1" applyFont="1"/>
    <xf numFmtId="0" fontId="92" fillId="62" borderId="57" xfId="0" applyFont="1" applyFill="1" applyBorder="1" applyAlignment="1">
      <alignment horizontal="center" wrapText="1"/>
    </xf>
    <xf numFmtId="0" fontId="89" fillId="65" borderId="47" xfId="0" applyFont="1" applyFill="1" applyBorder="1" applyProtection="1">
      <protection locked="0"/>
    </xf>
    <xf numFmtId="0" fontId="90" fillId="65" borderId="47" xfId="0" applyFont="1" applyFill="1" applyBorder="1" applyProtection="1">
      <protection locked="0"/>
    </xf>
    <xf numFmtId="0" fontId="90" fillId="65" borderId="47" xfId="0" applyFont="1" applyFill="1" applyBorder="1" applyAlignment="1" applyProtection="1">
      <alignment horizontal="center"/>
      <protection locked="0"/>
    </xf>
    <xf numFmtId="49" fontId="90" fillId="65" borderId="47" xfId="0" applyNumberFormat="1" applyFont="1" applyFill="1" applyBorder="1" applyAlignment="1" applyProtection="1">
      <alignment horizontal="center"/>
      <protection locked="0"/>
    </xf>
    <xf numFmtId="172" fontId="90" fillId="65" borderId="47" xfId="0" applyNumberFormat="1" applyFont="1" applyFill="1" applyBorder="1" applyProtection="1">
      <protection locked="0"/>
    </xf>
    <xf numFmtId="173" fontId="90" fillId="65" borderId="120" xfId="0" applyNumberFormat="1" applyFont="1" applyFill="1" applyBorder="1" applyAlignment="1" applyProtection="1">
      <alignment horizontal="center"/>
      <protection locked="0"/>
    </xf>
    <xf numFmtId="0" fontId="90" fillId="65" borderId="52" xfId="0" applyFont="1" applyFill="1" applyBorder="1" applyAlignment="1" applyProtection="1">
      <alignment horizontal="center"/>
      <protection locked="0"/>
    </xf>
    <xf numFmtId="49" fontId="90" fillId="65" borderId="52" xfId="0" applyNumberFormat="1" applyFont="1" applyFill="1" applyBorder="1" applyAlignment="1" applyProtection="1">
      <alignment horizontal="center"/>
      <protection locked="0"/>
    </xf>
    <xf numFmtId="172" fontId="90" fillId="65" borderId="52" xfId="0" applyNumberFormat="1" applyFont="1" applyFill="1" applyBorder="1" applyProtection="1">
      <protection locked="0"/>
    </xf>
    <xf numFmtId="193" fontId="90" fillId="65" borderId="119" xfId="0" applyNumberFormat="1" applyFont="1" applyFill="1" applyBorder="1" applyAlignment="1" applyProtection="1">
      <alignment horizontal="center"/>
      <protection locked="0"/>
    </xf>
    <xf numFmtId="172" fontId="116" fillId="69" borderId="109" xfId="6" applyNumberFormat="1" applyFont="1" applyFill="1" applyBorder="1" applyProtection="1">
      <protection locked="0"/>
    </xf>
    <xf numFmtId="172" fontId="116" fillId="73" borderId="55" xfId="6" applyNumberFormat="1" applyFont="1" applyFill="1" applyBorder="1" applyProtection="1">
      <protection locked="0"/>
    </xf>
    <xf numFmtId="172" fontId="116" fillId="73" borderId="103" xfId="6" applyNumberFormat="1" applyFont="1" applyFill="1" applyBorder="1" applyProtection="1">
      <protection locked="0"/>
    </xf>
    <xf numFmtId="172" fontId="116" fillId="73" borderId="102" xfId="6" applyNumberFormat="1" applyFont="1" applyFill="1" applyBorder="1" applyProtection="1">
      <protection locked="0"/>
    </xf>
    <xf numFmtId="216" fontId="11" fillId="0" borderId="0" xfId="0" applyNumberFormat="1" applyFont="1" applyAlignment="1">
      <alignment horizontal="right"/>
    </xf>
    <xf numFmtId="217" fontId="11" fillId="0" borderId="0" xfId="0" applyNumberFormat="1" applyFont="1" applyAlignment="1">
      <alignment horizontal="right"/>
    </xf>
    <xf numFmtId="0" fontId="104" fillId="63" borderId="59" xfId="0" applyFont="1" applyFill="1" applyBorder="1"/>
    <xf numFmtId="0" fontId="92" fillId="63" borderId="57" xfId="0" applyFont="1" applyFill="1" applyBorder="1" applyAlignment="1">
      <alignment horizontal="center"/>
    </xf>
    <xf numFmtId="0" fontId="92" fillId="63" borderId="40" xfId="0" applyFont="1" applyFill="1" applyBorder="1" applyAlignment="1">
      <alignment horizontal="center"/>
    </xf>
    <xf numFmtId="188" fontId="92" fillId="63" borderId="63" xfId="0" applyNumberFormat="1" applyFont="1" applyFill="1" applyBorder="1" applyAlignment="1">
      <alignment horizontal="center"/>
    </xf>
    <xf numFmtId="0" fontId="104" fillId="63" borderId="18" xfId="0" applyFont="1" applyFill="1" applyBorder="1"/>
    <xf numFmtId="188" fontId="92" fillId="63" borderId="14" xfId="0" applyNumberFormat="1" applyFont="1" applyFill="1" applyBorder="1" applyAlignment="1">
      <alignment horizontal="center"/>
    </xf>
    <xf numFmtId="0" fontId="104" fillId="63" borderId="15" xfId="0" applyFont="1" applyFill="1" applyBorder="1"/>
    <xf numFmtId="0" fontId="92" fillId="63" borderId="17" xfId="0" quotePrefix="1" applyFont="1" applyFill="1" applyBorder="1" applyAlignment="1">
      <alignment horizontal="center"/>
    </xf>
    <xf numFmtId="172" fontId="187" fillId="0" borderId="0" xfId="6628" applyNumberFormat="1" applyFont="1"/>
    <xf numFmtId="172" fontId="188" fillId="0" borderId="0" xfId="7" applyNumberFormat="1" applyFont="1" applyAlignment="1" applyProtection="1"/>
    <xf numFmtId="174" fontId="171" fillId="2" borderId="0" xfId="0" applyNumberFormat="1" applyFont="1" applyFill="1" applyProtection="1">
      <protection locked="0"/>
    </xf>
    <xf numFmtId="0" fontId="92" fillId="63" borderId="139" xfId="0" applyFont="1" applyFill="1" applyBorder="1" applyAlignment="1">
      <alignment horizontal="right"/>
    </xf>
    <xf numFmtId="0" fontId="118" fillId="2" borderId="55" xfId="0" applyFont="1" applyFill="1" applyBorder="1" applyAlignment="1" applyProtection="1">
      <alignment horizontal="left"/>
      <protection locked="0"/>
    </xf>
    <xf numFmtId="0" fontId="107" fillId="0" borderId="47" xfId="0" applyFont="1" applyBorder="1" applyAlignment="1">
      <alignment vertical="center"/>
    </xf>
    <xf numFmtId="0" fontId="0" fillId="0" borderId="0" xfId="0" applyAlignment="1">
      <alignment vertical="center"/>
    </xf>
    <xf numFmtId="0" fontId="189" fillId="3" borderId="0" xfId="7" applyFont="1" applyFill="1" applyBorder="1" applyAlignment="1" applyProtection="1"/>
    <xf numFmtId="175" fontId="92" fillId="3" borderId="57" xfId="0" applyNumberFormat="1" applyFont="1" applyFill="1" applyBorder="1" applyAlignment="1">
      <alignment horizontal="right"/>
    </xf>
    <xf numFmtId="172" fontId="92" fillId="3" borderId="1" xfId="0" applyNumberFormat="1" applyFont="1" applyFill="1" applyBorder="1" applyAlignment="1">
      <alignment horizontal="center"/>
    </xf>
    <xf numFmtId="175" fontId="92" fillId="3" borderId="1" xfId="0" applyNumberFormat="1" applyFont="1" applyFill="1" applyBorder="1" applyAlignment="1">
      <alignment horizontal="right"/>
    </xf>
    <xf numFmtId="10" fontId="90" fillId="0" borderId="55" xfId="11" applyNumberFormat="1" applyFont="1" applyFill="1" applyBorder="1" applyAlignment="1" applyProtection="1">
      <alignment horizontal="center" vertical="top"/>
    </xf>
    <xf numFmtId="0" fontId="190" fillId="0" borderId="0" xfId="7" applyFont="1" applyAlignment="1" applyProtection="1"/>
    <xf numFmtId="174" fontId="89" fillId="0" borderId="57" xfId="0" applyNumberFormat="1" applyFont="1" applyBorder="1"/>
    <xf numFmtId="189" fontId="96" fillId="4" borderId="55" xfId="11" applyNumberFormat="1" applyFont="1" applyBorder="1" applyAlignment="1" applyProtection="1">
      <alignment horizontal="center" vertical="top"/>
      <protection locked="0"/>
    </xf>
    <xf numFmtId="10" fontId="91" fillId="3" borderId="0" xfId="9" quotePrefix="1" applyNumberFormat="1" applyFont="1" applyFill="1" applyBorder="1" applyAlignment="1">
      <alignment horizontal="left" vertical="top"/>
    </xf>
    <xf numFmtId="1" fontId="96" fillId="2" borderId="102" xfId="0" applyNumberFormat="1" applyFont="1" applyFill="1" applyBorder="1" applyAlignment="1" applyProtection="1">
      <alignment horizontal="center" vertical="top"/>
      <protection locked="0"/>
    </xf>
    <xf numFmtId="172" fontId="96" fillId="2" borderId="102" xfId="0" applyNumberFormat="1" applyFont="1" applyFill="1" applyBorder="1" applyAlignment="1" applyProtection="1">
      <alignment horizontal="right" vertical="top"/>
      <protection locked="0"/>
    </xf>
    <xf numFmtId="1" fontId="96" fillId="2" borderId="103" xfId="0" applyNumberFormat="1" applyFont="1" applyFill="1" applyBorder="1" applyAlignment="1" applyProtection="1">
      <alignment horizontal="center" vertical="top"/>
      <protection locked="0"/>
    </xf>
    <xf numFmtId="175" fontId="106" fillId="0" borderId="0" xfId="9" applyNumberFormat="1" applyFont="1" applyAlignment="1" applyProtection="1">
      <alignment horizontal="right"/>
    </xf>
    <xf numFmtId="173" fontId="92" fillId="0" borderId="57" xfId="0" applyNumberFormat="1" applyFont="1" applyBorder="1" applyProtection="1">
      <protection locked="0"/>
    </xf>
    <xf numFmtId="0" fontId="92" fillId="67" borderId="5" xfId="0" applyFont="1" applyFill="1" applyBorder="1"/>
    <xf numFmtId="174" fontId="92" fillId="67" borderId="6" xfId="0" applyNumberFormat="1" applyFont="1" applyFill="1" applyBorder="1" applyAlignment="1">
      <alignment horizontal="right"/>
    </xf>
    <xf numFmtId="0" fontId="92" fillId="67" borderId="6" xfId="0" applyFont="1" applyFill="1" applyBorder="1"/>
    <xf numFmtId="202" fontId="92" fillId="0" borderId="0" xfId="0" applyNumberFormat="1" applyFont="1"/>
    <xf numFmtId="194" fontId="61" fillId="59" borderId="65" xfId="0" applyNumberFormat="1" applyFont="1" applyFill="1" applyBorder="1"/>
    <xf numFmtId="172" fontId="95" fillId="0" borderId="1" xfId="6" applyNumberFormat="1" applyFont="1" applyBorder="1" applyProtection="1"/>
    <xf numFmtId="221" fontId="92" fillId="63" borderId="69" xfId="0" applyNumberFormat="1" applyFont="1" applyFill="1" applyBorder="1" applyAlignment="1">
      <alignment horizontal="right"/>
    </xf>
    <xf numFmtId="0" fontId="108" fillId="0" borderId="0" xfId="7" applyFont="1" applyFill="1" applyBorder="1" applyAlignment="1" applyProtection="1">
      <alignment wrapText="1"/>
    </xf>
    <xf numFmtId="164" fontId="91" fillId="0" borderId="1" xfId="0" applyNumberFormat="1" applyFont="1" applyBorder="1" applyAlignment="1">
      <alignment horizontal="center" vertical="top"/>
    </xf>
    <xf numFmtId="0" fontId="104" fillId="0" borderId="50" xfId="0" applyFont="1" applyBorder="1"/>
    <xf numFmtId="0" fontId="100" fillId="0" borderId="50" xfId="7" applyFont="1" applyFill="1" applyBorder="1" applyAlignment="1" applyProtection="1">
      <alignment horizontal="right" wrapText="1" indent="1"/>
    </xf>
    <xf numFmtId="0" fontId="107" fillId="0" borderId="50" xfId="0" applyFont="1" applyBorder="1" applyAlignment="1">
      <alignment horizontal="center" vertical="top"/>
    </xf>
    <xf numFmtId="175" fontId="94" fillId="60" borderId="0" xfId="6" applyNumberFormat="1" applyFont="1" applyFill="1" applyBorder="1" applyProtection="1"/>
    <xf numFmtId="175" fontId="94" fillId="73" borderId="0" xfId="6" applyNumberFormat="1" applyFont="1" applyFill="1" applyBorder="1" applyProtection="1"/>
    <xf numFmtId="0" fontId="185" fillId="62" borderId="0" xfId="7" applyFont="1" applyFill="1" applyAlignment="1" applyProtection="1"/>
    <xf numFmtId="0" fontId="185" fillId="2" borderId="0" xfId="7" applyFont="1" applyFill="1" applyAlignment="1" applyProtection="1"/>
    <xf numFmtId="0" fontId="107" fillId="0" borderId="0" xfId="0" applyFont="1" applyAlignment="1">
      <alignment horizontal="left"/>
    </xf>
    <xf numFmtId="174" fontId="83" fillId="2" borderId="0" xfId="0" applyNumberFormat="1" applyFont="1" applyFill="1" applyAlignment="1">
      <alignment horizontal="right"/>
    </xf>
    <xf numFmtId="0" fontId="92" fillId="0" borderId="1" xfId="0" applyFont="1" applyBorder="1"/>
    <xf numFmtId="0" fontId="96" fillId="2" borderId="50" xfId="0" applyFont="1" applyFill="1" applyBorder="1" applyProtection="1">
      <protection locked="0"/>
    </xf>
    <xf numFmtId="0" fontId="96" fillId="2" borderId="47" xfId="0" applyFont="1" applyFill="1" applyBorder="1" applyProtection="1">
      <protection locked="0"/>
    </xf>
    <xf numFmtId="0" fontId="64" fillId="5" borderId="0" xfId="0" applyFont="1" applyFill="1"/>
    <xf numFmtId="0" fontId="92" fillId="62" borderId="57" xfId="0" applyFont="1" applyFill="1" applyBorder="1" applyAlignment="1">
      <alignment wrapText="1"/>
    </xf>
    <xf numFmtId="0" fontId="92" fillId="0" borderId="69" xfId="0" applyFont="1" applyBorder="1" applyAlignment="1">
      <alignment horizontal="center"/>
    </xf>
    <xf numFmtId="0" fontId="134" fillId="0" borderId="0" xfId="0" applyFont="1" applyAlignment="1">
      <alignment horizontal="center"/>
    </xf>
    <xf numFmtId="172" fontId="15" fillId="0" borderId="57" xfId="6628" applyNumberFormat="1" applyFont="1" applyBorder="1" applyAlignment="1">
      <alignment horizontal="center"/>
    </xf>
    <xf numFmtId="0" fontId="134" fillId="60" borderId="1" xfId="0" applyFont="1" applyFill="1" applyBorder="1"/>
    <xf numFmtId="0" fontId="83" fillId="60" borderId="1" xfId="0" applyFont="1" applyFill="1" applyBorder="1"/>
    <xf numFmtId="0" fontId="92" fillId="2" borderId="135" xfId="0" applyFont="1" applyFill="1" applyBorder="1" applyAlignment="1" applyProtection="1">
      <alignment horizontal="left"/>
      <protection locked="0"/>
    </xf>
    <xf numFmtId="0" fontId="102" fillId="0" borderId="57" xfId="7" applyFont="1" applyFill="1" applyBorder="1" applyAlignment="1" applyProtection="1">
      <alignment horizontal="left" wrapText="1" indent="1"/>
    </xf>
    <xf numFmtId="0" fontId="107" fillId="0" borderId="58" xfId="0" applyFont="1" applyBorder="1" applyAlignment="1">
      <alignment horizontal="center" vertical="top"/>
    </xf>
    <xf numFmtId="0" fontId="147" fillId="3" borderId="65" xfId="0" applyFont="1" applyFill="1" applyBorder="1"/>
    <xf numFmtId="0" fontId="91" fillId="0" borderId="65" xfId="0" applyFont="1" applyBorder="1"/>
    <xf numFmtId="165" fontId="90" fillId="0" borderId="55" xfId="11" applyNumberFormat="1" applyFont="1" applyFill="1" applyBorder="1" applyAlignment="1" applyProtection="1">
      <alignment horizontal="center" vertical="top"/>
      <protection locked="0"/>
    </xf>
    <xf numFmtId="174" fontId="0" fillId="67" borderId="47" xfId="0" applyNumberFormat="1" applyFill="1" applyBorder="1"/>
    <xf numFmtId="174" fontId="0" fillId="62" borderId="47" xfId="0" applyNumberFormat="1" applyFill="1" applyBorder="1"/>
    <xf numFmtId="0" fontId="13" fillId="0" borderId="0" xfId="0" applyFont="1"/>
    <xf numFmtId="0" fontId="91" fillId="0" borderId="103" xfId="0" applyFont="1" applyBorder="1"/>
    <xf numFmtId="172" fontId="166" fillId="0" borderId="55" xfId="9" applyNumberFormat="1" applyFont="1" applyFill="1" applyBorder="1" applyAlignment="1" applyProtection="1">
      <alignment horizontal="right" vertical="top"/>
    </xf>
    <xf numFmtId="172" fontId="175" fillId="0" borderId="102" xfId="9" applyNumberFormat="1" applyFont="1" applyFill="1" applyBorder="1" applyAlignment="1" applyProtection="1">
      <alignment horizontal="right" vertical="top"/>
    </xf>
    <xf numFmtId="172" fontId="176" fillId="0" borderId="57" xfId="9" applyNumberFormat="1" applyFont="1" applyFill="1" applyBorder="1" applyAlignment="1" applyProtection="1">
      <alignment vertical="top"/>
    </xf>
    <xf numFmtId="0" fontId="91" fillId="0" borderId="0" xfId="0" quotePrefix="1" applyFont="1" applyAlignment="1">
      <alignment horizontal="center"/>
    </xf>
    <xf numFmtId="0" fontId="105" fillId="0" borderId="52" xfId="0" applyFont="1" applyBorder="1"/>
    <xf numFmtId="0" fontId="91" fillId="0" borderId="52" xfId="0" applyFont="1" applyBorder="1" applyAlignment="1">
      <alignment horizontal="right"/>
    </xf>
    <xf numFmtId="195" fontId="91" fillId="0" borderId="47" xfId="0" applyNumberFormat="1" applyFont="1" applyBorder="1"/>
    <xf numFmtId="195" fontId="91" fillId="0" borderId="75" xfId="0" applyNumberFormat="1" applyFont="1" applyBorder="1"/>
    <xf numFmtId="9" fontId="92" fillId="0" borderId="55" xfId="9" applyFont="1" applyFill="1" applyBorder="1" applyAlignment="1" applyProtection="1">
      <alignment horizontal="center" vertical="top"/>
    </xf>
    <xf numFmtId="0" fontId="92" fillId="62" borderId="1" xfId="0" quotePrefix="1" applyFont="1" applyFill="1" applyBorder="1"/>
    <xf numFmtId="0" fontId="91" fillId="62" borderId="1" xfId="0" applyFont="1" applyFill="1" applyBorder="1" applyAlignment="1">
      <alignment horizontal="center"/>
    </xf>
    <xf numFmtId="0" fontId="91" fillId="0" borderId="52" xfId="0" applyFont="1" applyBorder="1" applyAlignment="1">
      <alignment horizontal="center"/>
    </xf>
    <xf numFmtId="9" fontId="175" fillId="0" borderId="55" xfId="9" applyFont="1" applyFill="1" applyBorder="1" applyAlignment="1" applyProtection="1">
      <alignment horizontal="center" vertical="top"/>
    </xf>
    <xf numFmtId="172" fontId="176" fillId="0" borderId="55" xfId="9" applyNumberFormat="1" applyFont="1" applyFill="1" applyBorder="1" applyAlignment="1" applyProtection="1">
      <alignment horizontal="center" vertical="top"/>
    </xf>
    <xf numFmtId="195" fontId="91" fillId="0" borderId="47" xfId="0" quotePrefix="1" applyNumberFormat="1" applyFont="1" applyBorder="1"/>
    <xf numFmtId="172" fontId="175" fillId="0" borderId="55" xfId="9" applyNumberFormat="1" applyFont="1" applyFill="1" applyBorder="1" applyAlignment="1" applyProtection="1">
      <alignment horizontal="center" vertical="top"/>
    </xf>
    <xf numFmtId="195" fontId="91" fillId="0" borderId="50" xfId="0" applyNumberFormat="1" applyFont="1" applyBorder="1"/>
    <xf numFmtId="9" fontId="175" fillId="0" borderId="102" xfId="9" applyFont="1" applyFill="1" applyBorder="1" applyAlignment="1" applyProtection="1">
      <alignment horizontal="center" vertical="top"/>
    </xf>
    <xf numFmtId="195" fontId="92" fillId="0" borderId="57" xfId="0" applyNumberFormat="1" applyFont="1" applyBorder="1"/>
    <xf numFmtId="172" fontId="176" fillId="0" borderId="57" xfId="9" applyNumberFormat="1" applyFont="1" applyFill="1" applyBorder="1" applyAlignment="1" applyProtection="1">
      <alignment horizontal="center" vertical="top"/>
    </xf>
    <xf numFmtId="195" fontId="91" fillId="0" borderId="57" xfId="0" applyNumberFormat="1" applyFont="1" applyBorder="1"/>
    <xf numFmtId="172" fontId="154" fillId="0" borderId="0" xfId="9" applyNumberFormat="1" applyFont="1" applyFill="1" applyBorder="1" applyAlignment="1" applyProtection="1">
      <alignment horizontal="center" vertical="top"/>
    </xf>
    <xf numFmtId="172" fontId="164" fillId="0" borderId="0" xfId="9" applyNumberFormat="1" applyFont="1" applyFill="1" applyBorder="1" applyAlignment="1" applyProtection="1">
      <alignment horizontal="right" vertical="top"/>
    </xf>
    <xf numFmtId="172" fontId="171" fillId="2" borderId="57" xfId="0" applyNumberFormat="1" applyFont="1" applyFill="1" applyBorder="1" applyAlignment="1" applyProtection="1">
      <alignment horizontal="right"/>
      <protection locked="0"/>
    </xf>
    <xf numFmtId="195" fontId="171" fillId="0" borderId="47" xfId="0" applyNumberFormat="1" applyFont="1" applyBorder="1"/>
    <xf numFmtId="0" fontId="91" fillId="0" borderId="0" xfId="0" quotePrefix="1" applyFont="1" applyAlignment="1">
      <alignment horizontal="left"/>
    </xf>
    <xf numFmtId="195" fontId="90" fillId="0" borderId="47" xfId="0" applyNumberFormat="1" applyFont="1" applyBorder="1" applyAlignment="1">
      <alignment horizontal="center"/>
    </xf>
    <xf numFmtId="189" fontId="90" fillId="0" borderId="47" xfId="0" applyNumberFormat="1" applyFont="1" applyBorder="1" applyAlignment="1">
      <alignment horizontal="center"/>
    </xf>
    <xf numFmtId="189" fontId="90" fillId="0" borderId="47" xfId="0" quotePrefix="1" applyNumberFormat="1" applyFont="1" applyBorder="1" applyAlignment="1">
      <alignment horizontal="center"/>
    </xf>
    <xf numFmtId="195" fontId="171" fillId="0" borderId="50" xfId="0" applyNumberFormat="1" applyFont="1" applyBorder="1" applyAlignment="1">
      <alignment horizontal="center"/>
    </xf>
    <xf numFmtId="195" fontId="90" fillId="0" borderId="50" xfId="0" applyNumberFormat="1" applyFont="1" applyBorder="1" applyAlignment="1">
      <alignment horizontal="center"/>
    </xf>
    <xf numFmtId="189" fontId="90" fillId="0" borderId="50" xfId="0" quotePrefix="1" applyNumberFormat="1" applyFont="1" applyBorder="1" applyAlignment="1">
      <alignment horizontal="center"/>
    </xf>
    <xf numFmtId="195" fontId="91" fillId="0" borderId="57" xfId="0" applyNumberFormat="1" applyFont="1" applyBorder="1" applyAlignment="1">
      <alignment horizontal="center"/>
    </xf>
    <xf numFmtId="195" fontId="92" fillId="0" borderId="57" xfId="0" applyNumberFormat="1" applyFont="1" applyBorder="1" applyAlignment="1">
      <alignment horizontal="center"/>
    </xf>
    <xf numFmtId="195" fontId="91" fillId="0" borderId="0" xfId="0" applyNumberFormat="1" applyFont="1"/>
    <xf numFmtId="195" fontId="92" fillId="0" borderId="0" xfId="0" applyNumberFormat="1" applyFont="1"/>
    <xf numFmtId="172" fontId="154" fillId="0" borderId="57" xfId="9" applyNumberFormat="1" applyFont="1" applyFill="1" applyBorder="1" applyAlignment="1" applyProtection="1">
      <alignment horizontal="center" vertical="top"/>
    </xf>
    <xf numFmtId="172" fontId="89" fillId="0" borderId="57" xfId="9" applyNumberFormat="1" applyFont="1" applyFill="1" applyBorder="1" applyAlignment="1" applyProtection="1">
      <alignment vertical="top"/>
    </xf>
    <xf numFmtId="172" fontId="89" fillId="0" borderId="0" xfId="9" applyNumberFormat="1" applyFont="1" applyFill="1" applyBorder="1" applyAlignment="1" applyProtection="1">
      <alignment vertical="top"/>
    </xf>
    <xf numFmtId="175" fontId="89" fillId="0" borderId="0" xfId="9" applyNumberFormat="1" applyFont="1" applyFill="1" applyBorder="1" applyAlignment="1" applyProtection="1">
      <alignment vertical="top"/>
    </xf>
    <xf numFmtId="172" fontId="154" fillId="0" borderId="0" xfId="9" applyNumberFormat="1" applyFont="1" applyFill="1" applyBorder="1" applyAlignment="1" applyProtection="1">
      <alignment vertical="top"/>
    </xf>
    <xf numFmtId="9" fontId="92" fillId="0" borderId="0" xfId="9" applyFont="1" applyFill="1" applyBorder="1" applyAlignment="1" applyProtection="1">
      <alignment horizontal="center" vertical="top"/>
    </xf>
    <xf numFmtId="172" fontId="101" fillId="0" borderId="0" xfId="9" applyNumberFormat="1" applyFont="1" applyFill="1" applyBorder="1" applyAlignment="1" applyProtection="1">
      <alignment vertical="top"/>
    </xf>
    <xf numFmtId="9" fontId="92" fillId="62" borderId="1" xfId="9" applyFont="1" applyFill="1" applyBorder="1" applyAlignment="1" applyProtection="1">
      <alignment horizontal="center" vertical="top"/>
    </xf>
    <xf numFmtId="172" fontId="101" fillId="62" borderId="1" xfId="9" applyNumberFormat="1" applyFont="1" applyFill="1" applyBorder="1" applyAlignment="1" applyProtection="1">
      <alignment vertical="top"/>
    </xf>
    <xf numFmtId="0" fontId="192" fillId="0" borderId="0" xfId="7" applyFont="1" applyAlignment="1" applyProtection="1"/>
    <xf numFmtId="174" fontId="92" fillId="0" borderId="0" xfId="9" applyNumberFormat="1" applyFont="1" applyFill="1" applyBorder="1" applyAlignment="1" applyProtection="1">
      <alignment horizontal="center" vertical="top"/>
    </xf>
    <xf numFmtId="174" fontId="90" fillId="0" borderId="0" xfId="9" applyNumberFormat="1" applyFont="1" applyFill="1" applyBorder="1" applyAlignment="1" applyProtection="1">
      <alignment vertical="top"/>
    </xf>
    <xf numFmtId="172" fontId="90" fillId="0" borderId="0" xfId="9" applyNumberFormat="1" applyFont="1" applyFill="1" applyBorder="1" applyAlignment="1" applyProtection="1">
      <alignment vertical="top"/>
    </xf>
    <xf numFmtId="9" fontId="92" fillId="0" borderId="47" xfId="9" applyFont="1" applyFill="1" applyBorder="1" applyAlignment="1" applyProtection="1">
      <alignment horizontal="center" vertical="top"/>
    </xf>
    <xf numFmtId="172" fontId="90" fillId="0" borderId="47" xfId="9" applyNumberFormat="1" applyFont="1" applyFill="1" applyBorder="1" applyAlignment="1" applyProtection="1">
      <alignment vertical="top"/>
    </xf>
    <xf numFmtId="174" fontId="90" fillId="0" borderId="47" xfId="9" applyNumberFormat="1" applyFont="1" applyFill="1" applyBorder="1" applyAlignment="1" applyProtection="1">
      <alignment vertical="top"/>
    </xf>
    <xf numFmtId="195" fontId="114" fillId="0" borderId="0" xfId="0" applyNumberFormat="1" applyFont="1"/>
    <xf numFmtId="174" fontId="91" fillId="0" borderId="47" xfId="0" applyNumberFormat="1" applyFont="1" applyBorder="1"/>
    <xf numFmtId="175" fontId="90" fillId="0" borderId="66" xfId="9" applyNumberFormat="1" applyFont="1" applyFill="1" applyBorder="1" applyAlignment="1" applyProtection="1">
      <alignment horizontal="right" vertical="top"/>
    </xf>
    <xf numFmtId="175" fontId="90" fillId="0" borderId="55" xfId="9" applyNumberFormat="1" applyFont="1" applyFill="1" applyBorder="1" applyAlignment="1" applyProtection="1">
      <alignment horizontal="right" vertical="top"/>
    </xf>
    <xf numFmtId="175" fontId="90" fillId="0" borderId="102" xfId="9" applyNumberFormat="1" applyFont="1" applyFill="1" applyBorder="1" applyAlignment="1" applyProtection="1">
      <alignment horizontal="right" vertical="top"/>
    </xf>
    <xf numFmtId="9" fontId="89" fillId="0" borderId="66" xfId="9" applyFont="1" applyFill="1" applyBorder="1" applyAlignment="1" applyProtection="1">
      <alignment horizontal="center" vertical="top"/>
    </xf>
    <xf numFmtId="9" fontId="89" fillId="0" borderId="55" xfId="9" applyFont="1" applyFill="1" applyBorder="1" applyAlignment="1" applyProtection="1">
      <alignment horizontal="center" vertical="top"/>
    </xf>
    <xf numFmtId="9" fontId="89" fillId="0" borderId="102" xfId="9" applyFont="1" applyFill="1" applyBorder="1" applyAlignment="1" applyProtection="1">
      <alignment horizontal="center" vertical="top"/>
    </xf>
    <xf numFmtId="174" fontId="90" fillId="0" borderId="57" xfId="9" applyNumberFormat="1" applyFont="1" applyFill="1" applyBorder="1" applyAlignment="1" applyProtection="1">
      <alignment vertical="top"/>
    </xf>
    <xf numFmtId="9" fontId="92" fillId="62" borderId="0" xfId="9" applyFont="1" applyFill="1" applyBorder="1" applyAlignment="1" applyProtection="1">
      <alignment horizontal="center" vertical="top"/>
    </xf>
    <xf numFmtId="165" fontId="91" fillId="0" borderId="102" xfId="11" applyNumberFormat="1" applyFont="1" applyFill="1" applyBorder="1" applyAlignment="1" applyProtection="1">
      <alignment horizontal="center" vertical="top"/>
    </xf>
    <xf numFmtId="0" fontId="94" fillId="0" borderId="59" xfId="8" applyFont="1" applyBorder="1" applyAlignment="1">
      <alignment horizontal="center" wrapText="1"/>
    </xf>
    <xf numFmtId="0" fontId="94" fillId="0" borderId="57" xfId="8" applyFont="1" applyBorder="1" applyAlignment="1">
      <alignment horizontal="center" wrapText="1"/>
    </xf>
    <xf numFmtId="0" fontId="94" fillId="63" borderId="57" xfId="8" applyFont="1" applyFill="1" applyBorder="1" applyAlignment="1">
      <alignment horizontal="center" wrapText="1"/>
    </xf>
    <xf numFmtId="44" fontId="95" fillId="63" borderId="57" xfId="6" applyFont="1" applyFill="1" applyBorder="1" applyAlignment="1" applyProtection="1">
      <alignment horizontal="center"/>
    </xf>
    <xf numFmtId="44" fontId="95" fillId="74" borderId="57" xfId="6" applyFont="1" applyFill="1" applyBorder="1" applyAlignment="1" applyProtection="1">
      <alignment horizontal="center"/>
    </xf>
    <xf numFmtId="44" fontId="95" fillId="63" borderId="58" xfId="6" applyFont="1" applyFill="1" applyBorder="1" applyAlignment="1" applyProtection="1">
      <alignment horizontal="center"/>
    </xf>
    <xf numFmtId="0" fontId="94" fillId="0" borderId="15" xfId="8" applyFont="1" applyBorder="1" applyAlignment="1">
      <alignment horizontal="center" wrapText="1"/>
    </xf>
    <xf numFmtId="0" fontId="94" fillId="0" borderId="1" xfId="8" quotePrefix="1" applyFont="1" applyBorder="1" applyAlignment="1">
      <alignment horizontal="center" wrapText="1"/>
    </xf>
    <xf numFmtId="0" fontId="94" fillId="63" borderId="1" xfId="8" applyFont="1" applyFill="1" applyBorder="1" applyAlignment="1">
      <alignment horizontal="center" wrapText="1"/>
    </xf>
    <xf numFmtId="225" fontId="94" fillId="63" borderId="1" xfId="6" applyNumberFormat="1" applyFont="1" applyFill="1" applyBorder="1" applyAlignment="1" applyProtection="1">
      <alignment horizontal="center"/>
    </xf>
    <xf numFmtId="225" fontId="94" fillId="74" borderId="1" xfId="6" applyNumberFormat="1" applyFont="1" applyFill="1" applyBorder="1" applyAlignment="1" applyProtection="1">
      <alignment horizontal="center"/>
    </xf>
    <xf numFmtId="226" fontId="94" fillId="63" borderId="14" xfId="6" applyNumberFormat="1" applyFont="1" applyFill="1" applyBorder="1" applyAlignment="1" applyProtection="1">
      <alignment horizontal="center"/>
    </xf>
    <xf numFmtId="172" fontId="92" fillId="0" borderId="59" xfId="0" quotePrefix="1" applyNumberFormat="1" applyFont="1" applyBorder="1"/>
    <xf numFmtId="172" fontId="92" fillId="0" borderId="57" xfId="6" applyNumberFormat="1" applyFont="1" applyBorder="1" applyAlignment="1" applyProtection="1">
      <alignment horizontal="center"/>
    </xf>
    <xf numFmtId="44" fontId="91" fillId="0" borderId="58" xfId="6" applyFont="1" applyBorder="1" applyAlignment="1" applyProtection="1">
      <alignment horizontal="center"/>
    </xf>
    <xf numFmtId="44" fontId="94" fillId="0" borderId="69" xfId="6" applyFont="1" applyBorder="1" applyProtection="1"/>
    <xf numFmtId="44" fontId="94" fillId="0" borderId="65" xfId="6" applyFont="1" applyBorder="1" applyProtection="1"/>
    <xf numFmtId="0" fontId="94" fillId="74" borderId="65" xfId="8" applyFont="1" applyFill="1" applyBorder="1" applyAlignment="1">
      <alignment horizontal="center"/>
    </xf>
    <xf numFmtId="0" fontId="95" fillId="0" borderId="65" xfId="8" applyFont="1" applyBorder="1"/>
    <xf numFmtId="0" fontId="95" fillId="0" borderId="63" xfId="8" applyFont="1" applyBorder="1" applyAlignment="1">
      <alignment horizontal="center"/>
    </xf>
    <xf numFmtId="172" fontId="32" fillId="0" borderId="55" xfId="8" applyNumberFormat="1" applyFont="1" applyBorder="1"/>
    <xf numFmtId="172" fontId="32" fillId="0" borderId="103" xfId="8" applyNumberFormat="1" applyFont="1" applyBorder="1"/>
    <xf numFmtId="174" fontId="95" fillId="0" borderId="102" xfId="8" applyNumberFormat="1" applyFont="1" applyBorder="1"/>
    <xf numFmtId="172" fontId="94" fillId="0" borderId="111" xfId="8" applyNumberFormat="1" applyFont="1" applyBorder="1"/>
    <xf numFmtId="174" fontId="95" fillId="0" borderId="0" xfId="8" applyNumberFormat="1" applyFont="1"/>
    <xf numFmtId="174" fontId="94" fillId="0" borderId="57" xfId="8" applyNumberFormat="1" applyFont="1" applyBorder="1"/>
    <xf numFmtId="174" fontId="94" fillId="69" borderId="57" xfId="8" applyNumberFormat="1" applyFont="1" applyFill="1" applyBorder="1"/>
    <xf numFmtId="44" fontId="95" fillId="0" borderId="1" xfId="8" applyNumberFormat="1" applyFont="1" applyBorder="1"/>
    <xf numFmtId="3" fontId="92" fillId="0" borderId="0" xfId="0" applyNumberFormat="1" applyFont="1" applyAlignment="1">
      <alignment horizontal="center"/>
    </xf>
    <xf numFmtId="0" fontId="193" fillId="0" borderId="0" xfId="0" applyFont="1"/>
    <xf numFmtId="0" fontId="193" fillId="2" borderId="0" xfId="0" applyFont="1" applyFill="1"/>
    <xf numFmtId="174" fontId="91" fillId="2" borderId="47" xfId="0" applyNumberFormat="1" applyFont="1" applyFill="1" applyBorder="1" applyProtection="1">
      <protection locked="0"/>
    </xf>
    <xf numFmtId="0" fontId="118" fillId="2" borderId="47" xfId="0" applyFont="1" applyFill="1" applyBorder="1" applyAlignment="1" applyProtection="1">
      <alignment horizontal="left"/>
      <protection locked="0"/>
    </xf>
    <xf numFmtId="0" fontId="127" fillId="2" borderId="52"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52" xfId="0" applyFont="1" applyFill="1" applyBorder="1" applyAlignment="1" applyProtection="1">
      <alignment horizontal="left"/>
      <protection locked="0"/>
    </xf>
    <xf numFmtId="0" fontId="91" fillId="2" borderId="52" xfId="7" applyFont="1" applyFill="1" applyBorder="1" applyAlignment="1" applyProtection="1">
      <alignment horizontal="left" wrapText="1"/>
      <protection locked="0"/>
    </xf>
    <xf numFmtId="0" fontId="96" fillId="2" borderId="47" xfId="0" applyFont="1" applyFill="1" applyBorder="1" applyAlignment="1" applyProtection="1">
      <alignment horizontal="left"/>
      <protection locked="0"/>
    </xf>
    <xf numFmtId="0" fontId="91" fillId="2" borderId="47" xfId="7" applyFont="1" applyFill="1" applyBorder="1" applyAlignment="1" applyProtection="1">
      <alignment horizontal="left" wrapText="1"/>
      <protection locked="0"/>
    </xf>
    <xf numFmtId="0" fontId="118" fillId="2" borderId="52" xfId="0" applyFont="1" applyFill="1" applyBorder="1" applyAlignment="1" applyProtection="1">
      <alignment horizontal="left"/>
      <protection locked="0"/>
    </xf>
    <xf numFmtId="0" fontId="107" fillId="0" borderId="130" xfId="0" applyFont="1" applyBorder="1" applyAlignment="1">
      <alignment horizontal="left" vertical="center" wrapText="1"/>
    </xf>
    <xf numFmtId="0" fontId="107" fillId="0" borderId="47" xfId="0" applyFont="1" applyBorder="1" applyAlignment="1">
      <alignment horizontal="left" vertical="center" wrapText="1"/>
    </xf>
    <xf numFmtId="0" fontId="96" fillId="2" borderId="50" xfId="0" applyFont="1" applyFill="1" applyBorder="1" applyProtection="1">
      <protection locked="0"/>
    </xf>
    <xf numFmtId="0" fontId="89" fillId="65" borderId="52" xfId="0" applyFont="1" applyFill="1" applyBorder="1" applyProtection="1">
      <protection locked="0"/>
    </xf>
    <xf numFmtId="0" fontId="96" fillId="2" borderId="47" xfId="0" applyFont="1" applyFill="1" applyBorder="1" applyProtection="1">
      <protection locked="0"/>
    </xf>
    <xf numFmtId="0" fontId="92" fillId="62" borderId="57" xfId="0" applyFont="1" applyFill="1" applyBorder="1" applyAlignment="1">
      <alignment wrapText="1"/>
    </xf>
    <xf numFmtId="0" fontId="89" fillId="59" borderId="69" xfId="0" applyFont="1" applyFill="1" applyBorder="1" applyAlignment="1">
      <alignment horizontal="center" vertical="center" wrapText="1"/>
    </xf>
    <xf numFmtId="0" fontId="89" fillId="59" borderId="65" xfId="0" applyFont="1" applyFill="1" applyBorder="1" applyAlignment="1">
      <alignment horizontal="center" vertical="center" wrapText="1"/>
    </xf>
    <xf numFmtId="0" fontId="89" fillId="59" borderId="63" xfId="0" applyFont="1" applyFill="1" applyBorder="1" applyAlignment="1">
      <alignment horizontal="center" vertical="center" wrapText="1"/>
    </xf>
    <xf numFmtId="0" fontId="96" fillId="2" borderId="108" xfId="0" applyFont="1" applyFill="1" applyBorder="1" applyProtection="1">
      <protection locked="0"/>
    </xf>
    <xf numFmtId="10" fontId="191" fillId="2" borderId="47" xfId="9" applyNumberFormat="1" applyFont="1" applyFill="1" applyBorder="1" applyAlignment="1" applyProtection="1">
      <alignment horizontal="left" vertical="top"/>
      <protection locked="0"/>
    </xf>
    <xf numFmtId="0" fontId="89" fillId="0" borderId="57" xfId="0" applyFont="1" applyBorder="1" applyAlignment="1">
      <alignment horizontal="left"/>
    </xf>
    <xf numFmtId="0" fontId="89" fillId="0" borderId="65" xfId="0" applyFont="1" applyBorder="1" applyAlignment="1">
      <alignment horizontal="left"/>
    </xf>
    <xf numFmtId="0" fontId="100" fillId="0" borderId="1" xfId="7" applyFont="1" applyFill="1" applyBorder="1" applyAlignment="1" applyProtection="1">
      <alignment horizontal="right" wrapText="1" indent="1"/>
    </xf>
    <xf numFmtId="0" fontId="100" fillId="0" borderId="14" xfId="7" applyFont="1" applyFill="1" applyBorder="1" applyAlignment="1" applyProtection="1">
      <alignment horizontal="right" wrapText="1" indent="1"/>
    </xf>
    <xf numFmtId="0" fontId="91" fillId="0" borderId="0" xfId="0" applyFont="1"/>
    <xf numFmtId="0" fontId="109" fillId="64" borderId="0" xfId="0" applyFont="1" applyFill="1" applyAlignment="1">
      <alignment wrapText="1"/>
    </xf>
    <xf numFmtId="0" fontId="102" fillId="63" borderId="0" xfId="0" applyFont="1" applyFill="1" applyAlignment="1">
      <alignment horizontal="left"/>
    </xf>
    <xf numFmtId="0" fontId="113" fillId="64" borderId="0" xfId="0" quotePrefix="1" applyFont="1" applyFill="1" applyAlignment="1">
      <alignment wrapText="1"/>
    </xf>
    <xf numFmtId="0" fontId="92" fillId="0" borderId="69" xfId="0" applyFont="1" applyBorder="1" applyAlignment="1">
      <alignment horizontal="center"/>
    </xf>
    <xf numFmtId="0" fontId="92" fillId="0" borderId="65" xfId="0" applyFont="1" applyBorder="1" applyAlignment="1">
      <alignment horizontal="center"/>
    </xf>
    <xf numFmtId="0" fontId="92" fillId="0" borderId="63" xfId="0" applyFont="1" applyBorder="1" applyAlignment="1">
      <alignment horizontal="center"/>
    </xf>
    <xf numFmtId="0" fontId="64" fillId="5" borderId="0" xfId="0" applyFont="1" applyFill="1"/>
    <xf numFmtId="0" fontId="134" fillId="0" borderId="0" xfId="0" applyFont="1" applyAlignment="1">
      <alignment horizontal="center"/>
    </xf>
    <xf numFmtId="0" fontId="64" fillId="61" borderId="98" xfId="33111" applyFont="1" applyFill="1" applyBorder="1" applyAlignment="1" applyProtection="1">
      <alignment horizontal="center" vertical="top" wrapText="1"/>
      <protection locked="0"/>
    </xf>
    <xf numFmtId="0" fontId="64" fillId="61" borderId="99" xfId="33111" applyFont="1" applyFill="1" applyBorder="1" applyAlignment="1" applyProtection="1">
      <alignment horizontal="center" vertical="top" wrapText="1"/>
      <protection locked="0"/>
    </xf>
    <xf numFmtId="172" fontId="15" fillId="0" borderId="57"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1"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82">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FF000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F0000"/>
        </patternFill>
      </fill>
    </dxf>
    <dxf>
      <fill>
        <patternFill>
          <bgColor indexed="42"/>
        </patternFill>
      </fill>
    </dxf>
    <dxf>
      <fill>
        <patternFill>
          <bgColor indexed="22"/>
        </patternFill>
      </fill>
    </dxf>
    <dxf>
      <fill>
        <patternFill>
          <bgColor rgb="FFF0F0F0"/>
        </patternFill>
      </fill>
    </dxf>
    <dxf>
      <fill>
        <patternFill>
          <bgColor rgb="FFF0F0F0"/>
        </patternFill>
      </fill>
    </dxf>
    <dxf>
      <font>
        <b/>
        <i val="0"/>
      </font>
      <border>
        <left style="thin">
          <color auto="1"/>
        </left>
        <right style="thin">
          <color auto="1"/>
        </right>
        <top style="thin">
          <color auto="1"/>
        </top>
        <bottom style="thin">
          <color auto="1"/>
        </bottom>
      </border>
    </dxf>
    <dxf>
      <font>
        <b/>
        <i val="0"/>
      </font>
      <fill>
        <patternFill>
          <bgColor rgb="FFFF9999"/>
        </patternFill>
      </fill>
    </dxf>
    <dxf>
      <fill>
        <patternFill>
          <bgColor indexed="42"/>
        </patternFill>
      </fill>
    </dxf>
    <dxf>
      <font>
        <b/>
        <i val="0"/>
      </font>
      <fill>
        <patternFill patternType="none">
          <bgColor auto="1"/>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2025</c:v>
                </c:pt>
                <c:pt idx="1">
                  <c:v>2026</c:v>
                </c:pt>
                <c:pt idx="2">
                  <c:v>2027</c:v>
                </c:pt>
                <c:pt idx="3">
                  <c:v>2028</c:v>
                </c:pt>
                <c:pt idx="4">
                  <c:v>2029</c:v>
                </c:pt>
                <c:pt idx="5">
                  <c:v>2030</c:v>
                </c:pt>
                <c:pt idx="6">
                  <c:v>2031</c:v>
                </c:pt>
              </c:numCache>
            </c:numRef>
          </c:cat>
          <c:val>
            <c:numRef>
              <c:f>Marketing!$H$45:$N$45</c:f>
              <c:numCache>
                <c:formatCode>0%;[Red]\(0%\);"-%"</c:formatCode>
                <c:ptCount val="7"/>
                <c:pt idx="0">
                  <c:v>0.14285714285714285</c:v>
                </c:pt>
                <c:pt idx="1">
                  <c:v>0.14285714285714285</c:v>
                </c:pt>
                <c:pt idx="2">
                  <c:v>0.14285714285714285</c:v>
                </c:pt>
                <c:pt idx="3">
                  <c:v>0.14285714285714285</c:v>
                </c:pt>
                <c:pt idx="4">
                  <c:v>0.14285714285714285</c:v>
                </c:pt>
                <c:pt idx="5">
                  <c:v>0.14285714285714285</c:v>
                </c:pt>
                <c:pt idx="6">
                  <c:v>0.14285714285714285</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7</xdr:col>
      <xdr:colOff>625668</xdr:colOff>
      <xdr:row>97</xdr:row>
      <xdr:rowOff>133350</xdr:rowOff>
    </xdr:from>
    <xdr:to>
      <xdr:col>8</xdr:col>
      <xdr:colOff>1353545</xdr:colOff>
      <xdr:row>105</xdr:row>
      <xdr:rowOff>98231</xdr:rowOff>
    </xdr:to>
    <xdr:sp macro="" textlink="">
      <xdr:nvSpPr>
        <xdr:cNvPr id="2" name="TextBox 1">
          <a:extLst>
            <a:ext uri="{FF2B5EF4-FFF2-40B4-BE49-F238E27FC236}">
              <a16:creationId xmlns:a16="http://schemas.microsoft.com/office/drawing/2014/main" id="{1334E5A0-3049-4880-A491-B51E80F9CCAF}"/>
            </a:ext>
          </a:extLst>
        </xdr:cNvPr>
        <xdr:cNvSpPr txBox="1"/>
      </xdr:nvSpPr>
      <xdr:spPr>
        <a:xfrm>
          <a:off x="8760018" y="15039975"/>
          <a:ext cx="2166152" cy="1165031"/>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Overwrite your inputs to the left.  These assumptions are provided as examples only.  They</a:t>
          </a:r>
          <a:r>
            <a:rPr lang="en-US" sz="1100" baseline="0"/>
            <a:t> </a:t>
          </a:r>
          <a:r>
            <a:rPr lang="en-US" sz="1100"/>
            <a:t>are those that other schools have used. They may not be applicable to your situation.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351075</xdr:colOff>
      <xdr:row>54</xdr:row>
      <xdr:rowOff>152289</xdr:rowOff>
    </xdr:from>
    <xdr:to>
      <xdr:col>5</xdr:col>
      <xdr:colOff>425530</xdr:colOff>
      <xdr:row>91</xdr:row>
      <xdr:rowOff>107675</xdr:rowOff>
    </xdr:to>
    <xdr:sp macro="" textlink="">
      <xdr:nvSpPr>
        <xdr:cNvPr id="2" name="TextBox 1">
          <a:extLst>
            <a:ext uri="{FF2B5EF4-FFF2-40B4-BE49-F238E27FC236}">
              <a16:creationId xmlns:a16="http://schemas.microsoft.com/office/drawing/2014/main" id="{240D1027-C1D0-47E6-B105-8D66286594A0}"/>
            </a:ext>
          </a:extLst>
        </xdr:cNvPr>
        <xdr:cNvSpPr txBox="1"/>
      </xdr:nvSpPr>
      <xdr:spPr>
        <a:xfrm>
          <a:off x="351075" y="10861702"/>
          <a:ext cx="6418933" cy="7003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Times New Roman" panose="02020603050405020304" pitchFamily="18" charset="0"/>
              <a:ea typeface="+mn-ea"/>
              <a:cs typeface="+mn-cs"/>
            </a:rPr>
            <a:t>NAC 388A.190</a:t>
          </a:r>
          <a:r>
            <a:rPr lang="en-US" sz="1100">
              <a:solidFill>
                <a:schemeClr val="dk1"/>
              </a:solidFill>
              <a:effectLst/>
              <a:latin typeface="Times New Roman" panose="02020603050405020304" pitchFamily="18" charset="0"/>
              <a:ea typeface="+mn-ea"/>
              <a:cs typeface="+mn-cs"/>
            </a:rPr>
            <a:t>  </a:t>
          </a:r>
          <a:r>
            <a:rPr lang="en-US" sz="1100" b="1">
              <a:solidFill>
                <a:schemeClr val="dk1"/>
              </a:solidFill>
              <a:effectLst/>
              <a:latin typeface="Times New Roman" panose="02020603050405020304" pitchFamily="18" charset="0"/>
              <a:ea typeface="+mn-ea"/>
              <a:cs typeface="+mn-cs"/>
            </a:rPr>
            <a:t>Provision and maintenance of industrial and general liability insurance coverage.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NRS 385.080</a:t>
          </a:r>
          <a:r>
            <a:rPr lang="en-US" sz="1100" b="1">
              <a:solidFill>
                <a:schemeClr val="dk1"/>
              </a:solidFill>
              <a:effectLst/>
              <a:latin typeface="Times New Roman" panose="02020603050405020304" pitchFamily="18" charset="0"/>
              <a:ea typeface="+mn-ea"/>
              <a:cs typeface="+mn-cs"/>
            </a:rPr>
            <a:t>,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388A.110</a:t>
          </a:r>
          <a:r>
            <a:rPr lang="en-US" sz="1100" b="1">
              <a:solidFill>
                <a:schemeClr val="dk1"/>
              </a:solidFill>
              <a:effectLst/>
              <a:latin typeface="Times New Roman" panose="02020603050405020304" pitchFamily="18" charset="0"/>
              <a:ea typeface="+mn-ea"/>
              <a:cs typeface="+mn-cs"/>
            </a:rPr>
            <a:t>)</a:t>
          </a:r>
          <a:endParaRPr lang="en-US" sz="1100">
            <a:solidFill>
              <a:schemeClr val="dk1"/>
            </a:solidFill>
            <a:effectLst/>
            <a:latin typeface="Times New Roman" panose="02020603050405020304" pitchFamily="18" charset="0"/>
            <a:ea typeface="+mn-ea"/>
            <a:cs typeface="+mn-cs"/>
          </a:endParaRPr>
        </a:p>
        <a:p>
          <a:r>
            <a:rPr lang="en-US" sz="1100">
              <a:solidFill>
                <a:schemeClr val="dk1"/>
              </a:solidFill>
              <a:effectLst/>
              <a:latin typeface="Times New Roman" panose="02020603050405020304" pitchFamily="18" charset="0"/>
              <a:ea typeface="+mn-ea"/>
              <a:cs typeface="+mn-cs"/>
            </a:rPr>
            <a:t>     1.  Except as otherwise provided in subsection 4 of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388A.140</a:t>
          </a:r>
          <a:r>
            <a:rPr lang="en-US" sz="1100">
              <a:solidFill>
                <a:schemeClr val="dk1"/>
              </a:solidFill>
              <a:effectLst/>
              <a:latin typeface="Times New Roman" panose="02020603050405020304" pitchFamily="18" charset="0"/>
              <a:ea typeface="+mn-ea"/>
              <a:cs typeface="+mn-cs"/>
            </a:rPr>
            <a:t>, a committee to form a charter school shall obtain insurance from an authorized insurer as follows:</a:t>
          </a:r>
        </a:p>
        <a:p>
          <a:r>
            <a:rPr lang="en-US" sz="1100">
              <a:solidFill>
                <a:schemeClr val="dk1"/>
              </a:solidFill>
              <a:effectLst/>
              <a:latin typeface="Times New Roman" panose="02020603050405020304" pitchFamily="18" charset="0"/>
              <a:ea typeface="+mn-ea"/>
              <a:cs typeface="+mn-cs"/>
            </a:rPr>
            <a:t>     (a) Industrial insurance coverage in accordance with the applicable provisions of the Nevada Industrial Insurance Act,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chapters 616A</a:t>
          </a:r>
          <a:r>
            <a:rPr lang="en-US" sz="1100">
              <a:solidFill>
                <a:schemeClr val="dk1"/>
              </a:solidFill>
              <a:effectLst/>
              <a:latin typeface="Times New Roman" panose="02020603050405020304" pitchFamily="18" charset="0"/>
              <a:ea typeface="+mn-ea"/>
              <a:cs typeface="+mn-cs"/>
            </a:rPr>
            <a:t> to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616D</a:t>
          </a:r>
          <a:r>
            <a:rPr lang="en-US" sz="1100">
              <a:solidFill>
                <a:schemeClr val="dk1"/>
              </a:solidFill>
              <a:effectLst/>
              <a:latin typeface="Times New Roman" panose="02020603050405020304" pitchFamily="18" charset="0"/>
              <a:ea typeface="+mn-ea"/>
              <a:cs typeface="+mn-cs"/>
            </a:rPr>
            <a:t>, inclusive, of NRS.</a:t>
          </a:r>
        </a:p>
        <a:p>
          <a:r>
            <a:rPr lang="en-US" sz="1100">
              <a:solidFill>
                <a:schemeClr val="dk1"/>
              </a:solidFill>
              <a:effectLst/>
              <a:latin typeface="Times New Roman" panose="02020603050405020304" pitchFamily="18" charset="0"/>
              <a:ea typeface="+mn-ea"/>
              <a:cs typeface="+mn-cs"/>
            </a:rPr>
            <a:t>     (b) Except as otherwise provided in subsection 2, </a:t>
          </a:r>
          <a:r>
            <a:rPr lang="en-US" sz="1100" b="0">
              <a:solidFill>
                <a:schemeClr val="dk1"/>
              </a:solidFill>
              <a:effectLst/>
              <a:latin typeface="Times New Roman" panose="02020603050405020304" pitchFamily="18" charset="0"/>
              <a:ea typeface="+mn-ea"/>
              <a:cs typeface="+mn-cs"/>
            </a:rPr>
            <a:t>general liability</a:t>
          </a:r>
          <a:r>
            <a:rPr lang="en-US" sz="1100">
              <a:solidFill>
                <a:schemeClr val="dk1"/>
              </a:solidFill>
              <a:effectLst/>
              <a:latin typeface="Times New Roman" panose="02020603050405020304" pitchFamily="18" charset="0"/>
              <a:ea typeface="+mn-ea"/>
              <a:cs typeface="+mn-cs"/>
            </a:rPr>
            <a:t> insurance with a minimum coverage of $1,000,000. The general liability insurance policy must include coverage for molestation and sexual abuse, and have a broad form policy, with the named insureds as follows:</a:t>
          </a:r>
        </a:p>
        <a:p>
          <a:r>
            <a:rPr lang="en-US" sz="1100">
              <a:solidFill>
                <a:schemeClr val="dk1"/>
              </a:solidFill>
              <a:effectLst/>
              <a:latin typeface="Times New Roman" panose="02020603050405020304" pitchFamily="18" charset="0"/>
              <a:ea typeface="+mn-ea"/>
              <a:cs typeface="+mn-cs"/>
            </a:rPr>
            <a:t>          (1) The sponsor of the charter school;</a:t>
          </a:r>
        </a:p>
        <a:p>
          <a:r>
            <a:rPr lang="en-US" sz="1100">
              <a:solidFill>
                <a:schemeClr val="dk1"/>
              </a:solidFill>
              <a:effectLst/>
              <a:latin typeface="Times New Roman" panose="02020603050405020304" pitchFamily="18" charset="0"/>
              <a:ea typeface="+mn-ea"/>
              <a:cs typeface="+mn-cs"/>
            </a:rPr>
            <a:t>          (2) All employees of the charter school, including, without limitation, former, present and future employees;</a:t>
          </a:r>
        </a:p>
        <a:p>
          <a:r>
            <a:rPr lang="en-US" sz="1100">
              <a:solidFill>
                <a:schemeClr val="dk1"/>
              </a:solidFill>
              <a:effectLst/>
              <a:latin typeface="Times New Roman" panose="02020603050405020304" pitchFamily="18" charset="0"/>
              <a:ea typeface="+mn-ea"/>
              <a:cs typeface="+mn-cs"/>
            </a:rPr>
            <a:t>          (3) Volunteers at the charter school; and</a:t>
          </a:r>
        </a:p>
        <a:p>
          <a:r>
            <a:rPr lang="en-US" sz="1100">
              <a:solidFill>
                <a:schemeClr val="dk1"/>
              </a:solidFill>
              <a:effectLst/>
              <a:latin typeface="Times New Roman" panose="02020603050405020304" pitchFamily="18" charset="0"/>
              <a:ea typeface="+mn-ea"/>
              <a:cs typeface="+mn-cs"/>
            </a:rPr>
            <a:t>          (4) </a:t>
          </a:r>
          <a:r>
            <a:rPr lang="en-US" sz="1100" b="0">
              <a:solidFill>
                <a:schemeClr val="dk1"/>
              </a:solidFill>
              <a:effectLst/>
              <a:latin typeface="Times New Roman" panose="02020603050405020304" pitchFamily="18" charset="0"/>
              <a:ea typeface="+mn-ea"/>
              <a:cs typeface="+mn-cs"/>
            </a:rPr>
            <a:t>Directors </a:t>
          </a:r>
          <a:r>
            <a:rPr lang="en-US" sz="1100">
              <a:solidFill>
                <a:schemeClr val="dk1"/>
              </a:solidFill>
              <a:effectLst/>
              <a:latin typeface="Times New Roman" panose="02020603050405020304" pitchFamily="18" charset="0"/>
              <a:ea typeface="+mn-ea"/>
              <a:cs typeface="+mn-cs"/>
            </a:rPr>
            <a:t>of the charter school, including, </a:t>
          </a:r>
          <a:r>
            <a:rPr lang="en-US" sz="1100" b="0">
              <a:solidFill>
                <a:schemeClr val="dk1"/>
              </a:solidFill>
              <a:effectLst/>
              <a:latin typeface="Times New Roman" panose="02020603050405020304" pitchFamily="18" charset="0"/>
              <a:ea typeface="+mn-ea"/>
              <a:cs typeface="+mn-cs"/>
            </a:rPr>
            <a:t>without limitation, executive directors.</a:t>
          </a:r>
        </a:p>
        <a:p>
          <a:r>
            <a:rPr lang="en-US" sz="1100">
              <a:solidFill>
                <a:schemeClr val="dk1"/>
              </a:solidFill>
              <a:effectLst/>
              <a:latin typeface="Times New Roman" panose="02020603050405020304" pitchFamily="18" charset="0"/>
              <a:ea typeface="+mn-ea"/>
              <a:cs typeface="+mn-cs"/>
            </a:rPr>
            <a:t>     (c) Umbrella liability insurance with a minimum coverage of $3,000,000.               </a:t>
          </a:r>
        </a:p>
        <a:p>
          <a:r>
            <a:rPr lang="en-US" sz="1100">
              <a:solidFill>
                <a:schemeClr val="dk1"/>
              </a:solidFill>
              <a:effectLst/>
              <a:latin typeface="Times New Roman" panose="02020603050405020304" pitchFamily="18" charset="0"/>
              <a:ea typeface="+mn-ea"/>
              <a:cs typeface="+mn-cs"/>
            </a:rPr>
            <a:t>     (d) Educators’ legal liability insurance with a minimum coverage of $1,000,000.</a:t>
          </a:r>
        </a:p>
        <a:p>
          <a:r>
            <a:rPr lang="en-US" sz="1100">
              <a:solidFill>
                <a:schemeClr val="dk1"/>
              </a:solidFill>
              <a:effectLst/>
              <a:latin typeface="Times New Roman" panose="02020603050405020304" pitchFamily="18" charset="0"/>
              <a:ea typeface="+mn-ea"/>
              <a:cs typeface="+mn-cs"/>
            </a:rPr>
            <a:t>     (e) Employment practices liability insurance with a minimum coverage of $1,000,000.</a:t>
          </a:r>
        </a:p>
        <a:p>
          <a:r>
            <a:rPr lang="en-US" sz="1100">
              <a:solidFill>
                <a:schemeClr val="dk1"/>
              </a:solidFill>
              <a:effectLst/>
              <a:latin typeface="Times New Roman" panose="02020603050405020304" pitchFamily="18" charset="0"/>
              <a:ea typeface="+mn-ea"/>
              <a:cs typeface="+mn-cs"/>
            </a:rPr>
            <a:t>     (f) Employment benefits liability insurance with a minimum coverage of $1,000,000.</a:t>
          </a:r>
        </a:p>
        <a:p>
          <a:r>
            <a:rPr lang="en-US" sz="1100">
              <a:solidFill>
                <a:schemeClr val="dk1"/>
              </a:solidFill>
              <a:effectLst/>
              <a:latin typeface="Times New Roman" panose="02020603050405020304" pitchFamily="18" charset="0"/>
              <a:ea typeface="+mn-ea"/>
              <a:cs typeface="+mn-cs"/>
            </a:rPr>
            <a:t>     (g) Insurance covering errors and omissions of the sponsor and governing body of the charter school with a minimum coverage of $1,000,000.</a:t>
          </a:r>
        </a:p>
        <a:p>
          <a:r>
            <a:rPr lang="en-US" sz="1100">
              <a:solidFill>
                <a:schemeClr val="dk1"/>
              </a:solidFill>
              <a:effectLst/>
              <a:latin typeface="Times New Roman" panose="02020603050405020304" pitchFamily="18" charset="0"/>
              <a:ea typeface="+mn-ea"/>
              <a:cs typeface="+mn-cs"/>
            </a:rPr>
            <a:t>     (h) If applicable, motor vehicle liability insurance with a minimum coverage of $1,000,000.</a:t>
          </a:r>
        </a:p>
        <a:p>
          <a:r>
            <a:rPr lang="en-US" sz="1100">
              <a:solidFill>
                <a:schemeClr val="dk1"/>
              </a:solidFill>
              <a:effectLst/>
              <a:latin typeface="Times New Roman" panose="02020603050405020304" pitchFamily="18" charset="0"/>
              <a:ea typeface="+mn-ea"/>
              <a:cs typeface="+mn-cs"/>
            </a:rPr>
            <a:t>     (i) If applicable, liability insurance for sports and athletic participation with a minimum coverage of $1,000,000.</a:t>
          </a:r>
        </a:p>
        <a:p>
          <a:r>
            <a:rPr lang="en-US" sz="1100">
              <a:solidFill>
                <a:schemeClr val="dk1"/>
              </a:solidFill>
              <a:effectLst/>
              <a:latin typeface="Times New Roman" panose="02020603050405020304" pitchFamily="18" charset="0"/>
              <a:ea typeface="+mn-ea"/>
              <a:cs typeface="+mn-cs"/>
            </a:rPr>
            <a:t>Ê The cost of insurance required by this subsection must be provided to the proposed sponsor by the authorized insurer and included in each budget submitted pursuant to subsection 4 of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388A.160</a:t>
          </a:r>
          <a:r>
            <a:rPr lang="en-US" sz="1100">
              <a:solidFill>
                <a:schemeClr val="dk1"/>
              </a:solidFill>
              <a:effectLst/>
              <a:latin typeface="Times New Roman" panose="02020603050405020304" pitchFamily="18" charset="0"/>
              <a:ea typeface="+mn-ea"/>
              <a:cs typeface="+mn-cs"/>
            </a:rPr>
            <a:t> and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387.725</a:t>
          </a:r>
          <a:r>
            <a:rPr lang="en-US" sz="1100">
              <a:solidFill>
                <a:schemeClr val="dk1"/>
              </a:solidFill>
              <a:effectLst/>
              <a:latin typeface="Times New Roman" panose="02020603050405020304" pitchFamily="18" charset="0"/>
              <a:ea typeface="+mn-ea"/>
              <a:cs typeface="+mn-cs"/>
            </a:rPr>
            <a:t>.</a:t>
          </a:r>
        </a:p>
        <a:p>
          <a:r>
            <a:rPr lang="en-US" sz="1100">
              <a:solidFill>
                <a:schemeClr val="dk1"/>
              </a:solidFill>
              <a:effectLst/>
              <a:latin typeface="Times New Roman" panose="02020603050405020304" pitchFamily="18" charset="0"/>
              <a:ea typeface="+mn-ea"/>
              <a:cs typeface="+mn-cs"/>
            </a:rPr>
            <a:t>     2.  The sponsor of a charter school may waive all or part of the general liability insurance required pursuant to paragraph (b) of subsection 1 if the sponsor determines that such a waiver is reasonable based upon the risk profile of the charter school or the conditions of the insurance market, or both, including, without limitation, a determination that the cost of obtaining the insurance is excessive or that the insurance is not available because of special circumstances of the charter school.</a:t>
          </a:r>
        </a:p>
        <a:p>
          <a:r>
            <a:rPr lang="en-US" sz="1100">
              <a:solidFill>
                <a:schemeClr val="dk1"/>
              </a:solidFill>
              <a:effectLst/>
              <a:latin typeface="Times New Roman" panose="02020603050405020304" pitchFamily="18" charset="0"/>
              <a:ea typeface="+mn-ea"/>
              <a:cs typeface="+mn-cs"/>
            </a:rPr>
            <a:t>     3.  If an application to form a charter school is approved, the governing body of the charter school shall maintain the insurance required by this section.</a:t>
          </a:r>
        </a:p>
        <a:p>
          <a:r>
            <a:rPr lang="en-US" sz="1100">
              <a:solidFill>
                <a:schemeClr val="dk1"/>
              </a:solidFill>
              <a:effectLst/>
              <a:latin typeface="Times New Roman" panose="02020603050405020304" pitchFamily="18" charset="0"/>
              <a:ea typeface="+mn-ea"/>
              <a:cs typeface="+mn-cs"/>
            </a:rPr>
            <a:t>     4.  An insurer that provides any insurance required pursuant to this section must have a rating of “A-” or better and be classified in a financial category of “VII” or better as determined by A.M. Best Company of Oldwick, New Jersey.</a:t>
          </a:r>
        </a:p>
        <a:p>
          <a:r>
            <a:rPr lang="en-US" sz="1100">
              <a:solidFill>
                <a:schemeClr val="dk1"/>
              </a:solidFill>
              <a:effectLst/>
              <a:latin typeface="Times New Roman" panose="02020603050405020304" pitchFamily="18" charset="0"/>
              <a:ea typeface="+mn-ea"/>
              <a:cs typeface="+mn-cs"/>
            </a:rPr>
            <a:t>     5.  As used in this section, “motor vehicle” has the meaning ascribed to it in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NRS 485.050</a:t>
          </a:r>
          <a:r>
            <a:rPr lang="en-US" sz="1100">
              <a:solidFill>
                <a:schemeClr val="dk1"/>
              </a:solidFill>
              <a:effectLst/>
              <a:latin typeface="Times New Roman" panose="02020603050405020304" pitchFamily="18" charset="0"/>
              <a:ea typeface="+mn-ea"/>
              <a:cs typeface="+mn-cs"/>
            </a:rPr>
            <a:t>.</a:t>
          </a:r>
        </a:p>
        <a:p>
          <a:r>
            <a:rPr lang="en-US" sz="1100">
              <a:solidFill>
                <a:schemeClr val="dk1"/>
              </a:solidFill>
              <a:effectLst/>
              <a:latin typeface="Times New Roman" panose="02020603050405020304" pitchFamily="18" charset="0"/>
              <a:ea typeface="+mn-ea"/>
              <a:cs typeface="+mn-cs"/>
            </a:rPr>
            <a:t>     (Added to NAC by Dep’t of Education by R044-05, eff. 10-31-2005; A by R074-07, 10-31-2007; A by Bd. of Education by R026-09, 10-27-2009; A by Dep’t of Education by R035-14, 12-22-2014) — (Substituted in revision for NAC 386.215)</a:t>
          </a:r>
        </a:p>
        <a:p>
          <a:endParaRPr lang="en-US" sz="1100">
            <a:latin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21</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238125</xdr:colOff>
      <xdr:row>268</xdr:row>
      <xdr:rowOff>190500</xdr:rowOff>
    </xdr:from>
    <xdr:to>
      <xdr:col>31</xdr:col>
      <xdr:colOff>266700</xdr:colOff>
      <xdr:row>289</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93</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Michael Dang" id="{53965B3A-B08B-4BC2-8174-88EB25E8A830}" userId="S::mdang@spcsa.nv.gov::a3e2d36e-033d-41a4-80d1-b0cff51c0698" providerId="AD"/>
  <person displayName="Michael Hutchins" id="{B99A2D5D-3262-48B4-9518-41102A0FECDD}" userId="S::m.hutchins@spcsa.nv.gov::0dee9529-13a7-462b-a458-930bcfd86a30" providerId="AD"/>
  <person displayName="Rebecca Feiden" id="{7A64DA6E-3042-4603-90E5-A73BD641A103}" userId="S::rebecca.feiden@spcsa.nv.gov::fd18cebc-0508-4b38-b6c1-d0a03d487c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9" personId="{58D7CBF4-770A-4C73-A5CB-9F34A753C88F}" id="{C9720B80-4DE7-4342-B7EE-57EDC974AF12}">
    <text>Freeze pane anchor cell.</text>
  </threadedComment>
  <threadedComment ref="B15" dT="2019-10-09T22:19:25.08" personId="{B99A2D5D-3262-48B4-9518-41102A0FECDD}" id="{9909DB41-4054-4051-8E9D-3A06A152DDC1}">
    <text>Lines renamed to match profile</text>
  </threadedComment>
  <threadedComment ref="B44" dT="2019-10-09T22:19:55.60" personId="{B99A2D5D-3262-48B4-9518-41102A0FECDD}" id="{AE8693CC-D799-40D8-BC0A-DDEFCADE3B8B}">
    <text>Lines renamed to match profile and other tabs</text>
  </threadedComment>
  <threadedComment ref="C44" dT="2019-10-09T22:20:22.95" personId="{B99A2D5D-3262-48B4-9518-41102A0FECDD}" id="{14D4832A-A429-4B66-9D06-54B3C5043617}">
    <text>Numbers now pulling from depreciation based expenses instead of cash acquisition cost.</text>
  </threadedComment>
</ThreadedComments>
</file>

<file path=xl/threadedComments/threadedComment2.xml><?xml version="1.0" encoding="utf-8"?>
<ThreadedComments xmlns="http://schemas.microsoft.com/office/spreadsheetml/2018/threadedcomments" xmlns:x="http://schemas.openxmlformats.org/spreadsheetml/2006/main">
  <threadedComment ref="C9" personId="{58D7CBF4-770A-4C73-A5CB-9F34A753C88F}" id="{3C354C26-ABAF-4990-B105-01215F15C21A}">
    <text>Freeze pane anchor cell.</text>
  </threadedComment>
  <threadedComment ref="B76" dT="2019-10-09T22:21:33.10" personId="{B99A2D5D-3262-48B4-9518-41102A0FECDD}" id="{B6F42B41-A78D-412D-AF3D-9126A5E0D606}">
    <text>lines changed for consistency</text>
  </threadedComment>
  <threadedComment ref="B93" dT="2019-10-09T22:21:46.00" personId="{B99A2D5D-3262-48B4-9518-41102A0FECDD}" id="{60129E67-CD70-46E7-91DA-906463589E3F}">
    <text>lines changed for consistency</text>
  </threadedComment>
  <threadedComment ref="B113" dT="2019-10-09T22:21:59.11" personId="{B99A2D5D-3262-48B4-9518-41102A0FECDD}" id="{E0B74DCF-2136-4060-977D-5542CAFEBFAB}">
    <text>lines changed for consistency</text>
  </threadedComment>
</ThreadedComments>
</file>

<file path=xl/threadedComments/threadedComment3.xml><?xml version="1.0" encoding="utf-8"?>
<ThreadedComments xmlns="http://schemas.microsoft.com/office/spreadsheetml/2018/threadedcomments" xmlns:x="http://schemas.openxmlformats.org/spreadsheetml/2006/main">
  <threadedComment ref="B34" personId="{58D7CBF4-770A-4C73-A5CB-9F34A753C88F}" id="{87EFE0C2-FEF2-455B-9DF6-67099F02ADE0}">
    <text>A five mile distance as the crow flies or by google maps travel distance.</text>
  </threadedComment>
  <threadedComment ref="I34" personId="{58D7CBF4-770A-4C73-A5CB-9F34A753C88F}" id="{F01B7D95-1612-4E39-9CC5-6D2B6DA04B58}">
    <text>Based on Google Maps or another mapping program of your choice.
The distance from the school can be to your targeted location or to nearby cross-streets.</text>
  </threadedComment>
  <threadedComment ref="B66" personId="{58D7CBF4-770A-4C73-A5CB-9F34A753C88F}" id="{561B544A-2D67-4E3A-99F3-D87FFDF6A489}">
    <text>A five mile distance as the crow flies or by google maps travel distance.</text>
  </threadedComment>
  <threadedComment ref="I66" personId="{58D7CBF4-770A-4C73-A5CB-9F34A753C88F}" id="{0811A250-739D-43A0-A3B3-E75FBF9A76FD}">
    <text>Based on Google Maps or another mapping program of your choice.
The distance from the school can be to your targeted location or to nearby cross-streets.</text>
  </threadedComment>
</ThreadedComments>
</file>

<file path=xl/threadedComments/threadedComment4.xml><?xml version="1.0" encoding="utf-8"?>
<ThreadedComments xmlns="http://schemas.microsoft.com/office/spreadsheetml/2018/threadedcomments" xmlns:x="http://schemas.openxmlformats.org/spreadsheetml/2006/main">
  <threadedComment ref="D12" personId="{58D7CBF4-770A-4C73-A5CB-9F34A753C88F}" id="{44638AEC-F4AF-481B-B482-D02A8E76DFE4}">
    <text xml:space="preserve">Freeze Pane Anchor cell.
Place cursor here if you wish to freeze the panes so you can see which e so you can continue to see the years for the columns you want to review. </text>
  </threadedComment>
  <threadedComment ref="B47" dT="2021-10-04T23:22:54.99" personId="{7A64DA6E-3042-4603-90E5-A73BD641A103}" id="{ACFF2C00-C68D-444F-A86C-AF37774166CB}">
    <text>I would call this "ENROLLMENT BY STUDENT GROUP (Federally Fundable)</text>
  </threadedComment>
  <threadedComment ref="B47" dT="2021-10-04T23:33:10.37" personId="{53965B3A-B08B-4BC2-8174-88EB25E8A830}" id="{EBFCEABF-E48C-4A48-80CC-451A555DB4CA}" parentId="{ACFF2C00-C68D-444F-A86C-AF37774166CB}">
    <text>Thank you.  It's updated.</text>
  </threadedComment>
  <threadedComment ref="C99" personId="{58D7CBF4-770A-4C73-A5CB-9F34A753C88F}" id="{FAF9EAF0-2408-4BEA-AA7F-D3ED4C6366EF}">
    <text>From $350. 2019.11.14</text>
  </threadedComment>
  <threadedComment ref="C99" dT="2021-09-30T17:34:30.93" personId="{53965B3A-B08B-4BC2-8174-88EB25E8A830}" id="{D547E158-008F-4D23-A342-727E8EDADA7E}" parentId="{FAF9EAF0-2408-4BEA-AA7F-D3ED4C6366EF}">
    <text>August 26, 2021 em from RF: $400 PP</text>
  </threadedComment>
  <threadedComment ref="C99" dT="2021-09-30T20:49:37.35" personId="{53965B3A-B08B-4BC2-8174-88EB25E8A830}" id="{80965E5C-60E9-4736-A322-1CF90D3DBC29}" parentId="{FAF9EAF0-2408-4BEA-AA7F-D3ED4C6366EF}">
    <text>RF 8/26/21 em @ $400</text>
  </threadedComment>
  <threadedComment ref="B118" dT="2024-01-23T01:26:52.26" personId="{53965B3A-B08B-4BC2-8174-88EB25E8A830}" id="{0F7764B7-2B20-4F23-826F-F6F42C20F046}">
    <text>Inflation adjustor applied to base rate only, to be conservative.</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19-10-09T22:22:23.61" personId="{B99A2D5D-3262-48B4-9518-41102A0FECDD}" id="{428C169F-7646-4CB0-B350-6B3997D0EBEC}">
    <text>lines changed to align with profile tab</text>
  </threadedComment>
  <threadedComment ref="B39" dT="2019-10-09T22:22:57.48" personId="{B99A2D5D-3262-48B4-9518-41102A0FECDD}" id="{747F349B-9CDE-4C7C-8445-7504F225BB0C}">
    <text>Lines changed to line up with profile and other tabs</text>
  </threadedComment>
  <threadedComment ref="E39" dT="2019-10-09T22:23:07.55" personId="{B99A2D5D-3262-48B4-9518-41102A0FECDD}" id="{5F5A5891-0F7E-438F-98FE-D46B19DAAF7A}">
    <text>conditional formatting added</text>
  </threadedComment>
  <threadedComment ref="B75" dT="2019-10-09T22:23:55.26" personId="{B99A2D5D-3262-48B4-9518-41102A0FECDD}" id="{E1B0AABC-FE85-4305-BCDA-D864236FBEFC}">
    <text>lines changed for consistency</text>
  </threadedComment>
  <threadedComment ref="B97" dT="2019-10-09T22:24:07.51" personId="{B99A2D5D-3262-48B4-9518-41102A0FECDD}" id="{105A4EF2-9C02-45A7-B312-9628B5927DF1}">
    <text>lines changed for consistency</text>
  </threadedComment>
</ThreadedComments>
</file>

<file path=xl/threadedComments/threadedComment6.xml><?xml version="1.0" encoding="utf-8"?>
<ThreadedComments xmlns="http://schemas.microsoft.com/office/spreadsheetml/2018/threadedcomments" xmlns:x="http://schemas.openxmlformats.org/spreadsheetml/2006/main">
  <threadedComment ref="C59" dT="2023-02-08T01:03:49.48" personId="{53965B3A-B08B-4BC2-8174-88EB25E8A830}" id="{5AB4F22B-B34E-46CC-85F4-92C228ADA667}">
    <text xml:space="preserve">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ext>
    <extLst>
      <x:ext xmlns:xltc2="http://schemas.microsoft.com/office/spreadsheetml/2020/threadedcomments2" uri="{F7C98A9C-CBB3-438F-8F68-D28B6AF4A901}">
        <xltc2:checksum>2360989648</xltc2:checksum>
        <xltc2:hyperlink startIndex="258" length="118" url="https://defcomp.nv.gov/Resources/FICA_Info___FAQ_s/#:~:text=How%20much%20do%20I%20have,on%20a%20tax%20deferred%20basis"/>
      </x:ext>
    </extLst>
  </threadedComment>
  <threadedComment ref="C60" dT="2022-12-30T18:20:15.58" personId="{53965B3A-B08B-4BC2-8174-88EB25E8A830}" id="{5B5C6FFC-D74F-4D89-957C-272E389EFD53}">
    <text>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ext>
  </threadedComment>
  <threadedComment ref="C62" personId="{58D7CBF4-770A-4C73-A5CB-9F34A753C88F}" id="{3FB75770-6A7E-41E4-989A-899F878C4E99}">
    <text xml:space="preserve">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ext>
  </threadedComment>
  <threadedComment ref="C63" dT="2023-02-08T00:19:20.03" personId="{53965B3A-B08B-4BC2-8174-88EB25E8A830}" id="{8B28DE3F-0513-4202-B787-159B600CA677}">
    <text>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ext>
    <extLst>
      <x:ext xmlns:xltc2="http://schemas.microsoft.com/office/spreadsheetml/2020/threadedcomments2" uri="{F7C98A9C-CBB3-438F-8F68-D28B6AF4A901}">
        <xltc2:checksum>1913804148</xltc2:checksum>
        <xltc2:hyperlink startIndex="36" length="44" url="https://ui.nv.gov/ESSHTML/ui_information.htm"/>
      </x:ext>
    </extLst>
  </threadedComment>
  <threadedComment ref="C64" dT="2023-02-08T00:35:15.23" personId="{53965B3A-B08B-4BC2-8174-88EB25E8A830}" id="{31D788BA-A50C-47FC-8E94-21A195E0BD60}">
    <text xml:space="preserve">Employer costs for workers’ compensation insurance (per $100 of covered wages)
https://pieinsurance.com/blog/workers-comp/workers-comp-how-much/
</text>
    <extLst>
      <x:ext xmlns:xltc2="http://schemas.microsoft.com/office/spreadsheetml/2020/threadedcomments2" uri="{F7C98A9C-CBB3-438F-8F68-D28B6AF4A901}">
        <xltc2:checksum>2176889104</xltc2:checksum>
        <xltc2:hyperlink startIndex="79" length="65" url="https://pieinsurance.com/blog/workers-comp/workers-comp-how-much/"/>
      </x:ext>
    </extLst>
  </threadedComment>
  <threadedComment ref="G142" dT="2020-09-22T19:01:17.23" personId="{53965B3A-B08B-4BC2-8174-88EB25E8A830}" id="{9FA39296-9023-4041-80FE-8575CCE2873E}">
    <text>You may now increase/decrease staff counts in this section of the model.</text>
  </threadedComment>
  <threadedComment ref="B431" dT="2020-10-14T22:58:10.23" personId="{53965B3A-B08B-4BC2-8174-88EB25E8A830}" id="{D1F6324D-8682-456C-9C83-BF47E7B5D48E}">
    <text>E.g., 0.5 + 0.5 + 0.25 + 0.6 = 1.85 PTE</text>
  </threadedComment>
</ThreadedComments>
</file>

<file path=xl/threadedComments/threadedComment7.xml><?xml version="1.0" encoding="utf-8"?>
<ThreadedComments xmlns="http://schemas.microsoft.com/office/spreadsheetml/2018/threadedcomments" xmlns:x="http://schemas.openxmlformats.org/spreadsheetml/2006/main">
  <threadedComment ref="C9" personId="{58D7CBF4-770A-4C73-A5CB-9F34A753C88F}" id="{8EDDD725-5C94-46C0-924D-C11E83DCC10F}">
    <text>Freeze Pane Anchor cell</text>
  </threadedComment>
  <threadedComment ref="F40" dT="2019-10-09T22:26:48.95" personId="{B99A2D5D-3262-48B4-9518-41102A0FECDD}" id="{049FD8B7-A556-4458-B741-9CE337C84F58}">
    <text>added capitalization assumption for capital outlay.  15 year depreciation schedule used based on Nevada Personal Property Manual (PPM)</text>
  </threadedComment>
  <threadedComment ref="G40" dT="2019-10-09T22:26:48.95" personId="{B99A2D5D-3262-48B4-9518-41102A0FECDD}" id="{7EE94EAF-B192-4E48-A3B1-248D938F898C}">
    <text>added capitalization assumption for capital outlay.  15 year depreciation schedule used based on Nevada Personal Property Manual (PPM)</text>
  </threadedComment>
  <threadedComment ref="F41" dT="2019-10-09T22:28:14.70" personId="{B99A2D5D-3262-48B4-9518-41102A0FECDD}" id="{DBC2E7CB-2685-404F-A07E-01603B5F45EF}">
    <text>LIst both the cash cost and the book expense</text>
  </threadedComment>
  <threadedComment ref="G41" dT="2019-10-09T22:28:14.70" personId="{B99A2D5D-3262-48B4-9518-41102A0FECDD}" id="{4D20B39F-CCD5-40F6-88A7-DA908090EB1A}">
    <text>LIst both the cash cost and the book expense</text>
  </threadedComment>
  <threadedComment ref="H41" dT="2019-10-09T22:28:14.70" personId="{B99A2D5D-3262-48B4-9518-41102A0FECDD}" id="{21BECB29-E1AE-4A1A-B3D7-3382A184FF5F}">
    <text>LIst both the cash cost and the book expense</text>
  </threadedComment>
  <threadedComment ref="I41" dT="2019-10-09T22:28:14.70" personId="{B99A2D5D-3262-48B4-9518-41102A0FECDD}" id="{CCEB1454-32E8-49D9-8901-DA3D297336F2}">
    <text>LIst both the cash cost and the book expense</text>
  </threadedComment>
  <threadedComment ref="J41" dT="2019-10-09T22:28:14.70" personId="{B99A2D5D-3262-48B4-9518-41102A0FECDD}" id="{37ECE0C7-2DF0-4069-83FB-34611AA80C80}">
    <text>LIst both the cash cost and the book expense</text>
  </threadedComment>
  <threadedComment ref="K41" dT="2019-10-09T22:28:14.70" personId="{B99A2D5D-3262-48B4-9518-41102A0FECDD}" id="{FEAE4CC4-5BE1-46EA-B674-1643248BBC0F}">
    <text>LIst both the cash cost and the book expense</text>
  </threadedComment>
  <threadedComment ref="L41" dT="2019-10-09T22:28:14.70" personId="{B99A2D5D-3262-48B4-9518-41102A0FECDD}" id="{E09D1AC0-CF29-4CCB-8732-58DCF484386E}">
    <text>LIst both the cash cost and the book expense</text>
  </threadedComment>
  <threadedComment ref="F71" dT="2019-10-09T22:28:29.17" personId="{B99A2D5D-3262-48B4-9518-41102A0FECDD}" id="{5A1E9927-B689-4F2F-9FDF-9AC411BA394B}">
    <text>LIst both the cash cost and the book expense</text>
  </threadedComment>
  <threadedComment ref="G71" dT="2019-10-09T22:28:29.17" personId="{B99A2D5D-3262-48B4-9518-41102A0FECDD}" id="{8B4CE012-06EE-44EF-B9A4-70A151D8CD64}">
    <text>LIst both the cash cost and the book expense</text>
  </threadedComment>
  <threadedComment ref="F72" dT="2019-10-09T22:27:53.20" personId="{B99A2D5D-3262-48B4-9518-41102A0FECDD}" id="{4A77444D-2667-414A-ACA6-5CACB9E7392C}">
    <text>Added a depreciation schedule for new building purchase/construction using a 50 year asset life per the Nevada PPM.</text>
  </threadedComment>
  <threadedComment ref="G72" dT="2019-10-09T22:27:53.20" personId="{B99A2D5D-3262-48B4-9518-41102A0FECDD}" id="{C044C3D4-0587-448F-AE58-11BAA9E73751}">
    <text>Added a depreciation schedule for new building purchase/construction using a 50 year asset life per the Nevada PPM.</text>
  </threadedComment>
  <threadedComment ref="F76" dT="2019-10-09T22:28:23.38" personId="{B99A2D5D-3262-48B4-9518-41102A0FECDD}" id="{CE06D8D1-4B55-4EF4-8B14-2444C8B0CA22}">
    <text>LIst both the cash cost and the book expense</text>
  </threadedComment>
</ThreadedComments>
</file>

<file path=xl/threadedComments/threadedComment8.xml><?xml version="1.0" encoding="utf-8"?>
<ThreadedComments xmlns="http://schemas.microsoft.com/office/spreadsheetml/2018/threadedcomments" xmlns:x="http://schemas.openxmlformats.org/spreadsheetml/2006/main">
  <threadedComment ref="D12" personId="{58D7CBF4-770A-4C73-A5CB-9F34A753C88F}" id="{88D99629-9430-4799-888B-536E1B48C1B0}">
    <text xml:space="preserve">Freeze Pane Anchor cell.
Place cursor here if you wish to freeze the panes so you can see which e so you can continue to see the years for the columns you want to review. </text>
  </threadedComment>
  <threadedComment ref="B66" dT="2019-10-09T22:25:54.66" personId="{B99A2D5D-3262-48B4-9518-41102A0FECDD}" id="{B7BA76B9-72DC-4B51-84FC-DCB653FB95D7}">
    <text>removed marketing from this section</text>
  </threadedComment>
  <threadedComment ref="D146" personId="{58D7CBF4-770A-4C73-A5CB-9F34A753C88F}" id="{9A98AA4F-1C78-4B0C-ADC0-E55A5537B0DC}">
    <text>Per student</text>
  </threadedComment>
  <threadedComment ref="D147" personId="{58D7CBF4-770A-4C73-A5CB-9F34A753C88F}" id="{B89FAE20-3CE4-47C1-AE62-E249220CB33F}">
    <text>Per student (not covered by Title I)</text>
  </threadedComment>
  <threadedComment ref="D148" personId="{58D7CBF4-770A-4C73-A5CB-9F34A753C88F}" id="{8B1027DD-1690-4078-BE4E-8CCE2602C947}">
    <text>Per student</text>
  </threadedComment>
  <threadedComment ref="D149" personId="{58D7CBF4-770A-4C73-A5CB-9F34A753C88F}" id="{081B3B9E-102C-4FB3-AD68-C0B3B1CBEAFF}">
    <text>Input "yes or "no"</text>
  </threadedComment>
</ThreadedComments>
</file>

<file path=xl/threadedComments/threadedComment9.xml><?xml version="1.0" encoding="utf-8"?>
<ThreadedComments xmlns="http://schemas.microsoft.com/office/spreadsheetml/2018/threadedcomments" xmlns:x="http://schemas.openxmlformats.org/spreadsheetml/2006/main">
  <threadedComment ref="C13" dT="2019-10-09T22:28:59.88" personId="{B99A2D5D-3262-48B4-9518-41102A0FECDD}" id="{F988B70B-290B-4766-ABAF-6F3E355164A9}">
    <text>added depreciation schedules with asset lives based on their category in the Nevada PPM</text>
  </threadedComment>
  <threadedComment ref="C18" dT="2020-09-18T16:50:29.94" personId="{53965B3A-B08B-4BC2-8174-88EB25E8A830}" id="{3FF9201C-DBC8-4F22-A8BB-367D4D170A1D}">
    <text>you can comment here</text>
  </threadedComment>
</ThreadedComments>
</file>

<file path=xl/threadedComments/threadedComment10.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11.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harterschools.nv.gov/About/Strategic_Plan/" TargetMode="External"/><Relationship Id="rId1" Type="http://schemas.openxmlformats.org/officeDocument/2006/relationships/hyperlink" Target="https://doe.nv.gov/DataCenter"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leg.state.nv.us/Session/82nd2023/Bills/SB/SB503_EN.pdf"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transparentnevada.com/agencies/salaries/charter-schools/" TargetMode="External"/><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4" Type="http://schemas.microsoft.com/office/2017/10/relationships/threadedComment" Target="../threadedComments/threadedComment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charterschools.nv.gov/OpenASchool/Application_Packet/" TargetMode="External"/><Relationship Id="rId1" Type="http://schemas.openxmlformats.org/officeDocument/2006/relationships/hyperlink" Target="https://doe.nv.gov/DataCenter/Enrollment_Data/"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leg.state.nv.us/Session/82nd2023/Bills/SB/SB503_EN.pdf" TargetMode="External"/><Relationship Id="rId2" Type="http://schemas.openxmlformats.org/officeDocument/2006/relationships/hyperlink" Target="https://www.leg.state.nv.us/Session/82nd2023/Bills/SB/SB503_EN.pdf" TargetMode="External"/><Relationship Id="rId1" Type="http://schemas.openxmlformats.org/officeDocument/2006/relationships/hyperlink" Target="https://www.leg.state.nv.us/App/NELIS/REL/81st2021/Bill/8227/Text" TargetMode="External"/><Relationship Id="rId5" Type="http://schemas.openxmlformats.org/officeDocument/2006/relationships/drawing" Target="../drawings/drawing5.x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21.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 Id="rId4" Type="http://schemas.microsoft.com/office/2017/10/relationships/threadedComment" Target="../threadedComments/threadedComment1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Z107"/>
  <sheetViews>
    <sheetView tabSelected="1" workbookViewId="0">
      <selection activeCell="E15" sqref="E15"/>
    </sheetView>
  </sheetViews>
  <sheetFormatPr defaultRowHeight="15" x14ac:dyDescent="0.25"/>
  <cols>
    <col min="1" max="1" width="119.28515625" customWidth="1"/>
  </cols>
  <sheetData>
    <row r="1" spans="1:11" ht="26.65" customHeight="1" x14ac:dyDescent="0.25">
      <c r="A1" s="1351" t="s">
        <v>0</v>
      </c>
    </row>
    <row r="2" spans="1:11" ht="15.75" x14ac:dyDescent="0.25">
      <c r="A2" s="21" t="s">
        <v>1</v>
      </c>
    </row>
    <row r="3" spans="1:11" ht="15.75" x14ac:dyDescent="0.25">
      <c r="A3" s="1654" t="str">
        <f>SchoolName</f>
        <v>Odyssey Charter School</v>
      </c>
    </row>
    <row r="4" spans="1:11" x14ac:dyDescent="0.25">
      <c r="A4" s="375" t="s">
        <v>2</v>
      </c>
      <c r="G4" s="453"/>
      <c r="H4" s="453"/>
      <c r="I4" s="453"/>
      <c r="J4" s="453"/>
      <c r="K4" s="453"/>
    </row>
    <row r="5" spans="1:11" x14ac:dyDescent="0.25">
      <c r="A5" s="376" t="str">
        <f ca="1">CELL("filename")</f>
        <v>\\lvraiders\users\sguthrie\Documents\Charter\Change of Sponsorship\[240126-SPCSA-Odyssey Charter School Application Workbook-AS-IS-Original Version.xlsx]Instructions</v>
      </c>
    </row>
    <row r="6" spans="1:11" ht="15.75" x14ac:dyDescent="0.25">
      <c r="A6" s="1358" t="s">
        <v>3</v>
      </c>
    </row>
    <row r="7" spans="1:11" ht="6" customHeight="1" x14ac:dyDescent="0.25">
      <c r="A7" s="1357"/>
    </row>
    <row r="8" spans="1:11" ht="15.75" x14ac:dyDescent="0.25">
      <c r="A8" s="406" t="s">
        <v>4</v>
      </c>
    </row>
    <row r="9" spans="1:11" ht="12.6" customHeight="1" x14ac:dyDescent="0.25"/>
    <row r="10" spans="1:11" ht="138.75" customHeight="1" x14ac:dyDescent="0.25">
      <c r="A10" s="683" t="s">
        <v>5</v>
      </c>
    </row>
    <row r="12" spans="1:11" ht="15.75" x14ac:dyDescent="0.25">
      <c r="A12" s="406" t="s">
        <v>6</v>
      </c>
    </row>
    <row r="13" spans="1:11" ht="95.25" customHeight="1" x14ac:dyDescent="0.25">
      <c r="A13" s="302" t="s">
        <v>7</v>
      </c>
    </row>
    <row r="14" spans="1:11" x14ac:dyDescent="0.25">
      <c r="A14" s="2"/>
    </row>
    <row r="15" spans="1:11" x14ac:dyDescent="0.25">
      <c r="A15" s="304" t="s">
        <v>8</v>
      </c>
    </row>
    <row r="16" spans="1:11" x14ac:dyDescent="0.25">
      <c r="A16" s="3" t="s">
        <v>9</v>
      </c>
    </row>
    <row r="17" spans="1:1" x14ac:dyDescent="0.25">
      <c r="A17" s="2"/>
    </row>
    <row r="18" spans="1:1" x14ac:dyDescent="0.25">
      <c r="A18" s="304" t="s">
        <v>10</v>
      </c>
    </row>
    <row r="19" spans="1:1" ht="30" x14ac:dyDescent="0.25">
      <c r="A19" s="3" t="s">
        <v>11</v>
      </c>
    </row>
    <row r="20" spans="1:1" x14ac:dyDescent="0.25">
      <c r="A20" s="2"/>
    </row>
    <row r="21" spans="1:1" x14ac:dyDescent="0.25">
      <c r="A21" s="304" t="s">
        <v>12</v>
      </c>
    </row>
    <row r="22" spans="1:1" x14ac:dyDescent="0.25">
      <c r="A22" s="3" t="s">
        <v>13</v>
      </c>
    </row>
    <row r="23" spans="1:1" x14ac:dyDescent="0.25">
      <c r="A23" s="3"/>
    </row>
    <row r="24" spans="1:1" x14ac:dyDescent="0.25">
      <c r="A24" s="304" t="s">
        <v>14</v>
      </c>
    </row>
    <row r="25" spans="1:1" x14ac:dyDescent="0.25">
      <c r="A25" s="3" t="s">
        <v>15</v>
      </c>
    </row>
    <row r="26" spans="1:1" x14ac:dyDescent="0.25">
      <c r="A26" s="3"/>
    </row>
    <row r="27" spans="1:1" x14ac:dyDescent="0.25">
      <c r="A27" s="304" t="s">
        <v>16</v>
      </c>
    </row>
    <row r="28" spans="1:1" ht="30" x14ac:dyDescent="0.25">
      <c r="A28" s="3" t="s">
        <v>17</v>
      </c>
    </row>
    <row r="29" spans="1:1" x14ac:dyDescent="0.25">
      <c r="A29" s="2"/>
    </row>
    <row r="30" spans="1:1" x14ac:dyDescent="0.25">
      <c r="A30" s="304" t="s">
        <v>18</v>
      </c>
    </row>
    <row r="31" spans="1:1" x14ac:dyDescent="0.25">
      <c r="A31" s="1571" t="s">
        <v>19</v>
      </c>
    </row>
    <row r="32" spans="1:1" ht="30" hidden="1" x14ac:dyDescent="0.25">
      <c r="A32" s="303" t="s">
        <v>20</v>
      </c>
    </row>
    <row r="33" spans="1:26" ht="30" hidden="1" x14ac:dyDescent="0.25">
      <c r="A33" s="303" t="s">
        <v>21</v>
      </c>
    </row>
    <row r="34" spans="1:26" ht="30" hidden="1" x14ac:dyDescent="0.25">
      <c r="A34" s="303" t="s">
        <v>22</v>
      </c>
    </row>
    <row r="35" spans="1:26" ht="45" x14ac:dyDescent="0.25">
      <c r="A35" s="2" t="s">
        <v>23</v>
      </c>
    </row>
    <row r="36" spans="1:26" ht="33.75" customHeight="1" x14ac:dyDescent="0.25">
      <c r="A36" s="2" t="s">
        <v>24</v>
      </c>
    </row>
    <row r="37" spans="1:26" ht="30" x14ac:dyDescent="0.25">
      <c r="A37" s="2" t="s">
        <v>25</v>
      </c>
      <c r="S37" s="5"/>
      <c r="T37" s="5"/>
      <c r="U37" s="5"/>
      <c r="V37" s="5"/>
      <c r="W37" s="5"/>
      <c r="X37" s="5"/>
      <c r="Y37" s="5"/>
      <c r="Z37" s="5"/>
    </row>
    <row r="38" spans="1:26" x14ac:dyDescent="0.25">
      <c r="A38" t="s">
        <v>26</v>
      </c>
      <c r="S38" s="5"/>
      <c r="T38" s="5"/>
      <c r="U38" s="5"/>
      <c r="V38" s="5"/>
      <c r="W38" s="5"/>
      <c r="X38" s="5"/>
      <c r="Y38" s="5"/>
      <c r="Z38" s="5"/>
    </row>
    <row r="39" spans="1:26" x14ac:dyDescent="0.25">
      <c r="A39" s="1" t="s">
        <v>27</v>
      </c>
      <c r="S39" s="5"/>
      <c r="T39" s="5"/>
      <c r="U39" s="5"/>
      <c r="V39" s="5"/>
      <c r="W39" s="5"/>
      <c r="X39" s="5"/>
      <c r="Y39" s="5"/>
      <c r="Z39" s="5"/>
    </row>
    <row r="40" spans="1:26" x14ac:dyDescent="0.25">
      <c r="A40" s="1" t="s">
        <v>28</v>
      </c>
      <c r="S40" s="5"/>
      <c r="T40" s="5"/>
      <c r="U40" s="5"/>
      <c r="V40" s="5"/>
      <c r="W40" s="5"/>
      <c r="X40" s="5"/>
      <c r="Y40" s="5"/>
      <c r="Z40" s="5"/>
    </row>
    <row r="41" spans="1:26" x14ac:dyDescent="0.25">
      <c r="A41" s="1" t="s">
        <v>29</v>
      </c>
      <c r="S41" s="5"/>
      <c r="T41" s="5"/>
      <c r="U41" s="5"/>
      <c r="V41" s="5"/>
      <c r="W41" s="5"/>
      <c r="X41" s="5"/>
      <c r="Y41" s="5"/>
      <c r="Z41" s="5"/>
    </row>
    <row r="42" spans="1:26" x14ac:dyDescent="0.25">
      <c r="A42" s="1" t="s">
        <v>30</v>
      </c>
      <c r="S42" s="5"/>
      <c r="T42" s="5"/>
      <c r="U42" s="5"/>
      <c r="V42" s="5"/>
      <c r="W42" s="5"/>
      <c r="X42" s="5"/>
      <c r="Y42" s="5"/>
      <c r="Z42" s="5"/>
    </row>
    <row r="43" spans="1:26" x14ac:dyDescent="0.25">
      <c r="A43" s="1" t="s">
        <v>31</v>
      </c>
      <c r="S43" s="5"/>
      <c r="T43" s="5"/>
      <c r="U43" s="5"/>
      <c r="V43" s="5"/>
      <c r="W43" s="5"/>
      <c r="X43" s="5"/>
      <c r="Y43" s="5"/>
      <c r="Z43" s="5"/>
    </row>
    <row r="44" spans="1:26" x14ac:dyDescent="0.25">
      <c r="A44" s="1" t="s">
        <v>32</v>
      </c>
      <c r="S44" s="5"/>
      <c r="T44" s="5"/>
      <c r="U44" s="5"/>
      <c r="V44" s="5"/>
      <c r="W44" s="5"/>
      <c r="X44" s="5"/>
      <c r="Y44" s="5"/>
      <c r="Z44" s="5"/>
    </row>
    <row r="45" spans="1:26" x14ac:dyDescent="0.25">
      <c r="A45" s="1"/>
      <c r="S45" s="5"/>
      <c r="T45" s="5"/>
      <c r="U45" s="5"/>
      <c r="V45" s="5"/>
      <c r="W45" s="5"/>
      <c r="X45" s="5"/>
      <c r="Y45" s="5"/>
      <c r="Z45" s="5"/>
    </row>
    <row r="46" spans="1:26" x14ac:dyDescent="0.25">
      <c r="A46" s="304" t="s">
        <v>33</v>
      </c>
      <c r="S46" s="5"/>
      <c r="T46" s="5"/>
      <c r="U46" s="5"/>
      <c r="V46" s="5"/>
      <c r="W46" s="5"/>
      <c r="X46" s="5"/>
      <c r="Y46" s="5"/>
      <c r="Z46" s="5"/>
    </row>
    <row r="47" spans="1:26" x14ac:dyDescent="0.25">
      <c r="A47" s="3" t="s">
        <v>34</v>
      </c>
      <c r="S47" s="5"/>
      <c r="T47" s="5"/>
      <c r="U47" s="5"/>
      <c r="V47" s="5"/>
      <c r="W47" s="5"/>
      <c r="X47" s="5"/>
      <c r="Y47" s="5"/>
      <c r="Z47" s="5"/>
    </row>
    <row r="48" spans="1:26" x14ac:dyDescent="0.25">
      <c r="S48" s="5"/>
      <c r="T48" s="5"/>
      <c r="U48" s="5"/>
      <c r="V48" s="5"/>
      <c r="W48" s="5"/>
      <c r="X48" s="5"/>
      <c r="Y48" s="5"/>
      <c r="Z48" s="5"/>
    </row>
    <row r="49" spans="1:26" x14ac:dyDescent="0.25">
      <c r="A49" s="304" t="s">
        <v>35</v>
      </c>
      <c r="S49" s="5"/>
      <c r="T49" s="5"/>
      <c r="U49" s="5"/>
      <c r="V49" s="5"/>
      <c r="W49" s="5"/>
      <c r="X49" s="5"/>
      <c r="Y49" s="5"/>
      <c r="Z49" s="5"/>
    </row>
    <row r="50" spans="1:26" ht="45" x14ac:dyDescent="0.25">
      <c r="A50" s="3" t="s">
        <v>36</v>
      </c>
      <c r="S50" s="5"/>
      <c r="T50" s="5"/>
      <c r="U50" s="5"/>
      <c r="V50" s="5"/>
      <c r="W50" s="5"/>
      <c r="X50" s="5"/>
      <c r="Y50" s="5"/>
      <c r="Z50" s="5"/>
    </row>
    <row r="51" spans="1:26" x14ac:dyDescent="0.25">
      <c r="A51" s="1571" t="s">
        <v>37</v>
      </c>
      <c r="S51" s="5"/>
      <c r="T51" s="5"/>
      <c r="U51" s="5"/>
      <c r="V51" s="5"/>
      <c r="W51" s="5"/>
      <c r="X51" s="5"/>
      <c r="Y51" s="5"/>
      <c r="Z51" s="5"/>
    </row>
    <row r="52" spans="1:26" hidden="1" x14ac:dyDescent="0.25">
      <c r="A52" s="239" t="s">
        <v>38</v>
      </c>
      <c r="S52" s="5"/>
      <c r="T52" s="5"/>
      <c r="U52" s="5"/>
      <c r="V52" s="5"/>
      <c r="W52" s="5"/>
      <c r="X52" s="5"/>
      <c r="Y52" s="5"/>
      <c r="Z52" s="5"/>
    </row>
    <row r="53" spans="1:26" hidden="1" x14ac:dyDescent="0.25">
      <c r="A53" s="239" t="s">
        <v>39</v>
      </c>
      <c r="S53" s="5"/>
      <c r="T53" s="5"/>
      <c r="U53" s="5"/>
      <c r="V53" s="5"/>
      <c r="W53" s="5"/>
      <c r="X53" s="5"/>
      <c r="Y53" s="5"/>
      <c r="Z53" s="5"/>
    </row>
    <row r="54" spans="1:26" hidden="1" x14ac:dyDescent="0.25">
      <c r="A54" s="239" t="s">
        <v>40</v>
      </c>
      <c r="S54" s="5"/>
      <c r="T54" s="5"/>
      <c r="U54" s="5"/>
      <c r="V54" s="5"/>
      <c r="W54" s="5"/>
      <c r="X54" s="5"/>
      <c r="Y54" s="5"/>
      <c r="Z54" s="5"/>
    </row>
    <row r="55" spans="1:26" ht="30" hidden="1" x14ac:dyDescent="0.25">
      <c r="A55" s="303" t="s">
        <v>41</v>
      </c>
      <c r="S55" s="5"/>
      <c r="T55" s="5"/>
      <c r="U55" s="5"/>
      <c r="V55" s="5"/>
      <c r="W55" s="5"/>
      <c r="X55" s="5"/>
      <c r="Y55" s="5"/>
      <c r="Z55" s="5"/>
    </row>
    <row r="56" spans="1:26" hidden="1" x14ac:dyDescent="0.25">
      <c r="A56" s="239" t="s">
        <v>42</v>
      </c>
      <c r="S56" s="5"/>
      <c r="T56" s="5"/>
      <c r="U56" s="5"/>
      <c r="V56" s="5"/>
      <c r="W56" s="5"/>
      <c r="X56" s="5"/>
      <c r="Y56" s="5"/>
      <c r="Z56" s="5"/>
    </row>
    <row r="57" spans="1:26" hidden="1" x14ac:dyDescent="0.25">
      <c r="A57" s="239" t="s">
        <v>43</v>
      </c>
      <c r="S57" s="5"/>
      <c r="T57" s="5"/>
      <c r="U57" s="5"/>
      <c r="V57" s="5"/>
      <c r="W57" s="5"/>
      <c r="X57" s="5"/>
      <c r="Y57" s="5"/>
      <c r="Z57" s="5"/>
    </row>
    <row r="58" spans="1:26" hidden="1" x14ac:dyDescent="0.25">
      <c r="A58" s="239" t="s">
        <v>44</v>
      </c>
      <c r="S58" s="5"/>
      <c r="T58" s="5"/>
      <c r="U58" s="5"/>
      <c r="V58" s="5"/>
      <c r="W58" s="5"/>
      <c r="X58" s="5"/>
      <c r="Y58" s="5"/>
      <c r="Z58" s="5"/>
    </row>
    <row r="59" spans="1:26" ht="30" hidden="1" x14ac:dyDescent="0.25">
      <c r="A59" s="303" t="s">
        <v>45</v>
      </c>
      <c r="S59" s="5"/>
      <c r="T59" s="5"/>
      <c r="U59" s="5"/>
      <c r="V59" s="5"/>
      <c r="W59" s="5"/>
      <c r="X59" s="5"/>
      <c r="Y59" s="5"/>
      <c r="Z59" s="5"/>
    </row>
    <row r="60" spans="1:26" ht="47.25" hidden="1" customHeight="1" x14ac:dyDescent="0.25">
      <c r="A60" s="303" t="s">
        <v>46</v>
      </c>
      <c r="S60" s="5"/>
      <c r="T60" s="5"/>
      <c r="U60" s="5"/>
      <c r="V60" s="5"/>
      <c r="W60" s="5"/>
      <c r="X60" s="5"/>
      <c r="Y60" s="5"/>
      <c r="Z60" s="5"/>
    </row>
    <row r="61" spans="1:26" ht="15" hidden="1" customHeight="1" x14ac:dyDescent="0.25">
      <c r="A61" s="303" t="s">
        <v>47</v>
      </c>
      <c r="S61" s="5"/>
      <c r="T61" s="5"/>
      <c r="U61" s="5"/>
      <c r="V61" s="5"/>
      <c r="W61" s="5"/>
      <c r="X61" s="5"/>
      <c r="Y61" s="5"/>
      <c r="Z61" s="5"/>
    </row>
    <row r="62" spans="1:26" ht="29.25" hidden="1" customHeight="1" x14ac:dyDescent="0.25">
      <c r="A62" s="303" t="s">
        <v>48</v>
      </c>
      <c r="S62" s="5"/>
      <c r="T62" s="5"/>
      <c r="U62" s="5"/>
      <c r="V62" s="5"/>
      <c r="W62" s="5"/>
      <c r="X62" s="5"/>
      <c r="Y62" s="5"/>
      <c r="Z62" s="5"/>
    </row>
    <row r="63" spans="1:26" x14ac:dyDescent="0.25">
      <c r="S63" s="5"/>
      <c r="T63" s="5"/>
      <c r="U63" s="5"/>
      <c r="V63" s="5"/>
      <c r="W63" s="5"/>
      <c r="X63" s="5"/>
      <c r="Y63" s="5"/>
      <c r="Z63" s="5"/>
    </row>
    <row r="64" spans="1:26" x14ac:dyDescent="0.25">
      <c r="A64" s="304" t="s">
        <v>49</v>
      </c>
      <c r="S64" s="5"/>
      <c r="T64" s="5"/>
      <c r="U64" s="5"/>
      <c r="V64" s="5"/>
      <c r="W64" s="5"/>
      <c r="X64" s="5"/>
      <c r="Y64" s="5"/>
      <c r="Z64" s="5"/>
    </row>
    <row r="65" spans="1:26" x14ac:dyDescent="0.25">
      <c r="A65" s="3" t="s">
        <v>50</v>
      </c>
      <c r="S65" s="5"/>
      <c r="T65" s="5"/>
      <c r="U65" s="5"/>
      <c r="V65" s="5"/>
      <c r="W65" s="5"/>
      <c r="X65" s="5"/>
      <c r="Y65" s="5"/>
      <c r="Z65" s="5"/>
    </row>
    <row r="66" spans="1:26" x14ac:dyDescent="0.25">
      <c r="S66" s="5"/>
      <c r="T66" s="5"/>
      <c r="U66" s="5"/>
      <c r="V66" s="5"/>
      <c r="W66" s="5"/>
      <c r="X66" s="5"/>
      <c r="Y66" s="5"/>
      <c r="Z66" s="5"/>
    </row>
    <row r="67" spans="1:26" x14ac:dyDescent="0.25">
      <c r="A67" s="304" t="s">
        <v>51</v>
      </c>
      <c r="S67" s="5"/>
      <c r="T67" s="5"/>
      <c r="U67" s="5"/>
      <c r="V67" s="5"/>
      <c r="W67" s="5"/>
      <c r="X67" s="5"/>
      <c r="Y67" s="5"/>
      <c r="Z67" s="5"/>
    </row>
    <row r="68" spans="1:26" ht="30" x14ac:dyDescent="0.25">
      <c r="A68" s="3" t="s">
        <v>52</v>
      </c>
      <c r="S68" s="5"/>
      <c r="T68" s="5"/>
      <c r="U68" s="5"/>
      <c r="V68" s="5"/>
      <c r="W68" s="5"/>
      <c r="X68" s="5"/>
      <c r="Y68" s="5"/>
      <c r="Z68" s="5"/>
    </row>
    <row r="69" spans="1:26" x14ac:dyDescent="0.25">
      <c r="A69" s="3" t="s">
        <v>53</v>
      </c>
      <c r="S69" s="5"/>
      <c r="T69" s="5"/>
      <c r="U69" s="5"/>
      <c r="V69" s="5"/>
      <c r="W69" s="5"/>
      <c r="X69" s="5"/>
      <c r="Y69" s="5"/>
      <c r="Z69" s="5"/>
    </row>
    <row r="70" spans="1:26" ht="30.75" hidden="1" customHeight="1" x14ac:dyDescent="0.25">
      <c r="A70" s="2" t="s">
        <v>54</v>
      </c>
      <c r="S70" s="5"/>
      <c r="T70" s="5"/>
      <c r="U70" s="5"/>
      <c r="V70" s="5"/>
      <c r="W70" s="5"/>
      <c r="X70" s="5"/>
      <c r="Y70" s="5"/>
      <c r="Z70" s="5"/>
    </row>
    <row r="71" spans="1:26" ht="30" hidden="1" x14ac:dyDescent="0.25">
      <c r="A71" s="2" t="s">
        <v>55</v>
      </c>
      <c r="S71" s="5"/>
      <c r="T71" s="5"/>
      <c r="U71" s="5"/>
      <c r="V71" s="5"/>
      <c r="W71" s="5"/>
      <c r="X71" s="5"/>
      <c r="Y71" s="5"/>
      <c r="Z71" s="5"/>
    </row>
    <row r="72" spans="1:26" x14ac:dyDescent="0.25">
      <c r="A72" s="2" t="s">
        <v>56</v>
      </c>
      <c r="S72" s="5"/>
      <c r="T72" s="5"/>
      <c r="U72" s="5"/>
      <c r="V72" s="5"/>
      <c r="W72" s="5"/>
      <c r="X72" s="5"/>
      <c r="Y72" s="5"/>
      <c r="Z72" s="5"/>
    </row>
    <row r="73" spans="1:26" x14ac:dyDescent="0.25">
      <c r="S73" s="5"/>
      <c r="T73" s="5"/>
      <c r="U73" s="5"/>
      <c r="V73" s="5"/>
      <c r="W73" s="5"/>
      <c r="X73" s="5"/>
      <c r="Y73" s="5"/>
      <c r="Z73" s="5"/>
    </row>
    <row r="74" spans="1:26" x14ac:dyDescent="0.25">
      <c r="A74" s="304" t="s">
        <v>57</v>
      </c>
      <c r="S74" s="5"/>
      <c r="T74" s="5"/>
      <c r="U74" s="5"/>
      <c r="V74" s="5"/>
      <c r="W74" s="5"/>
      <c r="X74" s="5"/>
      <c r="Y74" s="5"/>
      <c r="Z74" s="5"/>
    </row>
    <row r="75" spans="1:26" x14ac:dyDescent="0.25">
      <c r="A75" s="3" t="s">
        <v>58</v>
      </c>
      <c r="S75" s="5"/>
      <c r="T75" s="5"/>
      <c r="U75" s="5"/>
      <c r="V75" s="5"/>
      <c r="W75" s="5"/>
      <c r="X75" s="5"/>
      <c r="Y75" s="5"/>
      <c r="Z75" s="5"/>
    </row>
    <row r="76" spans="1:26" x14ac:dyDescent="0.25">
      <c r="A76" s="2"/>
      <c r="S76" s="5"/>
      <c r="T76" s="5"/>
      <c r="U76" s="5"/>
      <c r="V76" s="5"/>
      <c r="W76" s="5"/>
      <c r="X76" s="5"/>
      <c r="Y76" s="5"/>
      <c r="Z76" s="5"/>
    </row>
    <row r="77" spans="1:26" x14ac:dyDescent="0.25">
      <c r="A77" s="304" t="s">
        <v>59</v>
      </c>
      <c r="S77" s="5"/>
      <c r="T77" s="5"/>
      <c r="U77" s="5"/>
      <c r="V77" s="5"/>
      <c r="W77" s="5"/>
      <c r="X77" s="5"/>
      <c r="Y77" s="5"/>
      <c r="Z77" s="5"/>
    </row>
    <row r="78" spans="1:26" x14ac:dyDescent="0.25">
      <c r="A78" s="3" t="s">
        <v>60</v>
      </c>
      <c r="S78" s="5"/>
      <c r="T78" s="5"/>
      <c r="U78" s="5"/>
      <c r="V78" s="5"/>
      <c r="W78" s="5"/>
      <c r="X78" s="5"/>
      <c r="Y78" s="5"/>
      <c r="Z78" s="5"/>
    </row>
    <row r="79" spans="1:26" x14ac:dyDescent="0.25">
      <c r="A79" s="3"/>
    </row>
    <row r="80" spans="1:26" x14ac:dyDescent="0.25">
      <c r="A80" s="304" t="s">
        <v>61</v>
      </c>
    </row>
    <row r="81" spans="1:1" x14ac:dyDescent="0.25">
      <c r="A81" s="3" t="s">
        <v>62</v>
      </c>
    </row>
    <row r="82" spans="1:1" ht="30" x14ac:dyDescent="0.25">
      <c r="A82" s="3" t="s">
        <v>63</v>
      </c>
    </row>
    <row r="83" spans="1:1" x14ac:dyDescent="0.25">
      <c r="A83" s="3"/>
    </row>
    <row r="84" spans="1:1" x14ac:dyDescent="0.25">
      <c r="A84" s="304" t="s">
        <v>64</v>
      </c>
    </row>
    <row r="85" spans="1:1" x14ac:dyDescent="0.25">
      <c r="A85" s="3" t="s">
        <v>65</v>
      </c>
    </row>
    <row r="86" spans="1:1" x14ac:dyDescent="0.25">
      <c r="A86" s="3"/>
    </row>
    <row r="87" spans="1:1" x14ac:dyDescent="0.25">
      <c r="A87" s="1572" t="s">
        <v>66</v>
      </c>
    </row>
    <row r="88" spans="1:1" x14ac:dyDescent="0.25">
      <c r="A88" s="3" t="s">
        <v>67</v>
      </c>
    </row>
    <row r="90" spans="1:1" x14ac:dyDescent="0.25">
      <c r="A90" s="1572" t="s">
        <v>68</v>
      </c>
    </row>
    <row r="91" spans="1:1" x14ac:dyDescent="0.25">
      <c r="A91" s="3" t="s">
        <v>67</v>
      </c>
    </row>
    <row r="92" spans="1:1" x14ac:dyDescent="0.25">
      <c r="A92" s="3"/>
    </row>
    <row r="93" spans="1:1" x14ac:dyDescent="0.25">
      <c r="A93" s="1572" t="s">
        <v>69</v>
      </c>
    </row>
    <row r="94" spans="1:1" x14ac:dyDescent="0.25">
      <c r="A94" s="3" t="s">
        <v>70</v>
      </c>
    </row>
    <row r="95" spans="1:1" ht="30" x14ac:dyDescent="0.25">
      <c r="A95" s="3" t="s">
        <v>71</v>
      </c>
    </row>
    <row r="97" spans="1:1" x14ac:dyDescent="0.25">
      <c r="A97" s="1572" t="s">
        <v>72</v>
      </c>
    </row>
    <row r="98" spans="1:1" x14ac:dyDescent="0.25">
      <c r="A98" s="3" t="s">
        <v>73</v>
      </c>
    </row>
    <row r="99" spans="1:1" ht="30" x14ac:dyDescent="0.25">
      <c r="A99" s="3" t="s">
        <v>74</v>
      </c>
    </row>
    <row r="100" spans="1:1" x14ac:dyDescent="0.25">
      <c r="A100" s="3"/>
    </row>
    <row r="101" spans="1:1" x14ac:dyDescent="0.25">
      <c r="A101" s="1572" t="s">
        <v>75</v>
      </c>
    </row>
    <row r="102" spans="1:1" x14ac:dyDescent="0.25">
      <c r="A102" s="3" t="s">
        <v>67</v>
      </c>
    </row>
    <row r="103" spans="1:1" x14ac:dyDescent="0.25">
      <c r="A103" s="3"/>
    </row>
    <row r="104" spans="1:1" x14ac:dyDescent="0.25">
      <c r="A104" s="676"/>
    </row>
    <row r="105" spans="1:1" x14ac:dyDescent="0.25">
      <c r="A105" s="405" t="s">
        <v>76</v>
      </c>
    </row>
    <row r="106" spans="1:1" x14ac:dyDescent="0.25">
      <c r="A106" s="1573" t="s">
        <v>77</v>
      </c>
    </row>
    <row r="107" spans="1:1" x14ac:dyDescent="0.25">
      <c r="A107" s="1573" t="s">
        <v>78</v>
      </c>
    </row>
  </sheetData>
  <sheetProtection algorithmName="SHA-512" hashValue="LPRqc904aLa+C8O+Z5lzfVaE4jSyMK8ouF6sIQQnXTaxfLJ1NeJSPFxXeIR2r2P799+ZEAaEBqL5utzDSRFeYA==" saltValue="lmOoZWFYKFHBy64V6m/eHQ==" spinCount="100000" sheet="1" objects="1" scenarios="1"/>
  <hyperlinks>
    <hyperlink ref="A6" location="HypLink1" display="HypLink1" xr:uid="{B4FAA55C-DF6E-4B2A-9D27-F7F9957BFA3F}"/>
  </hyperlinks>
  <pageMargins left="0.35" right="0.25" top="0.32" bottom="0.5" header="0.32" footer="0.3"/>
  <pageSetup scale="84" fitToHeight="0" orientation="portrait" r:id="rId1"/>
  <headerFooter>
    <oddFooter>&amp;L&amp;7&amp;D  at &amp;T Mike 702.854.0691&amp;C&amp;7Page &amp;P of &amp;N&amp;R&amp;7&amp;F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theme="3" tint="0.59999389629810485"/>
  </sheetPr>
  <dimension ref="A1:G27"/>
  <sheetViews>
    <sheetView workbookViewId="0"/>
  </sheetViews>
  <sheetFormatPr defaultRowHeight="15.75" x14ac:dyDescent="0.25"/>
  <cols>
    <col min="1" max="1" width="1.28515625" style="119" customWidth="1"/>
    <col min="2" max="2" width="3.28515625" customWidth="1"/>
    <col min="3" max="3" width="19" customWidth="1"/>
    <col min="4" max="4" width="21.5703125" customWidth="1"/>
    <col min="5" max="5" width="25.42578125" customWidth="1"/>
    <col min="6" max="6" width="23.28515625" customWidth="1"/>
    <col min="7" max="7" width="14.5703125" customWidth="1"/>
  </cols>
  <sheetData>
    <row r="1" spans="1:7" x14ac:dyDescent="0.25">
      <c r="A1" s="21" t="s">
        <v>79</v>
      </c>
      <c r="B1" s="21"/>
      <c r="C1" s="21"/>
      <c r="D1" s="21"/>
      <c r="F1" s="407" t="s">
        <v>3</v>
      </c>
    </row>
    <row r="2" spans="1:7" x14ac:dyDescent="0.25">
      <c r="A2" s="1654" t="str">
        <f>SchoolName</f>
        <v>Odyssey Charter School</v>
      </c>
      <c r="B2" s="121"/>
      <c r="C2" s="121"/>
      <c r="D2" s="121"/>
    </row>
    <row r="3" spans="1:7" ht="15" x14ac:dyDescent="0.25">
      <c r="A3" s="19" t="s">
        <v>80</v>
      </c>
    </row>
    <row r="4" spans="1:7" ht="15" x14ac:dyDescent="0.25">
      <c r="A4" s="20" t="s">
        <v>81</v>
      </c>
    </row>
    <row r="5" spans="1:7" ht="15" x14ac:dyDescent="0.25">
      <c r="A5" s="120" t="str">
        <f ca="1">CELL("filename")</f>
        <v>\\lvraiders\users\sguthrie\Documents\Charter\Change of Sponsorship\[240126-SPCSA-Odyssey Charter School Application Workbook-AS-IS-Original Version.xlsx]Instructions</v>
      </c>
    </row>
    <row r="8" spans="1:7" x14ac:dyDescent="0.25">
      <c r="C8" s="1651" t="s">
        <v>82</v>
      </c>
      <c r="D8" s="1651"/>
      <c r="E8" s="1651"/>
      <c r="F8" s="63"/>
      <c r="G8" s="63"/>
    </row>
    <row r="9" spans="1:7" ht="34.5" x14ac:dyDescent="0.45">
      <c r="B9" s="481">
        <f>ROW()</f>
        <v>9</v>
      </c>
      <c r="C9" s="1767" t="s">
        <v>1477</v>
      </c>
      <c r="D9" s="1767"/>
      <c r="E9" s="1767"/>
      <c r="F9" s="1767"/>
      <c r="G9" s="1767"/>
    </row>
    <row r="10" spans="1:7" x14ac:dyDescent="0.25">
      <c r="B10" s="481">
        <f>ROW()</f>
        <v>10</v>
      </c>
    </row>
    <row r="11" spans="1:7" x14ac:dyDescent="0.25">
      <c r="B11" s="481">
        <f>ROW()</f>
        <v>11</v>
      </c>
      <c r="C11" s="1649" t="s">
        <v>83</v>
      </c>
      <c r="E11" s="300">
        <v>2025</v>
      </c>
      <c r="F11" s="961" t="str">
        <f>"Fiscal Year beginning July 1, 20"&amp;RIGHT(E11,2)</f>
        <v>Fiscal Year beginning July 1, 2025</v>
      </c>
    </row>
    <row r="12" spans="1:7" x14ac:dyDescent="0.25">
      <c r="B12" s="481">
        <f>ROW()</f>
        <v>12</v>
      </c>
      <c r="C12" s="1649" t="s">
        <v>84</v>
      </c>
      <c r="E12" s="180">
        <f>+E11+1</f>
        <v>2026</v>
      </c>
      <c r="F12" s="961" t="str">
        <f>"aka Fiscal Year Ending (FYE) Jun 30, 20"&amp;RIGHT(E12,2)</f>
        <v>aka Fiscal Year Ending (FYE) Jun 30, 2026</v>
      </c>
    </row>
    <row r="13" spans="1:7" x14ac:dyDescent="0.25">
      <c r="B13" s="481">
        <f>ROW()</f>
        <v>13</v>
      </c>
    </row>
    <row r="14" spans="1:7" hidden="1" x14ac:dyDescent="0.25">
      <c r="B14" s="481">
        <f>ROW()</f>
        <v>14</v>
      </c>
      <c r="C14" s="1651" t="s">
        <v>85</v>
      </c>
      <c r="D14" s="1651"/>
      <c r="E14" s="57" t="s">
        <v>86</v>
      </c>
      <c r="F14" s="1769" t="s">
        <v>87</v>
      </c>
      <c r="G14" s="1769"/>
    </row>
    <row r="15" spans="1:7" hidden="1" x14ac:dyDescent="0.25">
      <c r="B15" s="481">
        <f>ROW()</f>
        <v>15</v>
      </c>
      <c r="C15" s="1770" t="s">
        <v>88</v>
      </c>
      <c r="D15" s="1770"/>
      <c r="E15" s="301"/>
      <c r="F15" s="1771"/>
      <c r="G15" s="1771"/>
    </row>
    <row r="16" spans="1:7" hidden="1" x14ac:dyDescent="0.25">
      <c r="B16" s="481">
        <f>ROW()</f>
        <v>16</v>
      </c>
      <c r="C16" s="1772"/>
      <c r="D16" s="1772"/>
      <c r="E16" s="301"/>
      <c r="F16" s="1773"/>
      <c r="G16" s="1773"/>
    </row>
    <row r="17" spans="2:7" ht="30.75" hidden="1" customHeight="1" x14ac:dyDescent="0.25">
      <c r="B17" s="481">
        <f>ROW()</f>
        <v>17</v>
      </c>
      <c r="C17" s="1768" t="s">
        <v>89</v>
      </c>
      <c r="D17" s="1768"/>
      <c r="E17" s="1768"/>
      <c r="F17" s="1768"/>
      <c r="G17" s="1768"/>
    </row>
    <row r="18" spans="2:7" ht="18" hidden="1" customHeight="1" x14ac:dyDescent="0.25">
      <c r="B18" s="481">
        <f>ROW()</f>
        <v>18</v>
      </c>
      <c r="C18" s="1774" t="s">
        <v>88</v>
      </c>
      <c r="D18" s="1774"/>
      <c r="E18" s="1774"/>
      <c r="F18" s="1774"/>
      <c r="G18" s="1774"/>
    </row>
    <row r="19" spans="2:7" ht="18" hidden="1" customHeight="1" x14ac:dyDescent="0.25">
      <c r="B19" s="481">
        <f>ROW()</f>
        <v>19</v>
      </c>
      <c r="C19" s="1766" t="s">
        <v>90</v>
      </c>
      <c r="D19" s="1766"/>
      <c r="E19" s="1766"/>
      <c r="F19" s="1766"/>
      <c r="G19" s="1766"/>
    </row>
    <row r="20" spans="2:7" hidden="1" x14ac:dyDescent="0.25">
      <c r="B20" s="481">
        <f>ROW()</f>
        <v>20</v>
      </c>
      <c r="C20" s="80" t="s">
        <v>91</v>
      </c>
    </row>
    <row r="21" spans="2:7" hidden="1" x14ac:dyDescent="0.25">
      <c r="B21" s="481">
        <f>ROW()</f>
        <v>21</v>
      </c>
      <c r="C21" s="80"/>
    </row>
    <row r="22" spans="2:7" hidden="1" x14ac:dyDescent="0.25">
      <c r="B22" s="481">
        <f>ROW()</f>
        <v>22</v>
      </c>
      <c r="C22" s="31" t="s">
        <v>92</v>
      </c>
    </row>
    <row r="23" spans="2:7" hidden="1" x14ac:dyDescent="0.25">
      <c r="B23" s="481">
        <f>ROW()</f>
        <v>23</v>
      </c>
      <c r="C23" s="253"/>
      <c r="D23" s="97" t="s">
        <v>93</v>
      </c>
    </row>
    <row r="24" spans="2:7" hidden="1" x14ac:dyDescent="0.25">
      <c r="B24" s="481">
        <f>ROW()</f>
        <v>24</v>
      </c>
      <c r="C24" s="42"/>
      <c r="D24" s="80" t="s">
        <v>94</v>
      </c>
    </row>
    <row r="25" spans="2:7" hidden="1" x14ac:dyDescent="0.25">
      <c r="B25" s="481">
        <f>ROW()</f>
        <v>25</v>
      </c>
      <c r="C25" s="253"/>
      <c r="D25" s="33" t="s">
        <v>95</v>
      </c>
    </row>
    <row r="26" spans="2:7" hidden="1" x14ac:dyDescent="0.25">
      <c r="B26" s="481">
        <f>ROW()</f>
        <v>26</v>
      </c>
      <c r="C26" s="42"/>
    </row>
    <row r="27" spans="2:7" hidden="1" x14ac:dyDescent="0.25">
      <c r="B27" s="481">
        <f>ROW()</f>
        <v>27</v>
      </c>
      <c r="C27" s="253"/>
      <c r="D27" s="33" t="s">
        <v>96</v>
      </c>
    </row>
  </sheetData>
  <sheetProtection algorithmName="SHA-512" hashValue="IVv98LqZHKghUM4uqIscIixGicHoSmi2COnklFSfT9kB9H6kTK3xruKGueEMsAdvlCkG1ufDKO9pWV6RUcdTmA==" saltValue="0QaansQDeo/mJq/Cv822Hw==" spinCount="100000" sheet="1" objects="1" scenarios="1"/>
  <mergeCells count="9">
    <mergeCell ref="C19:G19"/>
    <mergeCell ref="C9:G9"/>
    <mergeCell ref="C17:G17"/>
    <mergeCell ref="F14:G14"/>
    <mergeCell ref="C15:D15"/>
    <mergeCell ref="F15:G15"/>
    <mergeCell ref="C16:D16"/>
    <mergeCell ref="F16:G16"/>
    <mergeCell ref="C18:G18"/>
  </mergeCells>
  <conditionalFormatting sqref="C11:C12">
    <cfRule type="cellIs" dxfId="81" priority="1" stopIfTrue="1" operator="equal">
      <formula>0</formula>
    </cfRule>
  </conditionalFormatting>
  <conditionalFormatting sqref="D23">
    <cfRule type="cellIs" dxfId="80" priority="9" stopIfTrue="1" operator="equal">
      <formula>0</formula>
    </cfRule>
  </conditionalFormatting>
  <conditionalFormatting sqref="F1">
    <cfRule type="expression" dxfId="79" priority="3" stopIfTrue="1">
      <formula>MOD(ROW(),2)=0</formula>
    </cfRule>
  </conditionalFormatting>
  <hyperlinks>
    <hyperlink ref="F1" location="HypLink1" display="HypLink1" xr:uid="{A1A8BAD8-FB75-4113-A7FE-EC7887A9CE4A}"/>
  </hyperlink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5338-B7CD-4126-B245-F298DB5C0541}">
  <sheetPr codeName="Sheet23">
    <tabColor theme="3" tint="0.59999389629810485"/>
  </sheetPr>
  <dimension ref="A1:S37"/>
  <sheetViews>
    <sheetView workbookViewId="0"/>
  </sheetViews>
  <sheetFormatPr defaultRowHeight="15.75" x14ac:dyDescent="0.25"/>
  <cols>
    <col min="1" max="1" width="6.28515625" style="119" customWidth="1"/>
    <col min="2" max="2" width="31.7109375" style="119" customWidth="1"/>
    <col min="3" max="4" width="11.28515625" style="119" bestFit="1" customWidth="1"/>
    <col min="10" max="10" width="14.7109375" customWidth="1"/>
    <col min="11" max="11" width="2.28515625" customWidth="1"/>
    <col min="12" max="12" width="4.7109375" customWidth="1"/>
    <col min="13" max="13" width="47.7109375" style="1366" customWidth="1"/>
  </cols>
  <sheetData>
    <row r="1" spans="1:19" x14ac:dyDescent="0.25">
      <c r="A1" s="21" t="s">
        <v>97</v>
      </c>
      <c r="B1" s="21"/>
      <c r="C1" s="21"/>
      <c r="D1" s="21"/>
      <c r="E1" s="21"/>
      <c r="F1" s="21"/>
    </row>
    <row r="2" spans="1:19" x14ac:dyDescent="0.25">
      <c r="A2" s="1654" t="str">
        <f>SchoolName</f>
        <v>Odyssey Charter School</v>
      </c>
      <c r="B2" s="1654"/>
      <c r="C2" s="1654"/>
      <c r="D2" s="1654"/>
      <c r="E2" s="121"/>
      <c r="F2" s="121"/>
    </row>
    <row r="3" spans="1:19" ht="15" x14ac:dyDescent="0.25">
      <c r="A3" s="375" t="s">
        <v>2</v>
      </c>
      <c r="B3" s="375"/>
      <c r="C3" s="375"/>
      <c r="D3" s="375"/>
    </row>
    <row r="4" spans="1:19" ht="15" x14ac:dyDescent="0.25">
      <c r="A4" s="376" t="str">
        <f ca="1">CELL("filename")</f>
        <v>\\lvraiders\users\sguthrie\Documents\Charter\Change of Sponsorship\[240126-SPCSA-Odyssey Charter School Application Workbook-AS-IS-Original Version.xlsx]Instructions</v>
      </c>
      <c r="B4" s="376"/>
      <c r="C4" s="376"/>
      <c r="D4" s="376"/>
    </row>
    <row r="5" spans="1:19" x14ac:dyDescent="0.25">
      <c r="A5" s="1313" t="s">
        <v>98</v>
      </c>
    </row>
    <row r="6" spans="1:19" x14ac:dyDescent="0.25">
      <c r="C6" s="1359" t="s">
        <v>99</v>
      </c>
      <c r="D6" s="1359" t="s">
        <v>99</v>
      </c>
      <c r="E6" s="33"/>
      <c r="F6" s="33"/>
    </row>
    <row r="7" spans="1:19" x14ac:dyDescent="0.25">
      <c r="B7" s="403"/>
      <c r="C7" s="1360" t="s">
        <v>100</v>
      </c>
      <c r="D7" s="1360" t="s">
        <v>101</v>
      </c>
      <c r="E7" s="690" t="s">
        <v>102</v>
      </c>
      <c r="F7" s="63"/>
      <c r="G7" s="404"/>
      <c r="H7" s="404"/>
      <c r="I7" s="404"/>
      <c r="J7" s="404"/>
      <c r="M7" s="1365" t="s">
        <v>103</v>
      </c>
    </row>
    <row r="8" spans="1:19" ht="18.600000000000001" customHeight="1" x14ac:dyDescent="0.25">
      <c r="B8" s="1313" t="s">
        <v>104</v>
      </c>
      <c r="C8" s="1356" t="s">
        <v>105</v>
      </c>
      <c r="F8" s="401"/>
      <c r="G8" s="401"/>
      <c r="H8" s="401"/>
      <c r="I8" s="402"/>
      <c r="J8" s="402"/>
      <c r="M8" s="689"/>
      <c r="S8" s="453"/>
    </row>
    <row r="9" spans="1:19" ht="18.600000000000001" customHeight="1" x14ac:dyDescent="0.25">
      <c r="A9" s="1352">
        <f>ROW()</f>
        <v>9</v>
      </c>
      <c r="B9" s="1539" t="s">
        <v>106</v>
      </c>
      <c r="C9" s="1616" t="s">
        <v>1572</v>
      </c>
      <c r="D9" s="1264"/>
      <c r="E9" s="1355" t="s">
        <v>107</v>
      </c>
      <c r="F9" s="1353"/>
      <c r="G9" s="1353"/>
      <c r="H9" s="1353"/>
      <c r="I9" s="1354"/>
      <c r="J9" s="1354"/>
      <c r="M9" s="689"/>
      <c r="S9" s="453"/>
    </row>
    <row r="10" spans="1:19" ht="18.600000000000001" customHeight="1" x14ac:dyDescent="0.25">
      <c r="A10" s="1352">
        <f>ROW()</f>
        <v>10</v>
      </c>
      <c r="B10" s="1540" t="s">
        <v>108</v>
      </c>
      <c r="C10" s="1264" t="s">
        <v>1572</v>
      </c>
      <c r="D10" s="1264"/>
      <c r="E10" s="1617"/>
      <c r="F10" s="72"/>
      <c r="G10" s="72"/>
      <c r="H10" s="72"/>
      <c r="I10" s="374"/>
      <c r="J10" s="374"/>
      <c r="M10" s="689" t="s">
        <v>109</v>
      </c>
      <c r="S10" s="453"/>
    </row>
    <row r="11" spans="1:19" ht="18.600000000000001" customHeight="1" x14ac:dyDescent="0.25">
      <c r="A11" s="1352">
        <f>ROW()</f>
        <v>11</v>
      </c>
      <c r="B11" s="1540" t="s">
        <v>110</v>
      </c>
      <c r="C11" s="1264" t="s">
        <v>1572</v>
      </c>
      <c r="D11" s="1264"/>
      <c r="E11" s="1618"/>
      <c r="G11" s="72"/>
      <c r="H11" s="72"/>
      <c r="I11" s="374"/>
      <c r="J11" s="374"/>
      <c r="M11" s="689"/>
      <c r="S11" s="453"/>
    </row>
    <row r="12" spans="1:19" ht="18.600000000000001" customHeight="1" x14ac:dyDescent="0.25">
      <c r="A12" s="1352">
        <f>ROW()</f>
        <v>12</v>
      </c>
      <c r="B12" s="1540" t="s">
        <v>111</v>
      </c>
      <c r="C12" s="1616" t="s">
        <v>1572</v>
      </c>
      <c r="D12" s="1264"/>
      <c r="E12" s="1617" t="s">
        <v>112</v>
      </c>
      <c r="F12" s="72"/>
      <c r="G12" s="72"/>
      <c r="H12" s="72"/>
      <c r="I12" s="374"/>
      <c r="J12" s="374"/>
      <c r="M12" s="689"/>
      <c r="S12" s="453"/>
    </row>
    <row r="13" spans="1:19" ht="18.600000000000001" customHeight="1" x14ac:dyDescent="0.25">
      <c r="A13" s="1352">
        <f>ROW()</f>
        <v>13</v>
      </c>
      <c r="B13" s="1540" t="s">
        <v>113</v>
      </c>
      <c r="C13" s="1616" t="s">
        <v>1572</v>
      </c>
      <c r="D13" s="1264"/>
      <c r="E13" s="1618"/>
      <c r="F13" s="72"/>
      <c r="G13" s="72"/>
      <c r="H13" s="72"/>
      <c r="I13" s="374"/>
      <c r="J13" s="374"/>
      <c r="M13" s="689"/>
      <c r="S13" s="453"/>
    </row>
    <row r="14" spans="1:19" ht="18.600000000000001" customHeight="1" x14ac:dyDescent="0.25">
      <c r="A14" s="1352">
        <f>ROW()</f>
        <v>14</v>
      </c>
      <c r="B14" s="1540" t="s">
        <v>114</v>
      </c>
      <c r="C14" s="1616" t="s">
        <v>1572</v>
      </c>
      <c r="D14" s="1264"/>
      <c r="E14" s="1617" t="s">
        <v>115</v>
      </c>
      <c r="F14" s="72"/>
      <c r="G14" s="72"/>
      <c r="H14" s="72"/>
      <c r="I14" s="374"/>
      <c r="J14" s="374"/>
      <c r="M14" s="689"/>
      <c r="S14" s="453"/>
    </row>
    <row r="15" spans="1:19" ht="18.600000000000001" customHeight="1" x14ac:dyDescent="0.25">
      <c r="A15" s="1352">
        <f>ROW()</f>
        <v>15</v>
      </c>
      <c r="B15" s="1540" t="s">
        <v>116</v>
      </c>
      <c r="C15" s="1264" t="s">
        <v>1572</v>
      </c>
      <c r="D15" s="1264"/>
      <c r="E15" s="1617" t="s">
        <v>117</v>
      </c>
      <c r="F15" s="72"/>
      <c r="G15" s="72"/>
      <c r="H15" s="72"/>
      <c r="I15" s="374"/>
      <c r="J15" s="374"/>
      <c r="M15" s="689"/>
      <c r="S15" s="453"/>
    </row>
    <row r="16" spans="1:19" ht="18.600000000000001" customHeight="1" x14ac:dyDescent="0.25">
      <c r="A16" s="1352">
        <f>ROW()</f>
        <v>16</v>
      </c>
      <c r="B16" s="1540" t="s">
        <v>118</v>
      </c>
      <c r="C16" s="1616" t="s">
        <v>1572</v>
      </c>
      <c r="D16" s="1264"/>
      <c r="E16" s="1617" t="s">
        <v>119</v>
      </c>
      <c r="F16" s="72"/>
      <c r="G16" s="72"/>
      <c r="H16" s="72"/>
      <c r="I16" s="374"/>
      <c r="J16" s="374"/>
      <c r="M16" s="689"/>
      <c r="S16" s="453"/>
    </row>
    <row r="17" spans="1:19" ht="18.600000000000001" customHeight="1" x14ac:dyDescent="0.25">
      <c r="A17" s="1352">
        <f>ROW()</f>
        <v>17</v>
      </c>
      <c r="B17" s="1540" t="s">
        <v>120</v>
      </c>
      <c r="C17" s="1264" t="s">
        <v>1572</v>
      </c>
      <c r="D17" s="1264"/>
      <c r="E17" s="1617" t="s">
        <v>121</v>
      </c>
      <c r="M17" s="689"/>
      <c r="S17" s="453"/>
    </row>
    <row r="18" spans="1:19" ht="21.75" customHeight="1" x14ac:dyDescent="0.25">
      <c r="A18" s="1352">
        <f>ROW()</f>
        <v>18</v>
      </c>
      <c r="B18" s="1540" t="s">
        <v>122</v>
      </c>
      <c r="C18" s="1616" t="s">
        <v>1572</v>
      </c>
      <c r="D18" s="1264"/>
      <c r="E18" s="1617" t="s">
        <v>123</v>
      </c>
      <c r="F18" s="72"/>
      <c r="G18" s="72"/>
      <c r="H18" s="72"/>
      <c r="I18" s="374"/>
      <c r="J18" s="374"/>
      <c r="M18" s="689"/>
      <c r="S18" s="453"/>
    </row>
    <row r="19" spans="1:19" ht="18.600000000000001" customHeight="1" x14ac:dyDescent="0.25">
      <c r="A19" s="1352">
        <f>ROW()</f>
        <v>19</v>
      </c>
      <c r="B19" s="1540" t="s">
        <v>124</v>
      </c>
      <c r="C19" s="1264" t="s">
        <v>1572</v>
      </c>
      <c r="D19" s="1264"/>
      <c r="E19" s="1617" t="s">
        <v>125</v>
      </c>
      <c r="F19" s="72"/>
      <c r="G19" s="72"/>
      <c r="H19" s="72"/>
      <c r="I19" s="374"/>
      <c r="J19" s="374"/>
      <c r="M19" s="689"/>
      <c r="S19" s="453"/>
    </row>
    <row r="20" spans="1:19" ht="33.6" customHeight="1" x14ac:dyDescent="0.25">
      <c r="A20" s="1352">
        <f>ROW()</f>
        <v>20</v>
      </c>
      <c r="B20" s="1541" t="s">
        <v>126</v>
      </c>
      <c r="C20" s="1264" t="s">
        <v>1572</v>
      </c>
      <c r="D20" s="1264"/>
      <c r="E20" s="1617" t="s">
        <v>127</v>
      </c>
      <c r="F20" s="72"/>
      <c r="G20" s="72"/>
      <c r="H20" s="72"/>
      <c r="I20" s="374"/>
      <c r="J20" s="374"/>
      <c r="M20" s="689"/>
      <c r="S20" s="453"/>
    </row>
    <row r="21" spans="1:19" x14ac:dyDescent="0.25">
      <c r="A21" s="1352">
        <f>ROW()</f>
        <v>21</v>
      </c>
      <c r="B21" s="1540" t="s">
        <v>128</v>
      </c>
      <c r="C21" s="1616" t="s">
        <v>1572</v>
      </c>
      <c r="D21" s="1264"/>
      <c r="E21" s="373" t="s">
        <v>129</v>
      </c>
      <c r="M21" s="689"/>
      <c r="S21" s="453"/>
    </row>
    <row r="22" spans="1:19" ht="18.600000000000001" customHeight="1" x14ac:dyDescent="0.25">
      <c r="A22" s="1352">
        <f>ROW()</f>
        <v>22</v>
      </c>
      <c r="B22" s="1540" t="s">
        <v>130</v>
      </c>
      <c r="C22" s="1264" t="s">
        <v>1572</v>
      </c>
      <c r="D22" s="1264"/>
      <c r="E22" s="373" t="s">
        <v>131</v>
      </c>
      <c r="F22" s="72"/>
      <c r="G22" s="72"/>
      <c r="H22" s="72"/>
      <c r="I22" s="374"/>
      <c r="J22" s="374"/>
      <c r="M22" s="689"/>
      <c r="S22" s="453"/>
    </row>
    <row r="23" spans="1:19" ht="32.25" customHeight="1" x14ac:dyDescent="0.25">
      <c r="A23" s="1352">
        <f>ROW()</f>
        <v>23</v>
      </c>
      <c r="B23" s="1540" t="s">
        <v>132</v>
      </c>
      <c r="C23" s="1616" t="s">
        <v>1572</v>
      </c>
      <c r="D23" s="1264"/>
      <c r="E23" s="1775" t="s">
        <v>133</v>
      </c>
      <c r="F23" s="1776"/>
      <c r="G23" s="1776"/>
      <c r="H23" s="1776"/>
      <c r="I23" s="1776"/>
      <c r="J23" s="1776"/>
      <c r="M23" s="689"/>
      <c r="S23" s="453"/>
    </row>
    <row r="24" spans="1:19" ht="18.600000000000001" customHeight="1" x14ac:dyDescent="0.25">
      <c r="A24" s="1352">
        <f>ROW()</f>
        <v>24</v>
      </c>
      <c r="B24" s="1540" t="s">
        <v>134</v>
      </c>
      <c r="C24" s="1263" t="s">
        <v>135</v>
      </c>
      <c r="D24" s="1263" t="s">
        <v>135</v>
      </c>
      <c r="E24" s="373" t="s">
        <v>136</v>
      </c>
      <c r="F24" s="72"/>
      <c r="G24" s="72"/>
      <c r="H24" s="72"/>
      <c r="I24" s="374"/>
      <c r="J24" s="374"/>
      <c r="M24" s="689"/>
      <c r="S24" s="453"/>
    </row>
    <row r="25" spans="1:19" ht="18.600000000000001" customHeight="1" x14ac:dyDescent="0.25">
      <c r="A25" s="1352">
        <f>ROW()</f>
        <v>25</v>
      </c>
      <c r="B25" s="1540" t="s">
        <v>137</v>
      </c>
      <c r="C25" s="1263" t="s">
        <v>135</v>
      </c>
      <c r="D25" s="1263" t="s">
        <v>135</v>
      </c>
      <c r="E25" s="373" t="s">
        <v>138</v>
      </c>
      <c r="F25" s="72"/>
      <c r="G25" s="72"/>
      <c r="H25" s="72"/>
      <c r="I25" s="374"/>
      <c r="J25" s="374"/>
      <c r="M25" s="689"/>
      <c r="S25" s="453"/>
    </row>
    <row r="26" spans="1:19" ht="18.600000000000001" customHeight="1" x14ac:dyDescent="0.25">
      <c r="A26" s="1352">
        <f>ROW()</f>
        <v>26</v>
      </c>
      <c r="B26" s="1540" t="s">
        <v>139</v>
      </c>
      <c r="C26" s="1263" t="s">
        <v>135</v>
      </c>
      <c r="D26" s="1263" t="s">
        <v>135</v>
      </c>
      <c r="E26" s="371" t="s">
        <v>140</v>
      </c>
      <c r="F26" s="33"/>
      <c r="G26" s="33"/>
      <c r="H26" s="33"/>
      <c r="M26" s="689"/>
      <c r="S26" s="453"/>
    </row>
    <row r="27" spans="1:19" ht="18.600000000000001" customHeight="1" x14ac:dyDescent="0.25">
      <c r="A27" s="1352">
        <f>ROW()</f>
        <v>27</v>
      </c>
      <c r="B27" s="1542" t="s">
        <v>66</v>
      </c>
      <c r="C27" s="1263" t="s">
        <v>135</v>
      </c>
      <c r="D27" s="1263" t="s">
        <v>135</v>
      </c>
      <c r="E27" s="371" t="s">
        <v>141</v>
      </c>
      <c r="F27" s="33"/>
      <c r="G27" s="33"/>
      <c r="H27" s="33"/>
      <c r="M27" s="689"/>
      <c r="S27" s="453"/>
    </row>
    <row r="28" spans="1:19" ht="18.600000000000001" customHeight="1" x14ac:dyDescent="0.25">
      <c r="A28" s="1352">
        <f>ROW()</f>
        <v>28</v>
      </c>
      <c r="B28" s="1585" t="s">
        <v>142</v>
      </c>
      <c r="C28" s="1264"/>
      <c r="D28" s="1264"/>
      <c r="E28" s="371" t="s">
        <v>143</v>
      </c>
      <c r="S28" s="453"/>
    </row>
    <row r="29" spans="1:19" ht="18.600000000000001" customHeight="1" x14ac:dyDescent="0.25">
      <c r="A29" s="1352">
        <f>ROW()</f>
        <v>29</v>
      </c>
      <c r="S29" s="453"/>
    </row>
    <row r="30" spans="1:19" ht="18.600000000000001" hidden="1" customHeight="1" x14ac:dyDescent="0.25">
      <c r="A30" s="1352">
        <f>ROW()</f>
        <v>30</v>
      </c>
      <c r="B30" s="31" t="s">
        <v>92</v>
      </c>
      <c r="C30"/>
      <c r="D30"/>
      <c r="S30" s="453"/>
    </row>
    <row r="31" spans="1:19" hidden="1" x14ac:dyDescent="0.25">
      <c r="A31" s="1352">
        <f>ROW()</f>
        <v>31</v>
      </c>
      <c r="B31" s="253"/>
      <c r="C31" s="97" t="s">
        <v>144</v>
      </c>
      <c r="D31"/>
      <c r="S31" s="453"/>
    </row>
    <row r="32" spans="1:19" hidden="1" x14ac:dyDescent="0.25">
      <c r="A32" s="1352">
        <f>ROW()</f>
        <v>32</v>
      </c>
      <c r="B32" s="42"/>
      <c r="C32" s="80" t="s">
        <v>145</v>
      </c>
      <c r="D32"/>
      <c r="S32" s="453"/>
    </row>
    <row r="33" spans="1:19" hidden="1" x14ac:dyDescent="0.25">
      <c r="A33" s="1352">
        <f>ROW()</f>
        <v>33</v>
      </c>
      <c r="B33" s="253"/>
      <c r="C33" s="33" t="s">
        <v>95</v>
      </c>
      <c r="D33"/>
      <c r="S33" s="453"/>
    </row>
    <row r="34" spans="1:19" hidden="1" x14ac:dyDescent="0.25">
      <c r="A34" s="1352">
        <f>ROW()</f>
        <v>34</v>
      </c>
      <c r="B34" s="42"/>
      <c r="C34"/>
      <c r="D34"/>
      <c r="S34" s="453"/>
    </row>
    <row r="35" spans="1:19" hidden="1" x14ac:dyDescent="0.25">
      <c r="A35" s="1352">
        <f>ROW()</f>
        <v>35</v>
      </c>
      <c r="B35" s="253"/>
      <c r="C35" s="33" t="s">
        <v>96</v>
      </c>
      <c r="D35"/>
    </row>
    <row r="36" spans="1:19" hidden="1" x14ac:dyDescent="0.25"/>
    <row r="37" spans="1:19" hidden="1" x14ac:dyDescent="0.25">
      <c r="B37" s="1290"/>
    </row>
  </sheetData>
  <sheetProtection algorithmName="SHA-512" hashValue="9WTdZc+EvlHUn9tcpz9C4BkXO9qD8vVNgw8wABe78YNp85nOkGn8irYqVyMP4rz6SDcCwnLd2ytmObdNHrHnUw==" saltValue="2xAaMhVIQJKayHnSQlV1FA==" spinCount="100000" sheet="1" objects="1" scenarios="1"/>
  <mergeCells count="1">
    <mergeCell ref="E23:J23"/>
  </mergeCells>
  <conditionalFormatting sqref="C31">
    <cfRule type="cellIs" dxfId="78" priority="1" stopIfTrue="1" operator="equal">
      <formula>0</formula>
    </cfRule>
  </conditionalFormatting>
  <conditionalFormatting sqref="C24:D27">
    <cfRule type="cellIs" dxfId="77" priority="2" stopIfTrue="1" operator="equal">
      <formula>0</formula>
    </cfRule>
  </conditionalFormatting>
  <hyperlinks>
    <hyperlink ref="B9" location="HypLink2" display="HypLink2" xr:uid="{7D9162AF-D92F-4248-A12C-14964BF55E7E}"/>
    <hyperlink ref="B10" location="HypLink3" display="HypLink3" xr:uid="{C11764ED-49AF-4E94-A571-79759B2234AE}"/>
    <hyperlink ref="B11" location="HypLink4" display="HypLink4" xr:uid="{4B09F3E1-B185-4D83-BC5E-B5A4BA324C14}"/>
    <hyperlink ref="B12" location="HypLink5" display="HypLink5" xr:uid="{5EA45AA0-68B9-4963-8F26-2254ABCD3FDE}"/>
    <hyperlink ref="B13" location="HypLink6" display="HypLink6" xr:uid="{E820666D-67E6-4027-8755-BBCAE7760EA4}"/>
    <hyperlink ref="B14" location="HypLink7" display="HypLink7" xr:uid="{D6ECF6AC-D9D9-407C-AD68-D2CBB235801A}"/>
    <hyperlink ref="B15" location="HypLink8" display="HypLink8" xr:uid="{84AB94D7-3A28-4F5A-9A78-72B10566006F}"/>
    <hyperlink ref="B16" location="HypLink10" display="HypLink10" xr:uid="{8E51BDB3-FE24-4E50-85F6-CB75AC22527B}"/>
    <hyperlink ref="B17" location="HypLink11" display="HypLink11" xr:uid="{F928B374-250C-46BC-91B6-C98B45D462B1}"/>
    <hyperlink ref="B18" location="HypLink12" display="HypLink12" xr:uid="{A31A44E5-7DB5-4E2C-B3CC-B1E73BEF4831}"/>
    <hyperlink ref="B19" location="HypLink13" display="HypLink13" xr:uid="{C283D8BC-017D-427E-94C8-E3068CD67C45}"/>
    <hyperlink ref="B20" location="HypLink14" display="HypLink14" xr:uid="{F8B30D34-F6C9-4205-A905-9D5C0FA9D88D}"/>
    <hyperlink ref="B21" location="HypLink15" display="HypLink15" xr:uid="{233107C2-460C-42C1-9DE5-77B366FCD5B0}"/>
    <hyperlink ref="B22" location="HypLink16" display="HypLink16" xr:uid="{32F28830-12F5-4931-BF54-D56CB8055B56}"/>
    <hyperlink ref="B23" location="HypLink17" display="HypLink17" xr:uid="{6EDF4990-56F9-4E63-8EFB-8AEF34C592F8}"/>
    <hyperlink ref="B24" location="HypLink18" display="HypLink18" xr:uid="{1E05B101-3450-40A9-843A-4FBF37BE668F}"/>
    <hyperlink ref="B25" location="HypLink19" display="HypLink19" xr:uid="{3EA926C5-B772-4B36-8806-94C49FD0BD72}"/>
    <hyperlink ref="B26" location="HypLink25" display="HypLink25" xr:uid="{650F1845-4B0C-43EF-B863-F9C8B954477D}"/>
    <hyperlink ref="B27" location="HypLink26" display="HypLink26" xr:uid="{2C0D588B-8248-4C3D-8F57-01A90DAC8E36}"/>
  </hyperlinks>
  <pageMargins left="0.25" right="0.25" top="0.5" bottom="0.44999999999999996"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00FF"/>
  </sheetPr>
  <dimension ref="A1:T206"/>
  <sheetViews>
    <sheetView zoomScaleNormal="100" workbookViewId="0">
      <selection activeCell="A2" sqref="A2"/>
    </sheetView>
  </sheetViews>
  <sheetFormatPr defaultColWidth="7.7109375" defaultRowHeight="15" outlineLevelRow="1" outlineLevelCol="1" x14ac:dyDescent="0.25"/>
  <cols>
    <col min="1" max="1" width="4.7109375" style="33" customWidth="1"/>
    <col min="2" max="2" width="32.7109375" style="33" customWidth="1"/>
    <col min="3" max="3" width="16.7109375" style="33" bestFit="1" customWidth="1"/>
    <col min="4" max="4" width="14.5703125" style="33" bestFit="1" customWidth="1"/>
    <col min="5" max="5" width="10.5703125" style="33" bestFit="1" customWidth="1"/>
    <col min="6" max="6" width="13.7109375" style="33" customWidth="1"/>
    <col min="7" max="8" width="13.42578125" style="33" bestFit="1" customWidth="1"/>
    <col min="9" max="12" width="14.5703125" style="33" bestFit="1" customWidth="1"/>
    <col min="13" max="13" width="2.5703125" style="33" customWidth="1"/>
    <col min="14" max="14" width="5.42578125" style="33" hidden="1" customWidth="1" outlineLevel="1"/>
    <col min="15" max="15" width="55.5703125" style="307" hidden="1" customWidth="1" outlineLevel="1"/>
    <col min="16" max="16" width="4.42578125" style="33" customWidth="1" collapsed="1"/>
    <col min="17" max="17" width="55.5703125" style="307" customWidth="1" outlineLevel="1"/>
    <col min="18" max="18" width="9.28515625" style="33" customWidth="1"/>
    <col min="19" max="19" width="10.5703125" style="33" bestFit="1" customWidth="1"/>
    <col min="20" max="20" width="11.7109375" style="33" bestFit="1" customWidth="1"/>
    <col min="21" max="16384" width="7.7109375" style="33"/>
  </cols>
  <sheetData>
    <row r="1" spans="1:19" ht="18.75" x14ac:dyDescent="0.3">
      <c r="A1" s="1308" t="s">
        <v>111</v>
      </c>
      <c r="B1" s="439"/>
      <c r="C1" s="409"/>
      <c r="D1" s="409"/>
      <c r="E1" s="407" t="s">
        <v>3</v>
      </c>
      <c r="K1" s="36"/>
      <c r="L1" s="407"/>
      <c r="P1" s="33" t="s">
        <v>146</v>
      </c>
      <c r="S1" s="90"/>
    </row>
    <row r="2" spans="1:19" ht="15.75" x14ac:dyDescent="0.25">
      <c r="A2" s="114" t="str">
        <f>SchoolName</f>
        <v>Odyssey Charter School</v>
      </c>
      <c r="B2" s="38"/>
      <c r="C2" s="31"/>
      <c r="D2" s="31"/>
      <c r="G2" s="31"/>
      <c r="P2" s="33" t="s">
        <v>146</v>
      </c>
    </row>
    <row r="3" spans="1:19" x14ac:dyDescent="0.25">
      <c r="A3" s="39" t="s">
        <v>2</v>
      </c>
      <c r="P3" s="33" t="s">
        <v>146</v>
      </c>
    </row>
    <row r="4" spans="1:19" x14ac:dyDescent="0.25">
      <c r="A4" s="30" t="str">
        <f ca="1">CELL("filename")</f>
        <v>\\lvraiders\users\sguthrie\Documents\Charter\Change of Sponsorship\[240126-SPCSA-Odyssey Charter School Application Workbook-AS-IS-Original Version.xlsx]Instructions</v>
      </c>
      <c r="P4" s="33" t="s">
        <v>146</v>
      </c>
    </row>
    <row r="5" spans="1:19" ht="10.15" customHeight="1" x14ac:dyDescent="0.25">
      <c r="P5" s="33" t="s">
        <v>146</v>
      </c>
    </row>
    <row r="6" spans="1:19" x14ac:dyDescent="0.25">
      <c r="B6" s="31"/>
      <c r="C6" s="32"/>
      <c r="D6" s="32"/>
      <c r="E6" s="32"/>
      <c r="F6" s="860">
        <f>' Enrol &amp; Rev'!F9</f>
        <v>0</v>
      </c>
      <c r="G6" s="718">
        <f>' Enrol &amp; Rev'!G9</f>
        <v>1</v>
      </c>
      <c r="H6" s="718">
        <f>' Enrol &amp; Rev'!H9</f>
        <v>2</v>
      </c>
      <c r="I6" s="718">
        <f>' Enrol &amp; Rev'!I9</f>
        <v>3</v>
      </c>
      <c r="J6" s="718">
        <f>' Enrol &amp; Rev'!J9</f>
        <v>4</v>
      </c>
      <c r="K6" s="718">
        <f>' Enrol &amp; Rev'!K9</f>
        <v>5</v>
      </c>
      <c r="L6" s="1188">
        <f>' Enrol &amp; Rev'!L9</f>
        <v>6</v>
      </c>
      <c r="P6" s="33" t="s">
        <v>146</v>
      </c>
    </row>
    <row r="7" spans="1:19" x14ac:dyDescent="0.25">
      <c r="B7" s="31"/>
      <c r="C7" s="32" t="s">
        <v>147</v>
      </c>
      <c r="D7" s="32"/>
      <c r="E7" s="32"/>
      <c r="F7" s="862">
        <f>' Enrol &amp; Rev'!F10</f>
        <v>2024</v>
      </c>
      <c r="G7" s="1615">
        <f>' Enrol &amp; Rev'!G10</f>
        <v>2025</v>
      </c>
      <c r="H7" s="720">
        <f>' Enrol &amp; Rev'!H10</f>
        <v>2026</v>
      </c>
      <c r="I7" s="720">
        <f>' Enrol &amp; Rev'!I10</f>
        <v>2027</v>
      </c>
      <c r="J7" s="720">
        <f>' Enrol &amp; Rev'!J10</f>
        <v>2028</v>
      </c>
      <c r="K7" s="720">
        <f>' Enrol &amp; Rev'!K10</f>
        <v>2029</v>
      </c>
      <c r="L7" s="721">
        <f>' Enrol &amp; Rev'!L10</f>
        <v>2030</v>
      </c>
      <c r="P7" s="33" t="s">
        <v>146</v>
      </c>
      <c r="Q7" s="1408"/>
    </row>
    <row r="8" spans="1:19" x14ac:dyDescent="0.25">
      <c r="B8" s="1651" t="s">
        <v>148</v>
      </c>
      <c r="C8" s="57"/>
      <c r="D8" s="57"/>
      <c r="E8" s="57"/>
      <c r="F8" s="723">
        <f>' Enrol &amp; Rev'!F11</f>
        <v>2025</v>
      </c>
      <c r="G8" s="723">
        <f>' Enrol &amp; Rev'!G11</f>
        <v>2026</v>
      </c>
      <c r="H8" s="723">
        <f>' Enrol &amp; Rev'!H11</f>
        <v>2027</v>
      </c>
      <c r="I8" s="723">
        <f>' Enrol &amp; Rev'!I11</f>
        <v>2028</v>
      </c>
      <c r="J8" s="723">
        <f>' Enrol &amp; Rev'!J11</f>
        <v>2029</v>
      </c>
      <c r="K8" s="723">
        <f>' Enrol &amp; Rev'!K11</f>
        <v>2030</v>
      </c>
      <c r="L8" s="724">
        <f>' Enrol &amp; Rev'!L11</f>
        <v>2031</v>
      </c>
      <c r="O8" s="1365" t="s">
        <v>103</v>
      </c>
      <c r="P8" s="33" t="s">
        <v>146</v>
      </c>
      <c r="Q8" s="1583" t="s">
        <v>149</v>
      </c>
    </row>
    <row r="9" spans="1:19" x14ac:dyDescent="0.25">
      <c r="A9" s="346">
        <f>ROW()</f>
        <v>9</v>
      </c>
      <c r="B9" s="410" t="s">
        <v>150</v>
      </c>
      <c r="C9" s="711">
        <f>MAX(F9:L9)</f>
        <v>2320.02</v>
      </c>
      <c r="D9" s="659"/>
      <c r="E9" s="32"/>
      <c r="F9" s="138">
        <f>+Statistics!F20</f>
        <v>0</v>
      </c>
      <c r="G9" s="138">
        <f>+Statistics!G20</f>
        <v>2320.02</v>
      </c>
      <c r="H9" s="138">
        <f>+Statistics!H20</f>
        <v>2320.02</v>
      </c>
      <c r="I9" s="138">
        <f>+Statistics!I20</f>
        <v>2320.02</v>
      </c>
      <c r="J9" s="138">
        <f>+Statistics!J20</f>
        <v>2320.02</v>
      </c>
      <c r="K9" s="138">
        <f>+Statistics!K20</f>
        <v>2320.02</v>
      </c>
      <c r="L9" s="138">
        <f>+Statistics!L20</f>
        <v>2320.02</v>
      </c>
      <c r="M9" s="32"/>
      <c r="O9" s="462"/>
      <c r="P9" s="33" t="s">
        <v>146</v>
      </c>
      <c r="Q9" s="462"/>
    </row>
    <row r="10" spans="1:19" x14ac:dyDescent="0.25">
      <c r="A10" s="346">
        <f>ROW()</f>
        <v>10</v>
      </c>
      <c r="B10" s="411" t="s">
        <v>151</v>
      </c>
      <c r="C10" s="711">
        <f>MAX(F10:L10)</f>
        <v>122</v>
      </c>
      <c r="D10" s="659"/>
      <c r="E10" s="32"/>
      <c r="F10" s="629">
        <f>+Statistics!F21</f>
        <v>122</v>
      </c>
      <c r="G10" s="629">
        <f>+Statistics!G21</f>
        <v>122</v>
      </c>
      <c r="H10" s="629">
        <f>+Statistics!H21</f>
        <v>122</v>
      </c>
      <c r="I10" s="629">
        <f>+Statistics!I21</f>
        <v>122</v>
      </c>
      <c r="J10" s="629">
        <f>+Statistics!J21</f>
        <v>122</v>
      </c>
      <c r="K10" s="629">
        <f>+Statistics!K21</f>
        <v>122</v>
      </c>
      <c r="L10" s="629">
        <f>+Statistics!L21</f>
        <v>122</v>
      </c>
      <c r="M10" s="32"/>
      <c r="O10" s="343"/>
      <c r="P10" s="33" t="s">
        <v>146</v>
      </c>
      <c r="Q10" s="343"/>
    </row>
    <row r="11" spans="1:19" x14ac:dyDescent="0.25">
      <c r="A11" s="346">
        <f>ROW()</f>
        <v>11</v>
      </c>
      <c r="B11" s="411" t="s">
        <v>152</v>
      </c>
      <c r="C11" s="711"/>
      <c r="D11" s="659"/>
      <c r="E11" s="32"/>
      <c r="F11" s="138">
        <f>+Facilities!F11</f>
        <v>47424</v>
      </c>
      <c r="G11" s="138">
        <f>+Facilities!G11</f>
        <v>47424</v>
      </c>
      <c r="H11" s="138">
        <f>+Facilities!H11</f>
        <v>47424</v>
      </c>
      <c r="I11" s="138">
        <f>+Facilities!I11</f>
        <v>47424</v>
      </c>
      <c r="J11" s="138">
        <f>+Facilities!J11</f>
        <v>47424</v>
      </c>
      <c r="K11" s="138">
        <f>+Facilities!K11</f>
        <v>47424</v>
      </c>
      <c r="L11" s="138">
        <f>+Facilities!L11</f>
        <v>47424</v>
      </c>
      <c r="M11" s="32"/>
      <c r="O11" s="913" t="s">
        <v>153</v>
      </c>
      <c r="Q11" s="913"/>
    </row>
    <row r="12" spans="1:19" x14ac:dyDescent="0.25">
      <c r="A12" s="346">
        <f>ROW()</f>
        <v>12</v>
      </c>
      <c r="B12" s="411" t="s">
        <v>154</v>
      </c>
      <c r="C12" s="711"/>
      <c r="D12" s="659"/>
      <c r="E12" s="32"/>
      <c r="F12" s="138">
        <f>IFERROR(F11/F9,0)</f>
        <v>0</v>
      </c>
      <c r="G12" s="1566">
        <f t="shared" ref="G12" si="0">IFERROR(G11/G9,0)</f>
        <v>20.441203093076783</v>
      </c>
      <c r="H12" s="1566">
        <f t="shared" ref="H12" si="1">IFERROR(H11/H9,0)</f>
        <v>20.441203093076783</v>
      </c>
      <c r="I12" s="1566">
        <f t="shared" ref="I12" si="2">IFERROR(I11/I9,0)</f>
        <v>20.441203093076783</v>
      </c>
      <c r="J12" s="1566">
        <f t="shared" ref="J12" si="3">IFERROR(J11/J9,0)</f>
        <v>20.441203093076783</v>
      </c>
      <c r="K12" s="1566">
        <f t="shared" ref="K12" si="4">IFERROR(K11/K9,0)</f>
        <v>20.441203093076783</v>
      </c>
      <c r="L12" s="1566">
        <f t="shared" ref="L12" si="5">IFERROR(L11/L9,0)</f>
        <v>20.441203093076783</v>
      </c>
      <c r="M12" s="32"/>
      <c r="O12" s="343"/>
      <c r="P12" s="33" t="s">
        <v>146</v>
      </c>
      <c r="Q12" s="343"/>
    </row>
    <row r="13" spans="1:19" x14ac:dyDescent="0.25">
      <c r="A13" s="346">
        <f>ROW()</f>
        <v>13</v>
      </c>
      <c r="B13" s="411"/>
      <c r="C13" s="711"/>
      <c r="D13" s="659"/>
      <c r="E13" s="32"/>
      <c r="F13" s="138"/>
      <c r="G13" s="138"/>
      <c r="H13" s="138"/>
      <c r="I13" s="138"/>
      <c r="J13" s="138"/>
      <c r="K13" s="138"/>
      <c r="L13" s="138"/>
      <c r="M13" s="32"/>
      <c r="O13" s="343"/>
      <c r="Q13" s="343"/>
    </row>
    <row r="14" spans="1:19" ht="18" x14ac:dyDescent="0.25">
      <c r="A14" s="346">
        <f>ROW()</f>
        <v>14</v>
      </c>
      <c r="B14" s="946" t="s">
        <v>155</v>
      </c>
      <c r="C14" s="947" t="s">
        <v>156</v>
      </c>
      <c r="D14" s="947" t="s">
        <v>157</v>
      </c>
      <c r="E14" s="948" t="s">
        <v>158</v>
      </c>
      <c r="F14" s="949">
        <f t="shared" ref="F14:L14" si="6">+F6</f>
        <v>0</v>
      </c>
      <c r="G14" s="949">
        <f t="shared" si="6"/>
        <v>1</v>
      </c>
      <c r="H14" s="949">
        <f t="shared" si="6"/>
        <v>2</v>
      </c>
      <c r="I14" s="949">
        <f t="shared" si="6"/>
        <v>3</v>
      </c>
      <c r="J14" s="949">
        <f t="shared" si="6"/>
        <v>4</v>
      </c>
      <c r="K14" s="949">
        <f t="shared" si="6"/>
        <v>5</v>
      </c>
      <c r="L14" s="949">
        <f t="shared" si="6"/>
        <v>6</v>
      </c>
      <c r="M14" s="99"/>
      <c r="O14" s="343"/>
      <c r="P14" s="33" t="s">
        <v>146</v>
      </c>
      <c r="Q14" s="343"/>
    </row>
    <row r="15" spans="1:19" x14ac:dyDescent="0.25">
      <c r="A15" s="346">
        <f>ROW()</f>
        <v>15</v>
      </c>
      <c r="B15" s="33" t="s">
        <v>159</v>
      </c>
      <c r="C15" s="247">
        <f t="shared" ref="C15:C34" si="7">SUM(F15:L15)</f>
        <v>132355189.80007234</v>
      </c>
      <c r="D15" s="247">
        <f t="shared" ref="D15:D34" si="8">AVERAGE(G15:L15)</f>
        <v>22262983.300012056</v>
      </c>
      <c r="E15" s="413">
        <f t="shared" ref="E15:E35" si="9">IFERROR(+D15/$D$35,0)</f>
        <v>0.82494693588093237</v>
      </c>
      <c r="F15" s="575">
        <f>+' Enrol &amp; Rev'!F119-' Enrol &amp; Rev'!G116</f>
        <v>-1222710</v>
      </c>
      <c r="G15" s="575">
        <f>+' Enrol &amp; Rev'!G119-' Enrol &amp; Rev'!G116</f>
        <v>22262886.18</v>
      </c>
      <c r="H15" s="575">
        <f>+' Enrol &amp; Rev'!H119-' Enrol &amp; Rev'!H116</f>
        <v>22263002.724014468</v>
      </c>
      <c r="I15" s="575">
        <f>+' Enrol &amp; Rev'!I119-' Enrol &amp; Rev'!I116</f>
        <v>22263002.724014468</v>
      </c>
      <c r="J15" s="575">
        <f>+' Enrol &amp; Rev'!J119-' Enrol &amp; Rev'!J116</f>
        <v>22263002.724014468</v>
      </c>
      <c r="K15" s="575">
        <f>+' Enrol &amp; Rev'!K119-' Enrol &amp; Rev'!K116</f>
        <v>22263002.724014468</v>
      </c>
      <c r="L15" s="575">
        <f>+' Enrol &amp; Rev'!L119-' Enrol &amp; Rev'!L116</f>
        <v>22263002.724014468</v>
      </c>
      <c r="M15" s="412"/>
      <c r="O15" s="343"/>
      <c r="P15" s="33" t="s">
        <v>146</v>
      </c>
      <c r="Q15" s="1765"/>
    </row>
    <row r="16" spans="1:19" x14ac:dyDescent="0.25">
      <c r="A16" s="346">
        <f>ROW()</f>
        <v>16</v>
      </c>
      <c r="B16" s="33" t="s">
        <v>160</v>
      </c>
      <c r="C16" s="54">
        <f t="shared" si="7"/>
        <v>-1507006.1113200001</v>
      </c>
      <c r="D16" s="54">
        <f t="shared" si="8"/>
        <v>-251167.68522000001</v>
      </c>
      <c r="E16" s="994">
        <f t="shared" si="9"/>
        <v>-9.306929332980874E-3</v>
      </c>
      <c r="F16" s="100">
        <f>+' Enrol &amp; Rev'!F120</f>
        <v>0</v>
      </c>
      <c r="G16" s="100">
        <f>+' Enrol &amp; Rev'!G120</f>
        <v>-251167.68522000001</v>
      </c>
      <c r="H16" s="100">
        <f>+' Enrol &amp; Rev'!H120</f>
        <v>-251167.68522000001</v>
      </c>
      <c r="I16" s="100">
        <f>+' Enrol &amp; Rev'!I120</f>
        <v>-251167.68522000001</v>
      </c>
      <c r="J16" s="100">
        <f>+' Enrol &amp; Rev'!J120</f>
        <v>-251167.68522000001</v>
      </c>
      <c r="K16" s="100">
        <f>+' Enrol &amp; Rev'!K120</f>
        <v>-251167.68522000001</v>
      </c>
      <c r="L16" s="100">
        <f>+' Enrol &amp; Rev'!L120</f>
        <v>-251167.68522000001</v>
      </c>
      <c r="M16" s="54"/>
      <c r="O16" s="343"/>
      <c r="P16" s="33" t="s">
        <v>146</v>
      </c>
      <c r="Q16" s="343"/>
    </row>
    <row r="17" spans="1:17" x14ac:dyDescent="0.25">
      <c r="A17" s="346">
        <f>ROW()</f>
        <v>17</v>
      </c>
      <c r="B17" s="33" t="s">
        <v>161</v>
      </c>
      <c r="C17" s="54">
        <f t="shared" si="7"/>
        <v>0</v>
      </c>
      <c r="D17" s="54">
        <f t="shared" si="8"/>
        <v>0</v>
      </c>
      <c r="E17" s="413">
        <f t="shared" si="9"/>
        <v>0</v>
      </c>
      <c r="F17" s="100">
        <f>' Enrol &amp; Rev'!F125</f>
        <v>0</v>
      </c>
      <c r="G17" s="100">
        <f>' Enrol &amp; Rev'!G125</f>
        <v>0</v>
      </c>
      <c r="H17" s="100">
        <f>' Enrol &amp; Rev'!H125</f>
        <v>0</v>
      </c>
      <c r="I17" s="100">
        <f>' Enrol &amp; Rev'!I125</f>
        <v>0</v>
      </c>
      <c r="J17" s="100">
        <f>' Enrol &amp; Rev'!J125</f>
        <v>0</v>
      </c>
      <c r="K17" s="100">
        <f>' Enrol &amp; Rev'!K125</f>
        <v>0</v>
      </c>
      <c r="L17" s="100">
        <f>' Enrol &amp; Rev'!L125</f>
        <v>0</v>
      </c>
      <c r="M17" s="54"/>
      <c r="O17" s="343"/>
      <c r="P17" s="33" t="s">
        <v>146</v>
      </c>
      <c r="Q17" s="343"/>
    </row>
    <row r="18" spans="1:17" x14ac:dyDescent="0.25">
      <c r="A18" s="346">
        <f>ROW()</f>
        <v>18</v>
      </c>
      <c r="B18" s="33" t="s">
        <v>162</v>
      </c>
      <c r="C18" s="54">
        <f t="shared" si="7"/>
        <v>48720.42</v>
      </c>
      <c r="D18" s="54">
        <f t="shared" si="8"/>
        <v>8120.07</v>
      </c>
      <c r="E18" s="413">
        <f t="shared" si="9"/>
        <v>3.0088630869318646E-4</v>
      </c>
      <c r="F18" s="100">
        <f>' Enrol &amp; Rev'!F126+' Enrol &amp; Rev'!F127</f>
        <v>0</v>
      </c>
      <c r="G18" s="100">
        <f>' Enrol &amp; Rev'!G126+' Enrol &amp; Rev'!G127</f>
        <v>8120.07</v>
      </c>
      <c r="H18" s="100">
        <f>' Enrol &amp; Rev'!H126+' Enrol &amp; Rev'!H127</f>
        <v>8120.07</v>
      </c>
      <c r="I18" s="100">
        <f>' Enrol &amp; Rev'!I126+' Enrol &amp; Rev'!I127</f>
        <v>8120.07</v>
      </c>
      <c r="J18" s="100">
        <f>' Enrol &amp; Rev'!J126+' Enrol &amp; Rev'!J127</f>
        <v>8120.07</v>
      </c>
      <c r="K18" s="100">
        <f>' Enrol &amp; Rev'!K126+' Enrol &amp; Rev'!K127</f>
        <v>8120.07</v>
      </c>
      <c r="L18" s="100">
        <f>' Enrol &amp; Rev'!L126+' Enrol &amp; Rev'!L127</f>
        <v>8120.07</v>
      </c>
      <c r="M18" s="54"/>
      <c r="O18" s="343"/>
      <c r="P18" s="33" t="s">
        <v>146</v>
      </c>
      <c r="Q18" s="343"/>
    </row>
    <row r="19" spans="1:17" x14ac:dyDescent="0.25">
      <c r="A19" s="346">
        <f>ROW()</f>
        <v>19</v>
      </c>
      <c r="B19" s="33" t="s">
        <v>163</v>
      </c>
      <c r="C19" s="54">
        <f t="shared" si="7"/>
        <v>0</v>
      </c>
      <c r="D19" s="54">
        <f t="shared" si="8"/>
        <v>0</v>
      </c>
      <c r="E19" s="413">
        <f t="shared" si="9"/>
        <v>0</v>
      </c>
      <c r="F19" s="100">
        <f>' Enrol &amp; Rev'!F128</f>
        <v>0</v>
      </c>
      <c r="G19" s="100">
        <f>' Enrol &amp; Rev'!G128</f>
        <v>0</v>
      </c>
      <c r="H19" s="100">
        <f>' Enrol &amp; Rev'!H128</f>
        <v>0</v>
      </c>
      <c r="I19" s="100">
        <f>' Enrol &amp; Rev'!I128</f>
        <v>0</v>
      </c>
      <c r="J19" s="100">
        <f>' Enrol &amp; Rev'!J128</f>
        <v>0</v>
      </c>
      <c r="K19" s="100">
        <f>' Enrol &amp; Rev'!K128</f>
        <v>0</v>
      </c>
      <c r="L19" s="100">
        <f>' Enrol &amp; Rev'!L128</f>
        <v>0</v>
      </c>
      <c r="M19" s="54"/>
      <c r="O19" s="343"/>
      <c r="P19" s="33" t="s">
        <v>146</v>
      </c>
      <c r="Q19" s="343"/>
    </row>
    <row r="20" spans="1:17" x14ac:dyDescent="0.25">
      <c r="A20" s="346">
        <f>ROW()</f>
        <v>20</v>
      </c>
      <c r="B20" s="33" t="s">
        <v>164</v>
      </c>
      <c r="C20" s="54">
        <f t="shared" si="7"/>
        <v>0</v>
      </c>
      <c r="D20" s="54">
        <f t="shared" si="8"/>
        <v>0</v>
      </c>
      <c r="E20" s="413">
        <f t="shared" si="9"/>
        <v>0</v>
      </c>
      <c r="F20" s="100">
        <f>' Enrol &amp; Rev'!F129</f>
        <v>0</v>
      </c>
      <c r="G20" s="100">
        <f>' Enrol &amp; Rev'!G129</f>
        <v>0</v>
      </c>
      <c r="H20" s="100">
        <f>' Enrol &amp; Rev'!H129</f>
        <v>0</v>
      </c>
      <c r="I20" s="100">
        <f>' Enrol &amp; Rev'!I129</f>
        <v>0</v>
      </c>
      <c r="J20" s="100">
        <f>' Enrol &amp; Rev'!J129</f>
        <v>0</v>
      </c>
      <c r="K20" s="100">
        <f>' Enrol &amp; Rev'!K129</f>
        <v>0</v>
      </c>
      <c r="L20" s="100">
        <f>' Enrol &amp; Rev'!L129</f>
        <v>0</v>
      </c>
      <c r="M20" s="54"/>
      <c r="O20" s="343"/>
      <c r="P20" s="33" t="s">
        <v>146</v>
      </c>
      <c r="Q20" s="343"/>
    </row>
    <row r="21" spans="1:17" x14ac:dyDescent="0.25">
      <c r="A21" s="346">
        <f>ROW()</f>
        <v>21</v>
      </c>
      <c r="B21" s="33" t="s">
        <v>165</v>
      </c>
      <c r="C21" s="54">
        <f t="shared" si="7"/>
        <v>0</v>
      </c>
      <c r="D21" s="54">
        <f t="shared" si="8"/>
        <v>0</v>
      </c>
      <c r="E21" s="413">
        <f t="shared" si="9"/>
        <v>0</v>
      </c>
      <c r="F21" s="100">
        <f>' Enrol &amp; Rev'!F130</f>
        <v>0</v>
      </c>
      <c r="G21" s="100">
        <f>' Enrol &amp; Rev'!G130</f>
        <v>0</v>
      </c>
      <c r="H21" s="100">
        <f>' Enrol &amp; Rev'!H130</f>
        <v>0</v>
      </c>
      <c r="I21" s="100">
        <f>' Enrol &amp; Rev'!I130</f>
        <v>0</v>
      </c>
      <c r="J21" s="100">
        <f>' Enrol &amp; Rev'!J130</f>
        <v>0</v>
      </c>
      <c r="K21" s="100">
        <f>' Enrol &amp; Rev'!K130</f>
        <v>0</v>
      </c>
      <c r="L21" s="100">
        <f>' Enrol &amp; Rev'!L130</f>
        <v>0</v>
      </c>
      <c r="M21" s="54"/>
      <c r="O21" s="343"/>
      <c r="P21" s="33" t="s">
        <v>146</v>
      </c>
      <c r="Q21" s="343"/>
    </row>
    <row r="22" spans="1:17" x14ac:dyDescent="0.25">
      <c r="A22" s="346">
        <f>ROW()</f>
        <v>22</v>
      </c>
      <c r="B22" s="33" t="s">
        <v>166</v>
      </c>
      <c r="C22" s="54">
        <f t="shared" si="7"/>
        <v>0</v>
      </c>
      <c r="D22" s="54">
        <f t="shared" si="8"/>
        <v>0</v>
      </c>
      <c r="E22" s="413">
        <f t="shared" si="9"/>
        <v>0</v>
      </c>
      <c r="F22" s="100">
        <f>' Enrol &amp; Rev'!F131</f>
        <v>0</v>
      </c>
      <c r="G22" s="100">
        <f>' Enrol &amp; Rev'!G131</f>
        <v>0</v>
      </c>
      <c r="H22" s="100">
        <f>' Enrol &amp; Rev'!H131</f>
        <v>0</v>
      </c>
      <c r="I22" s="100">
        <f>' Enrol &amp; Rev'!I131</f>
        <v>0</v>
      </c>
      <c r="J22" s="100">
        <f>' Enrol &amp; Rev'!J131</f>
        <v>0</v>
      </c>
      <c r="K22" s="100">
        <f>' Enrol &amp; Rev'!K131</f>
        <v>0</v>
      </c>
      <c r="L22" s="100">
        <f>' Enrol &amp; Rev'!L131</f>
        <v>0</v>
      </c>
      <c r="M22" s="54"/>
      <c r="O22" s="343"/>
      <c r="P22" s="33" t="s">
        <v>146</v>
      </c>
      <c r="Q22" s="343"/>
    </row>
    <row r="23" spans="1:17" x14ac:dyDescent="0.25">
      <c r="A23" s="346">
        <f>ROW()</f>
        <v>23</v>
      </c>
      <c r="B23" s="33" t="s">
        <v>167</v>
      </c>
      <c r="C23" s="54">
        <f t="shared" si="7"/>
        <v>2397169.9450800004</v>
      </c>
      <c r="D23" s="54">
        <f t="shared" si="8"/>
        <v>399528.32418000005</v>
      </c>
      <c r="E23" s="413">
        <f t="shared" si="9"/>
        <v>1.4804380095355701E-2</v>
      </c>
      <c r="F23" s="100">
        <f>' Enrol &amp; Rev'!F132</f>
        <v>0</v>
      </c>
      <c r="G23" s="100">
        <f>' Enrol &amp; Rev'!G132</f>
        <v>399528.32418000005</v>
      </c>
      <c r="H23" s="100">
        <f>' Enrol &amp; Rev'!H132</f>
        <v>399528.32418000005</v>
      </c>
      <c r="I23" s="100">
        <f>' Enrol &amp; Rev'!I132</f>
        <v>399528.32418000005</v>
      </c>
      <c r="J23" s="100">
        <f>' Enrol &amp; Rev'!J132</f>
        <v>399528.32418000005</v>
      </c>
      <c r="K23" s="100">
        <f>' Enrol &amp; Rev'!K132</f>
        <v>399528.32418000005</v>
      </c>
      <c r="L23" s="100">
        <f>' Enrol &amp; Rev'!L132</f>
        <v>399528.32418000005</v>
      </c>
      <c r="M23" s="54"/>
      <c r="O23" s="343"/>
      <c r="P23" s="33" t="s">
        <v>146</v>
      </c>
      <c r="Q23" s="343"/>
    </row>
    <row r="24" spans="1:17" x14ac:dyDescent="0.25">
      <c r="A24" s="346">
        <f>ROW()</f>
        <v>24</v>
      </c>
      <c r="B24" s="33" t="s">
        <v>168</v>
      </c>
      <c r="C24" s="54">
        <f t="shared" si="7"/>
        <v>7333236.6765000019</v>
      </c>
      <c r="D24" s="54">
        <f t="shared" si="8"/>
        <v>1222206.1127500003</v>
      </c>
      <c r="E24" s="413">
        <f t="shared" si="9"/>
        <v>4.5288413243678445E-2</v>
      </c>
      <c r="F24" s="100">
        <f>' Enrol &amp; Rev'!F116</f>
        <v>0</v>
      </c>
      <c r="G24" s="100">
        <f>' Enrol &amp; Rev'!G116</f>
        <v>1222710</v>
      </c>
      <c r="H24" s="100">
        <f>' Enrol &amp; Rev'!H116</f>
        <v>1222105.3353000002</v>
      </c>
      <c r="I24" s="100">
        <f>' Enrol &amp; Rev'!I116</f>
        <v>1222105.3353000002</v>
      </c>
      <c r="J24" s="100">
        <f>' Enrol &amp; Rev'!J116</f>
        <v>1222105.3353000002</v>
      </c>
      <c r="K24" s="100">
        <f>' Enrol &amp; Rev'!K116</f>
        <v>1222105.3353000002</v>
      </c>
      <c r="L24" s="100">
        <f>' Enrol &amp; Rev'!L116</f>
        <v>1222105.3353000002</v>
      </c>
      <c r="M24" s="54"/>
      <c r="O24" s="343"/>
      <c r="P24" s="33" t="s">
        <v>146</v>
      </c>
      <c r="Q24" s="343"/>
    </row>
    <row r="25" spans="1:17" x14ac:dyDescent="0.25">
      <c r="A25" s="346">
        <f>ROW()</f>
        <v>25</v>
      </c>
      <c r="B25" s="33" t="s">
        <v>169</v>
      </c>
      <c r="C25" s="54">
        <f t="shared" si="7"/>
        <v>0</v>
      </c>
      <c r="D25" s="54">
        <f t="shared" si="8"/>
        <v>0</v>
      </c>
      <c r="E25" s="413">
        <f t="shared" si="9"/>
        <v>0</v>
      </c>
      <c r="F25" s="100">
        <f>' Enrol &amp; Rev'!F133</f>
        <v>0</v>
      </c>
      <c r="G25" s="100">
        <f>' Enrol &amp; Rev'!G133</f>
        <v>0</v>
      </c>
      <c r="H25" s="100">
        <f>' Enrol &amp; Rev'!H133</f>
        <v>0</v>
      </c>
      <c r="I25" s="100">
        <f>' Enrol &amp; Rev'!I133</f>
        <v>0</v>
      </c>
      <c r="J25" s="100">
        <f>' Enrol &amp; Rev'!J133</f>
        <v>0</v>
      </c>
      <c r="K25" s="100">
        <f>' Enrol &amp; Rev'!K133</f>
        <v>0</v>
      </c>
      <c r="L25" s="100">
        <f>' Enrol &amp; Rev'!L133</f>
        <v>0</v>
      </c>
      <c r="M25" s="54"/>
      <c r="O25" s="343" t="s">
        <v>170</v>
      </c>
      <c r="P25" s="33" t="s">
        <v>146</v>
      </c>
      <c r="Q25" s="343"/>
    </row>
    <row r="26" spans="1:17" x14ac:dyDescent="0.25">
      <c r="A26" s="346">
        <f>ROW()</f>
        <v>26</v>
      </c>
      <c r="B26" s="33" t="str">
        <f>+' Enrol &amp; Rev'!B134</f>
        <v>Charter School Program (CSP) Grant (w/letter)</v>
      </c>
      <c r="C26" s="54">
        <f t="shared" si="7"/>
        <v>0</v>
      </c>
      <c r="D26" s="54">
        <f t="shared" si="8"/>
        <v>0</v>
      </c>
      <c r="E26" s="413">
        <f t="shared" si="9"/>
        <v>0</v>
      </c>
      <c r="F26" s="100">
        <f>' Enrol &amp; Rev'!F134</f>
        <v>0</v>
      </c>
      <c r="G26" s="100">
        <f>' Enrol &amp; Rev'!G134</f>
        <v>0</v>
      </c>
      <c r="H26" s="100">
        <f>' Enrol &amp; Rev'!H134</f>
        <v>0</v>
      </c>
      <c r="I26" s="100">
        <f>' Enrol &amp; Rev'!I134</f>
        <v>0</v>
      </c>
      <c r="J26" s="100">
        <f>' Enrol &amp; Rev'!J134</f>
        <v>0</v>
      </c>
      <c r="K26" s="100">
        <f>' Enrol &amp; Rev'!K134</f>
        <v>0</v>
      </c>
      <c r="L26" s="100">
        <f>' Enrol &amp; Rev'!L134</f>
        <v>0</v>
      </c>
      <c r="M26" s="54"/>
      <c r="O26" s="343" t="s">
        <v>170</v>
      </c>
      <c r="Q26" s="343"/>
    </row>
    <row r="27" spans="1:17" x14ac:dyDescent="0.25">
      <c r="A27" s="346">
        <f>ROW()</f>
        <v>27</v>
      </c>
      <c r="B27" s="33" t="s">
        <v>171</v>
      </c>
      <c r="C27" s="54">
        <f t="shared" si="7"/>
        <v>0</v>
      </c>
      <c r="D27" s="54">
        <f t="shared" si="8"/>
        <v>0</v>
      </c>
      <c r="E27" s="413">
        <f t="shared" si="9"/>
        <v>0</v>
      </c>
      <c r="F27" s="100">
        <f>' Enrol &amp; Rev'!F135</f>
        <v>0</v>
      </c>
      <c r="G27" s="100">
        <f>' Enrol &amp; Rev'!G135</f>
        <v>0</v>
      </c>
      <c r="H27" s="100">
        <f>' Enrol &amp; Rev'!H135</f>
        <v>0</v>
      </c>
      <c r="I27" s="100">
        <f>' Enrol &amp; Rev'!I135</f>
        <v>0</v>
      </c>
      <c r="J27" s="100">
        <f>' Enrol &amp; Rev'!J135</f>
        <v>0</v>
      </c>
      <c r="K27" s="100">
        <f>' Enrol &amp; Rev'!K135</f>
        <v>0</v>
      </c>
      <c r="L27" s="100">
        <f>' Enrol &amp; Rev'!L135</f>
        <v>0</v>
      </c>
      <c r="M27" s="54"/>
      <c r="O27" s="343" t="s">
        <v>170</v>
      </c>
      <c r="P27" s="33" t="s">
        <v>146</v>
      </c>
      <c r="Q27" s="343"/>
    </row>
    <row r="28" spans="1:17" x14ac:dyDescent="0.25">
      <c r="A28" s="346">
        <f>ROW()</f>
        <v>28</v>
      </c>
      <c r="B28" s="33" t="s">
        <v>172</v>
      </c>
      <c r="C28" s="54">
        <f t="shared" si="7"/>
        <v>0</v>
      </c>
      <c r="D28" s="54">
        <f t="shared" si="8"/>
        <v>0</v>
      </c>
      <c r="E28" s="413">
        <f t="shared" si="9"/>
        <v>0</v>
      </c>
      <c r="F28" s="100">
        <f>' Enrol &amp; Rev'!F137</f>
        <v>0</v>
      </c>
      <c r="G28" s="100">
        <f>' Enrol &amp; Rev'!G137</f>
        <v>0</v>
      </c>
      <c r="H28" s="100">
        <f>' Enrol &amp; Rev'!H137</f>
        <v>0</v>
      </c>
      <c r="I28" s="100">
        <f>' Enrol &amp; Rev'!I137</f>
        <v>0</v>
      </c>
      <c r="J28" s="100">
        <f>' Enrol &amp; Rev'!J137</f>
        <v>0</v>
      </c>
      <c r="K28" s="100">
        <f>' Enrol &amp; Rev'!K137</f>
        <v>0</v>
      </c>
      <c r="L28" s="100">
        <f>' Enrol &amp; Rev'!L137</f>
        <v>0</v>
      </c>
      <c r="M28" s="54"/>
      <c r="O28" s="343"/>
      <c r="P28" s="33" t="s">
        <v>146</v>
      </c>
      <c r="Q28" s="343"/>
    </row>
    <row r="29" spans="1:17" x14ac:dyDescent="0.25">
      <c r="A29" s="346">
        <f>ROW()</f>
        <v>29</v>
      </c>
      <c r="B29" s="33" t="s">
        <v>173</v>
      </c>
      <c r="C29" s="54">
        <f t="shared" si="7"/>
        <v>15442000</v>
      </c>
      <c r="D29" s="54">
        <f t="shared" si="8"/>
        <v>2206000</v>
      </c>
      <c r="E29" s="413">
        <f t="shared" si="9"/>
        <v>8.1742546182135042E-2</v>
      </c>
      <c r="F29" s="100">
        <f>' Enrol &amp; Rev'!F138</f>
        <v>2206000</v>
      </c>
      <c r="G29" s="100">
        <f>' Enrol &amp; Rev'!G138</f>
        <v>2206000</v>
      </c>
      <c r="H29" s="100">
        <f>' Enrol &amp; Rev'!H138</f>
        <v>2206000</v>
      </c>
      <c r="I29" s="100">
        <f>' Enrol &amp; Rev'!I138</f>
        <v>2206000</v>
      </c>
      <c r="J29" s="100">
        <f>' Enrol &amp; Rev'!J138</f>
        <v>2206000</v>
      </c>
      <c r="K29" s="100">
        <f>' Enrol &amp; Rev'!K138</f>
        <v>2206000</v>
      </c>
      <c r="L29" s="100">
        <f>' Enrol &amp; Rev'!L138</f>
        <v>2206000</v>
      </c>
      <c r="M29" s="54"/>
      <c r="O29" s="343"/>
      <c r="P29" s="33" t="s">
        <v>146</v>
      </c>
      <c r="Q29" s="343" t="s">
        <v>1542</v>
      </c>
    </row>
    <row r="30" spans="1:17" x14ac:dyDescent="0.25">
      <c r="A30" s="346">
        <f>ROW()</f>
        <v>30</v>
      </c>
      <c r="B30" s="33" t="s">
        <v>174</v>
      </c>
      <c r="C30" s="54">
        <f t="shared" si="7"/>
        <v>6342000</v>
      </c>
      <c r="D30" s="54">
        <f t="shared" si="8"/>
        <v>906000</v>
      </c>
      <c r="E30" s="413">
        <f t="shared" si="9"/>
        <v>3.3571508087495171E-2</v>
      </c>
      <c r="F30" s="100">
        <f>' Enrol &amp; Rev'!F139</f>
        <v>906000</v>
      </c>
      <c r="G30" s="100">
        <f>' Enrol &amp; Rev'!G139</f>
        <v>906000</v>
      </c>
      <c r="H30" s="100">
        <f>' Enrol &amp; Rev'!H139</f>
        <v>906000</v>
      </c>
      <c r="I30" s="100">
        <f>' Enrol &amp; Rev'!I139</f>
        <v>906000</v>
      </c>
      <c r="J30" s="100">
        <f>' Enrol &amp; Rev'!J139</f>
        <v>906000</v>
      </c>
      <c r="K30" s="100">
        <f>' Enrol &amp; Rev'!K139</f>
        <v>906000</v>
      </c>
      <c r="L30" s="100">
        <f>' Enrol &amp; Rev'!L139</f>
        <v>906000</v>
      </c>
      <c r="M30" s="54"/>
      <c r="O30" s="343"/>
      <c r="Q30" s="343" t="s">
        <v>1543</v>
      </c>
    </row>
    <row r="31" spans="1:17" x14ac:dyDescent="0.25">
      <c r="A31" s="346">
        <f>ROW()</f>
        <v>31</v>
      </c>
      <c r="B31" s="33" t="s">
        <v>175</v>
      </c>
      <c r="C31" s="54">
        <f t="shared" si="7"/>
        <v>1634500</v>
      </c>
      <c r="D31" s="54">
        <f t="shared" si="8"/>
        <v>233500</v>
      </c>
      <c r="E31" s="413">
        <f t="shared" si="9"/>
        <v>8.6522595346910855E-3</v>
      </c>
      <c r="F31" s="100">
        <f>' Enrol &amp; Rev'!F140</f>
        <v>233500</v>
      </c>
      <c r="G31" s="100">
        <f>' Enrol &amp; Rev'!G140</f>
        <v>233500</v>
      </c>
      <c r="H31" s="100">
        <f>' Enrol &amp; Rev'!H140</f>
        <v>233500</v>
      </c>
      <c r="I31" s="100">
        <f>' Enrol &amp; Rev'!I140</f>
        <v>233500</v>
      </c>
      <c r="J31" s="100">
        <f>' Enrol &amp; Rev'!J140</f>
        <v>233500</v>
      </c>
      <c r="K31" s="100">
        <f>' Enrol &amp; Rev'!K140</f>
        <v>233500</v>
      </c>
      <c r="L31" s="100">
        <f>' Enrol &amp; Rev'!L140</f>
        <v>233500</v>
      </c>
      <c r="M31" s="54"/>
      <c r="O31" s="343"/>
      <c r="P31" s="33" t="s">
        <v>146</v>
      </c>
      <c r="Q31" s="343"/>
    </row>
    <row r="32" spans="1:17" x14ac:dyDescent="0.25">
      <c r="A32" s="346">
        <f>ROW()</f>
        <v>32</v>
      </c>
      <c r="B32" s="33" t="s">
        <v>176</v>
      </c>
      <c r="C32" s="54">
        <f>SUM(F32:L32)</f>
        <v>0</v>
      </c>
      <c r="D32" s="54">
        <f t="shared" si="8"/>
        <v>0</v>
      </c>
      <c r="E32" s="413">
        <f t="shared" si="9"/>
        <v>0</v>
      </c>
      <c r="F32" s="100">
        <f>' Enrol &amp; Rev'!F136</f>
        <v>0</v>
      </c>
      <c r="G32" s="100">
        <f>' Enrol &amp; Rev'!G136</f>
        <v>0</v>
      </c>
      <c r="H32" s="100">
        <f>' Enrol &amp; Rev'!H136</f>
        <v>0</v>
      </c>
      <c r="I32" s="100">
        <f>' Enrol &amp; Rev'!I136</f>
        <v>0</v>
      </c>
      <c r="J32" s="100">
        <f>' Enrol &amp; Rev'!J136</f>
        <v>0</v>
      </c>
      <c r="K32" s="100">
        <f>' Enrol &amp; Rev'!K136</f>
        <v>0</v>
      </c>
      <c r="L32" s="100">
        <f>' Enrol &amp; Rev'!L136</f>
        <v>0</v>
      </c>
      <c r="M32" s="54"/>
      <c r="O32" s="343"/>
      <c r="P32" s="33" t="s">
        <v>146</v>
      </c>
      <c r="Q32" s="343"/>
    </row>
    <row r="33" spans="1:17" x14ac:dyDescent="0.25">
      <c r="A33" s="346">
        <f>ROW()</f>
        <v>33</v>
      </c>
      <c r="B33" s="33" t="s">
        <v>177</v>
      </c>
      <c r="C33" s="54">
        <f t="shared" si="7"/>
        <v>0</v>
      </c>
      <c r="D33" s="54">
        <f t="shared" si="8"/>
        <v>0</v>
      </c>
      <c r="E33" s="413">
        <f t="shared" si="9"/>
        <v>0</v>
      </c>
      <c r="F33" s="100">
        <f>' Enrol &amp; Rev'!F141</f>
        <v>0</v>
      </c>
      <c r="G33" s="100">
        <f>' Enrol &amp; Rev'!G141</f>
        <v>0</v>
      </c>
      <c r="H33" s="100">
        <f>' Enrol &amp; Rev'!H141</f>
        <v>0</v>
      </c>
      <c r="I33" s="100">
        <f>' Enrol &amp; Rev'!I141</f>
        <v>0</v>
      </c>
      <c r="J33" s="100">
        <f>' Enrol &amp; Rev'!J141</f>
        <v>0</v>
      </c>
      <c r="K33" s="100">
        <f>' Enrol &amp; Rev'!K141</f>
        <v>0</v>
      </c>
      <c r="L33" s="100">
        <f>' Enrol &amp; Rev'!L141</f>
        <v>0</v>
      </c>
      <c r="M33" s="54"/>
      <c r="O33" s="343" t="s">
        <v>178</v>
      </c>
      <c r="P33" s="33" t="s">
        <v>146</v>
      </c>
      <c r="Q33" s="343"/>
    </row>
    <row r="34" spans="1:17" x14ac:dyDescent="0.25">
      <c r="A34" s="346">
        <f>ROW()</f>
        <v>34</v>
      </c>
      <c r="B34" s="33" t="s">
        <v>179</v>
      </c>
      <c r="C34" s="54">
        <f t="shared" si="7"/>
        <v>0</v>
      </c>
      <c r="D34" s="54">
        <f t="shared" si="8"/>
        <v>0</v>
      </c>
      <c r="E34" s="413">
        <f t="shared" si="9"/>
        <v>0</v>
      </c>
      <c r="F34" s="1274">
        <f>' Enrol &amp; Rev'!F142</f>
        <v>0</v>
      </c>
      <c r="G34" s="1274">
        <f>' Enrol &amp; Rev'!G142</f>
        <v>0</v>
      </c>
      <c r="H34" s="1274">
        <f>' Enrol &amp; Rev'!H142</f>
        <v>0</v>
      </c>
      <c r="I34" s="1274">
        <f>' Enrol &amp; Rev'!I142</f>
        <v>0</v>
      </c>
      <c r="J34" s="1274">
        <f>' Enrol &amp; Rev'!J142</f>
        <v>0</v>
      </c>
      <c r="K34" s="1274">
        <f>' Enrol &amp; Rev'!K142</f>
        <v>0</v>
      </c>
      <c r="L34" s="1274">
        <f>' Enrol &amp; Rev'!L142</f>
        <v>0</v>
      </c>
      <c r="M34" s="54"/>
      <c r="O34" s="343" t="s">
        <v>178</v>
      </c>
      <c r="Q34" s="343"/>
    </row>
    <row r="35" spans="1:17" x14ac:dyDescent="0.25">
      <c r="A35" s="346">
        <f>ROW()</f>
        <v>35</v>
      </c>
      <c r="B35" s="844" t="s">
        <v>180</v>
      </c>
      <c r="C35" s="703">
        <f>SUM(C15:C34)</f>
        <v>164045810.73033234</v>
      </c>
      <c r="D35" s="703">
        <f>AVERAGE(G35:L35)</f>
        <v>26987170.121722054</v>
      </c>
      <c r="E35" s="677">
        <f t="shared" si="9"/>
        <v>1</v>
      </c>
      <c r="F35" s="1189">
        <f t="shared" ref="F35:L35" si="10">SUM(F15:F34)</f>
        <v>2122790</v>
      </c>
      <c r="G35" s="1189">
        <f>SUM(G15:G34)</f>
        <v>26987576.88896</v>
      </c>
      <c r="H35" s="1189">
        <f t="shared" si="10"/>
        <v>26987088.768274467</v>
      </c>
      <c r="I35" s="1189">
        <f t="shared" si="10"/>
        <v>26987088.768274467</v>
      </c>
      <c r="J35" s="1189">
        <f t="shared" si="10"/>
        <v>26987088.768274467</v>
      </c>
      <c r="K35" s="1189">
        <f t="shared" si="10"/>
        <v>26987088.768274467</v>
      </c>
      <c r="L35" s="1189">
        <f t="shared" si="10"/>
        <v>26987088.768274467</v>
      </c>
      <c r="M35" s="1190"/>
      <c r="O35" s="343"/>
      <c r="P35" s="33" t="s">
        <v>146</v>
      </c>
      <c r="Q35" s="1765">
        <f>G35</f>
        <v>26987576.88896</v>
      </c>
    </row>
    <row r="36" spans="1:17" outlineLevel="1" x14ac:dyDescent="0.25">
      <c r="A36" s="346">
        <f>ROW()</f>
        <v>36</v>
      </c>
      <c r="B36" s="80" t="s">
        <v>181</v>
      </c>
      <c r="F36" s="55">
        <f>' Enrol &amp; Rev'!F145</f>
        <v>3345500</v>
      </c>
      <c r="G36" s="55">
        <f>' Enrol &amp; Rev'!G145</f>
        <v>26987576.88896</v>
      </c>
      <c r="H36" s="55">
        <f>' Enrol &amp; Rev'!H145</f>
        <v>26987088.768274467</v>
      </c>
      <c r="I36" s="55">
        <f>' Enrol &amp; Rev'!I145</f>
        <v>26987088.768274467</v>
      </c>
      <c r="J36" s="55">
        <f>' Enrol &amp; Rev'!J145</f>
        <v>26987088.768274467</v>
      </c>
      <c r="K36" s="55">
        <f>' Enrol &amp; Rev'!K145</f>
        <v>26987088.768274467</v>
      </c>
      <c r="L36" s="55">
        <f>' Enrol &amp; Rev'!L145</f>
        <v>26987088.768274467</v>
      </c>
      <c r="M36" s="58"/>
      <c r="O36" s="343"/>
      <c r="P36" s="33" t="s">
        <v>146</v>
      </c>
      <c r="Q36" s="1765">
        <f>F55</f>
        <v>-21575432.721774668</v>
      </c>
    </row>
    <row r="37" spans="1:17" outlineLevel="1" x14ac:dyDescent="0.25">
      <c r="A37" s="346">
        <f>ROW()</f>
        <v>37</v>
      </c>
      <c r="B37" s="80" t="s">
        <v>182</v>
      </c>
      <c r="C37" s="58"/>
      <c r="D37" s="58"/>
      <c r="E37" s="58"/>
      <c r="F37" s="130">
        <f>+F35-F36</f>
        <v>-1222710</v>
      </c>
      <c r="G37" s="130">
        <f t="shared" ref="G37:L37" si="11">+G35-G36</f>
        <v>0</v>
      </c>
      <c r="H37" s="130">
        <f t="shared" si="11"/>
        <v>0</v>
      </c>
      <c r="I37" s="130">
        <f t="shared" si="11"/>
        <v>0</v>
      </c>
      <c r="J37" s="130">
        <f t="shared" si="11"/>
        <v>0</v>
      </c>
      <c r="K37" s="130">
        <f t="shared" si="11"/>
        <v>0</v>
      </c>
      <c r="L37" s="130">
        <f t="shared" si="11"/>
        <v>0</v>
      </c>
      <c r="M37" s="58"/>
      <c r="O37" s="343"/>
      <c r="Q37" s="343"/>
    </row>
    <row r="38" spans="1:17" x14ac:dyDescent="0.25">
      <c r="A38" s="346">
        <f>ROW()</f>
        <v>38</v>
      </c>
      <c r="B38" s="80" t="s">
        <v>183</v>
      </c>
      <c r="C38" s="58"/>
      <c r="D38" s="58"/>
      <c r="E38" s="58"/>
      <c r="F38" s="508"/>
      <c r="G38" s="134">
        <f t="shared" ref="G38:L38" si="12">+G35/G9</f>
        <v>11632.475965276162</v>
      </c>
      <c r="H38" s="134">
        <f t="shared" si="12"/>
        <v>11632.2655702427</v>
      </c>
      <c r="I38" s="134">
        <f t="shared" si="12"/>
        <v>11632.2655702427</v>
      </c>
      <c r="J38" s="134">
        <f t="shared" si="12"/>
        <v>11632.2655702427</v>
      </c>
      <c r="K38" s="134">
        <f t="shared" si="12"/>
        <v>11632.2655702427</v>
      </c>
      <c r="L38" s="134">
        <f t="shared" si="12"/>
        <v>11632.2655702427</v>
      </c>
      <c r="M38" s="58"/>
      <c r="O38" s="343"/>
      <c r="Q38" s="343"/>
    </row>
    <row r="39" spans="1:17" hidden="1" outlineLevel="1" x14ac:dyDescent="0.25">
      <c r="A39" s="346">
        <f>ROW()</f>
        <v>39</v>
      </c>
      <c r="B39" s="80" t="s">
        <v>184</v>
      </c>
      <c r="C39" s="1367"/>
      <c r="D39" s="1367"/>
      <c r="E39" s="1368"/>
      <c r="F39" s="593"/>
      <c r="G39" s="593">
        <f>+' Enrol &amp; Rev'!G146</f>
        <v>11632.475965276162</v>
      </c>
      <c r="H39" s="593">
        <f>+' Enrol &amp; Rev'!H146</f>
        <v>11632.2655702427</v>
      </c>
      <c r="I39" s="593">
        <f>+' Enrol &amp; Rev'!I146</f>
        <v>11632.2655702427</v>
      </c>
      <c r="J39" s="593">
        <f>+' Enrol &amp; Rev'!J146</f>
        <v>11632.2655702427</v>
      </c>
      <c r="K39" s="593">
        <f>+' Enrol &amp; Rev'!K146</f>
        <v>11632.2655702427</v>
      </c>
      <c r="L39" s="593">
        <f>+' Enrol &amp; Rev'!L146</f>
        <v>11632.2655702427</v>
      </c>
      <c r="M39" s="58"/>
      <c r="O39" s="343"/>
      <c r="Q39" s="343"/>
    </row>
    <row r="40" spans="1:17" hidden="1" outlineLevel="1" x14ac:dyDescent="0.25">
      <c r="A40" s="346">
        <f>ROW()</f>
        <v>40</v>
      </c>
      <c r="B40" s="80" t="s">
        <v>185</v>
      </c>
      <c r="C40" s="58"/>
      <c r="D40" s="58"/>
      <c r="E40" s="58"/>
      <c r="F40" s="508"/>
      <c r="G40" s="134">
        <f t="shared" ref="G40:L40" si="13">+G39-G38</f>
        <v>0</v>
      </c>
      <c r="H40" s="134">
        <f t="shared" si="13"/>
        <v>0</v>
      </c>
      <c r="I40" s="134">
        <f t="shared" si="13"/>
        <v>0</v>
      </c>
      <c r="J40" s="134">
        <f t="shared" si="13"/>
        <v>0</v>
      </c>
      <c r="K40" s="134">
        <f t="shared" si="13"/>
        <v>0</v>
      </c>
      <c r="L40" s="134">
        <f t="shared" si="13"/>
        <v>0</v>
      </c>
      <c r="M40" s="58"/>
      <c r="O40" s="343"/>
      <c r="Q40" s="343"/>
    </row>
    <row r="41" spans="1:17" outlineLevel="1" x14ac:dyDescent="0.25">
      <c r="A41" s="346">
        <f>ROW()</f>
        <v>41</v>
      </c>
      <c r="B41" s="80" t="s">
        <v>186</v>
      </c>
      <c r="C41" s="1586">
        <f>SUM(C17:C23)/C35</f>
        <v>1.4909800830578303E-2</v>
      </c>
      <c r="D41" s="1586">
        <f t="shared" ref="D41:L41" si="14">SUM(D17:D23)/D35</f>
        <v>1.5105266404048887E-2</v>
      </c>
      <c r="E41" s="1586">
        <f t="shared" si="14"/>
        <v>1.5105266404048887E-2</v>
      </c>
      <c r="F41" s="1586">
        <f t="shared" si="14"/>
        <v>0</v>
      </c>
      <c r="G41" s="1586">
        <f t="shared" si="14"/>
        <v>1.5105038731608383E-2</v>
      </c>
      <c r="H41" s="1586">
        <f t="shared" si="14"/>
        <v>1.5105311939360577E-2</v>
      </c>
      <c r="I41" s="1586">
        <f t="shared" si="14"/>
        <v>1.5105311939360577E-2</v>
      </c>
      <c r="J41" s="1586">
        <f t="shared" si="14"/>
        <v>1.5105311939360577E-2</v>
      </c>
      <c r="K41" s="1586">
        <f t="shared" si="14"/>
        <v>1.5105311939360577E-2</v>
      </c>
      <c r="L41" s="1586">
        <f t="shared" si="14"/>
        <v>1.5105311939360577E-2</v>
      </c>
      <c r="M41" s="58"/>
      <c r="O41" s="343"/>
      <c r="Q41" s="343"/>
    </row>
    <row r="42" spans="1:17" x14ac:dyDescent="0.25">
      <c r="A42" s="346">
        <f>ROW()</f>
        <v>42</v>
      </c>
      <c r="B42" s="58"/>
      <c r="C42" s="58"/>
      <c r="D42" s="58"/>
      <c r="E42" s="58"/>
      <c r="F42" s="508"/>
      <c r="G42" s="134"/>
      <c r="H42" s="134"/>
      <c r="I42" s="134"/>
      <c r="J42" s="134"/>
      <c r="K42" s="134"/>
      <c r="L42" s="134"/>
      <c r="M42" s="58"/>
      <c r="O42" s="343"/>
      <c r="Q42" s="343"/>
    </row>
    <row r="43" spans="1:17" ht="18" x14ac:dyDescent="0.25">
      <c r="A43" s="346">
        <f>ROW()</f>
        <v>43</v>
      </c>
      <c r="B43" s="942" t="s">
        <v>187</v>
      </c>
      <c r="C43" s="943" t="s">
        <v>156</v>
      </c>
      <c r="D43" s="943" t="s">
        <v>157</v>
      </c>
      <c r="E43" s="944" t="s">
        <v>158</v>
      </c>
      <c r="F43" s="945">
        <f t="shared" ref="F43:L43" si="15">F6</f>
        <v>0</v>
      </c>
      <c r="G43" s="945">
        <f t="shared" si="15"/>
        <v>1</v>
      </c>
      <c r="H43" s="945">
        <f t="shared" si="15"/>
        <v>2</v>
      </c>
      <c r="I43" s="945">
        <f t="shared" si="15"/>
        <v>3</v>
      </c>
      <c r="J43" s="945">
        <f t="shared" si="15"/>
        <v>4</v>
      </c>
      <c r="K43" s="945">
        <f t="shared" si="15"/>
        <v>5</v>
      </c>
      <c r="L43" s="945">
        <f t="shared" si="15"/>
        <v>6</v>
      </c>
      <c r="M43" s="58"/>
      <c r="O43" s="343"/>
      <c r="P43" s="33" t="s">
        <v>146</v>
      </c>
      <c r="Q43" s="343"/>
    </row>
    <row r="44" spans="1:17" x14ac:dyDescent="0.25">
      <c r="A44" s="346">
        <f>ROW()</f>
        <v>44</v>
      </c>
      <c r="B44" s="33" t="s">
        <v>188</v>
      </c>
      <c r="C44" s="247">
        <f t="shared" ref="C44:C51" si="16">SUM(F44:L44)</f>
        <v>115359120.8211727</v>
      </c>
      <c r="D44" s="247">
        <f t="shared" ref="D44:D51" si="17">AVERAGE(G44:L44)</f>
        <v>16479874.403024672</v>
      </c>
      <c r="E44" s="413">
        <f t="shared" ref="E44:E52" si="18">IFERROR(+D44/$D$35,0)</f>
        <v>0.61065589050998614</v>
      </c>
      <c r="F44" s="575">
        <f>+Staff!G461</f>
        <v>16479874.40302467</v>
      </c>
      <c r="G44" s="575">
        <f>+Staff!H461</f>
        <v>16479874.40302467</v>
      </c>
      <c r="H44" s="575">
        <f>+Staff!I461</f>
        <v>16479874.40302467</v>
      </c>
      <c r="I44" s="575">
        <f>+Staff!J461</f>
        <v>16479874.40302467</v>
      </c>
      <c r="J44" s="575">
        <f>+Staff!K461</f>
        <v>16479874.40302467</v>
      </c>
      <c r="K44" s="575">
        <f>+Staff!L461</f>
        <v>16479874.40302467</v>
      </c>
      <c r="L44" s="575">
        <f>+Staff!M461</f>
        <v>16479874.40302467</v>
      </c>
      <c r="M44" s="59"/>
      <c r="O44" s="343"/>
      <c r="P44" s="33" t="s">
        <v>146</v>
      </c>
      <c r="Q44" s="343"/>
    </row>
    <row r="45" spans="1:17" x14ac:dyDescent="0.25">
      <c r="A45" s="346">
        <f>ROW()</f>
        <v>45</v>
      </c>
      <c r="B45" s="33" t="s">
        <v>122</v>
      </c>
      <c r="C45" s="54">
        <f t="shared" si="16"/>
        <v>11206558.281661544</v>
      </c>
      <c r="D45" s="54">
        <f t="shared" si="17"/>
        <v>1677355.7136102573</v>
      </c>
      <c r="E45" s="413">
        <f t="shared" si="18"/>
        <v>6.2153819983524268E-2</v>
      </c>
      <c r="F45" s="100">
        <f>Facilities!F76</f>
        <v>1142424.0000000002</v>
      </c>
      <c r="G45" s="100">
        <f>Facilities!G76</f>
        <v>1588168.5980000002</v>
      </c>
      <c r="H45" s="100">
        <f>Facilities!H76</f>
        <v>1622441.3180000002</v>
      </c>
      <c r="I45" s="100">
        <f>Facilities!I76</f>
        <v>1657742.2196000002</v>
      </c>
      <c r="J45" s="100">
        <f>Facilities!J76</f>
        <v>1694102.1482480003</v>
      </c>
      <c r="K45" s="100">
        <f>Facilities!K76</f>
        <v>1731552.8747554405</v>
      </c>
      <c r="L45" s="100">
        <f>Facilities!L76</f>
        <v>1770127.1230581037</v>
      </c>
      <c r="M45" s="59"/>
      <c r="O45" s="343"/>
      <c r="P45" s="33" t="s">
        <v>146</v>
      </c>
      <c r="Q45" s="343"/>
    </row>
    <row r="46" spans="1:17" x14ac:dyDescent="0.25">
      <c r="A46" s="346">
        <f>ROW()</f>
        <v>46</v>
      </c>
      <c r="B46" s="33" t="s">
        <v>189</v>
      </c>
      <c r="C46" s="54">
        <f t="shared" si="16"/>
        <v>51138117.244176194</v>
      </c>
      <c r="D46" s="54">
        <f t="shared" si="17"/>
        <v>7570865.4875710318</v>
      </c>
      <c r="E46" s="413">
        <f t="shared" si="18"/>
        <v>0.2805357306239834</v>
      </c>
      <c r="F46" s="100">
        <f>+'Gen Optg'!F199</f>
        <v>5712924.3187499996</v>
      </c>
      <c r="G46" s="100">
        <f>+'Gen Optg'!G199</f>
        <v>7023492.0483125001</v>
      </c>
      <c r="H46" s="100">
        <f>+'Gen Optg'!H199</f>
        <v>7233135.909761874</v>
      </c>
      <c r="I46" s="100">
        <f>+'Gen Optg'!I199</f>
        <v>7450129.9870547308</v>
      </c>
      <c r="J46" s="100">
        <f>+'Gen Optg'!J199</f>
        <v>7673633.8866663724</v>
      </c>
      <c r="K46" s="100">
        <f>+'Gen Optg'!K199</f>
        <v>7903842.9032663628</v>
      </c>
      <c r="L46" s="100">
        <f>+'Gen Optg'!L199</f>
        <v>8140958.1903643543</v>
      </c>
      <c r="M46" s="59"/>
      <c r="O46" s="343"/>
      <c r="P46" s="33" t="s">
        <v>146</v>
      </c>
      <c r="Q46" s="343"/>
    </row>
    <row r="47" spans="1:17" x14ac:dyDescent="0.25">
      <c r="A47" s="346">
        <f>ROW()</f>
        <v>47</v>
      </c>
      <c r="B47" s="33" t="s">
        <v>190</v>
      </c>
      <c r="C47" s="54">
        <f t="shared" si="16"/>
        <v>0</v>
      </c>
      <c r="D47" s="54">
        <f t="shared" si="17"/>
        <v>0</v>
      </c>
      <c r="E47" s="413">
        <f t="shared" si="18"/>
        <v>0</v>
      </c>
      <c r="F47" s="100">
        <f>'EMO-CMO-BOSP'!E39</f>
        <v>0</v>
      </c>
      <c r="G47" s="100">
        <f>'EMO-CMO-BOSP'!F39</f>
        <v>0</v>
      </c>
      <c r="H47" s="100">
        <f>'EMO-CMO-BOSP'!G39</f>
        <v>0</v>
      </c>
      <c r="I47" s="100">
        <f>'EMO-CMO-BOSP'!H39</f>
        <v>0</v>
      </c>
      <c r="J47" s="100">
        <f>'EMO-CMO-BOSP'!I39</f>
        <v>0</v>
      </c>
      <c r="K47" s="100">
        <f>'EMO-CMO-BOSP'!J39</f>
        <v>0</v>
      </c>
      <c r="L47" s="100">
        <f>'EMO-CMO-BOSP'!K39</f>
        <v>0</v>
      </c>
      <c r="M47" s="54"/>
      <c r="O47" s="343"/>
      <c r="P47" s="33" t="s">
        <v>146</v>
      </c>
      <c r="Q47" s="343"/>
    </row>
    <row r="48" spans="1:17" x14ac:dyDescent="0.25">
      <c r="A48" s="346">
        <f>ROW()</f>
        <v>48</v>
      </c>
      <c r="B48" s="33" t="s">
        <v>130</v>
      </c>
      <c r="C48" s="54">
        <f t="shared" si="16"/>
        <v>1659000</v>
      </c>
      <c r="D48" s="54">
        <f t="shared" si="17"/>
        <v>237000</v>
      </c>
      <c r="E48" s="413">
        <f t="shared" si="18"/>
        <v>8.781950791099731E-3</v>
      </c>
      <c r="F48" s="100">
        <f>Marketing!H44</f>
        <v>237000</v>
      </c>
      <c r="G48" s="100">
        <f>Marketing!I44</f>
        <v>237000</v>
      </c>
      <c r="H48" s="100">
        <f>Marketing!J44</f>
        <v>237000</v>
      </c>
      <c r="I48" s="100">
        <f>Marketing!K44</f>
        <v>237000</v>
      </c>
      <c r="J48" s="100">
        <f>Marketing!L44</f>
        <v>237000</v>
      </c>
      <c r="K48" s="100">
        <f>Marketing!M44</f>
        <v>237000</v>
      </c>
      <c r="L48" s="100">
        <f>Marketing!N44</f>
        <v>237000</v>
      </c>
      <c r="M48" s="54"/>
      <c r="O48" s="343"/>
      <c r="P48" s="33" t="s">
        <v>146</v>
      </c>
      <c r="Q48" s="343"/>
    </row>
    <row r="49" spans="1:20" x14ac:dyDescent="0.25">
      <c r="A49" s="346">
        <f>ROW()</f>
        <v>49</v>
      </c>
      <c r="B49" s="33" t="s">
        <v>191</v>
      </c>
      <c r="C49" s="54">
        <f t="shared" si="16"/>
        <v>875000</v>
      </c>
      <c r="D49" s="54">
        <f t="shared" si="17"/>
        <v>125000</v>
      </c>
      <c r="E49" s="413">
        <f t="shared" si="18"/>
        <v>4.6318305860230643E-3</v>
      </c>
      <c r="F49" s="100">
        <f>'FFE&amp;T'!F43</f>
        <v>125000</v>
      </c>
      <c r="G49" s="100">
        <f>'FFE&amp;T'!G43</f>
        <v>125000</v>
      </c>
      <c r="H49" s="100">
        <f>'FFE&amp;T'!H43</f>
        <v>125000</v>
      </c>
      <c r="I49" s="100">
        <f>'FFE&amp;T'!I43</f>
        <v>125000</v>
      </c>
      <c r="J49" s="100">
        <f>'FFE&amp;T'!J43</f>
        <v>125000</v>
      </c>
      <c r="K49" s="100">
        <f>'FFE&amp;T'!K43</f>
        <v>125000</v>
      </c>
      <c r="L49" s="100">
        <f>'FFE&amp;T'!L43</f>
        <v>125000</v>
      </c>
      <c r="M49" s="54"/>
      <c r="O49" s="343"/>
      <c r="P49" s="33" t="s">
        <v>146</v>
      </c>
      <c r="Q49" s="343"/>
    </row>
    <row r="50" spans="1:20" x14ac:dyDescent="0.25">
      <c r="A50" s="346">
        <f>ROW()</f>
        <v>50</v>
      </c>
      <c r="B50" s="33" t="s">
        <v>174</v>
      </c>
      <c r="C50" s="54">
        <f t="shared" si="16"/>
        <v>0</v>
      </c>
      <c r="D50" s="54">
        <f t="shared" si="17"/>
        <v>0</v>
      </c>
      <c r="E50" s="413">
        <f t="shared" si="18"/>
        <v>0</v>
      </c>
      <c r="F50" s="100">
        <f>+'Gen Optg'!F180</f>
        <v>0</v>
      </c>
      <c r="G50" s="100">
        <f>+'Gen Optg'!G180</f>
        <v>0</v>
      </c>
      <c r="H50" s="100">
        <f>+'Gen Optg'!H180</f>
        <v>0</v>
      </c>
      <c r="I50" s="100">
        <f>+'Gen Optg'!I180</f>
        <v>0</v>
      </c>
      <c r="J50" s="100">
        <f>+'Gen Optg'!J180</f>
        <v>0</v>
      </c>
      <c r="K50" s="100">
        <f>+'Gen Optg'!K180</f>
        <v>0</v>
      </c>
      <c r="L50" s="100">
        <f>+'Gen Optg'!L180</f>
        <v>0</v>
      </c>
      <c r="M50" s="54"/>
      <c r="O50" s="343"/>
      <c r="P50" s="33" t="s">
        <v>146</v>
      </c>
      <c r="Q50" s="343" t="s">
        <v>1564</v>
      </c>
    </row>
    <row r="51" spans="1:20" x14ac:dyDescent="0.25">
      <c r="A51" s="346">
        <f>ROW()</f>
        <v>51</v>
      </c>
      <c r="B51" s="33" t="s">
        <v>128</v>
      </c>
      <c r="C51" s="54">
        <f t="shared" si="16"/>
        <v>525986.04974200274</v>
      </c>
      <c r="D51" s="54">
        <f t="shared" si="17"/>
        <v>87497.674957000461</v>
      </c>
      <c r="E51" s="413">
        <f t="shared" si="18"/>
        <v>3.2421952565739125E-3</v>
      </c>
      <c r="F51" s="100">
        <f>Ins!F51</f>
        <v>1000</v>
      </c>
      <c r="G51" s="100">
        <f>Ins!G51</f>
        <v>83223.839999999997</v>
      </c>
      <c r="H51" s="100">
        <f>Ins!H51</f>
        <v>84888.316800000001</v>
      </c>
      <c r="I51" s="100">
        <f>Ins!I51</f>
        <v>86586.083136000001</v>
      </c>
      <c r="J51" s="100">
        <f>Ins!J51</f>
        <v>88317.804798719997</v>
      </c>
      <c r="K51" s="100">
        <f>Ins!K51</f>
        <v>90084.160894694403</v>
      </c>
      <c r="L51" s="100">
        <f>Ins!L51</f>
        <v>91885.844112588296</v>
      </c>
      <c r="M51" s="54"/>
      <c r="O51" s="343"/>
      <c r="P51" s="33" t="s">
        <v>146</v>
      </c>
      <c r="Q51" s="343"/>
    </row>
    <row r="52" spans="1:20" x14ac:dyDescent="0.25">
      <c r="A52" s="346">
        <f>ROW()</f>
        <v>52</v>
      </c>
      <c r="B52" s="844" t="s">
        <v>192</v>
      </c>
      <c r="C52" s="703">
        <f>SUM(C44:C51)</f>
        <v>180763782.39675245</v>
      </c>
      <c r="D52" s="703">
        <f>AVERAGE(G52:L52)</f>
        <v>26177593.279162962</v>
      </c>
      <c r="E52" s="677">
        <f t="shared" si="18"/>
        <v>0.97000141775119053</v>
      </c>
      <c r="F52" s="1189">
        <f t="shared" ref="F52:L52" si="19">SUM(F44:F51)</f>
        <v>23698222.721774668</v>
      </c>
      <c r="G52" s="1189">
        <f t="shared" si="19"/>
        <v>25536758.889337171</v>
      </c>
      <c r="H52" s="1189">
        <f t="shared" si="19"/>
        <v>25782339.947586544</v>
      </c>
      <c r="I52" s="1189">
        <f t="shared" si="19"/>
        <v>26036332.692815401</v>
      </c>
      <c r="J52" s="1189">
        <f t="shared" si="19"/>
        <v>26297928.242737763</v>
      </c>
      <c r="K52" s="1189">
        <f t="shared" si="19"/>
        <v>26567354.34194117</v>
      </c>
      <c r="L52" s="1189">
        <f t="shared" si="19"/>
        <v>26844845.560559716</v>
      </c>
      <c r="M52" s="54"/>
      <c r="O52" s="343"/>
      <c r="P52" s="33" t="s">
        <v>146</v>
      </c>
      <c r="Q52" s="343"/>
    </row>
    <row r="53" spans="1:20" x14ac:dyDescent="0.25">
      <c r="A53" s="346">
        <f>ROW()</f>
        <v>53</v>
      </c>
      <c r="B53" s="80" t="s">
        <v>193</v>
      </c>
      <c r="C53" s="415"/>
      <c r="D53" s="415"/>
      <c r="E53" s="414"/>
      <c r="F53" s="593">
        <f t="shared" ref="F53:L53" si="20">IFERROR(F52/F9,0)</f>
        <v>0</v>
      </c>
      <c r="G53" s="593">
        <f t="shared" si="20"/>
        <v>11007.128770155934</v>
      </c>
      <c r="H53" s="593">
        <f t="shared" si="20"/>
        <v>11112.981762047975</v>
      </c>
      <c r="I53" s="593">
        <f t="shared" si="20"/>
        <v>11222.460449830347</v>
      </c>
      <c r="J53" s="593">
        <f t="shared" si="20"/>
        <v>11335.21618035093</v>
      </c>
      <c r="K53" s="593">
        <f t="shared" si="20"/>
        <v>11451.347118533966</v>
      </c>
      <c r="L53" s="593">
        <f t="shared" si="20"/>
        <v>11570.954371324262</v>
      </c>
      <c r="M53" s="54"/>
      <c r="O53" s="343"/>
      <c r="P53" s="33" t="s">
        <v>146</v>
      </c>
      <c r="Q53" s="343"/>
    </row>
    <row r="54" spans="1:20" ht="15.75" thickBot="1" x14ac:dyDescent="0.3">
      <c r="A54" s="346">
        <f>ROW()</f>
        <v>54</v>
      </c>
      <c r="B54" s="31"/>
      <c r="C54" s="415"/>
      <c r="D54" s="415"/>
      <c r="E54" s="414"/>
      <c r="F54" s="630"/>
      <c r="G54" s="630"/>
      <c r="H54" s="630"/>
      <c r="I54" s="630"/>
      <c r="J54" s="630"/>
      <c r="K54" s="630"/>
      <c r="L54" s="630"/>
      <c r="M54" s="54"/>
      <c r="O54" s="343"/>
      <c r="Q54" s="343"/>
    </row>
    <row r="55" spans="1:20" ht="15.75" thickBot="1" x14ac:dyDescent="0.3">
      <c r="A55" s="346">
        <f>ROW()</f>
        <v>55</v>
      </c>
      <c r="B55" s="1252" t="s">
        <v>194</v>
      </c>
      <c r="C55" s="1253">
        <f>C35-C52</f>
        <v>-16717971.666420102</v>
      </c>
      <c r="D55" s="1253">
        <f>AVERAGE(G55:L55)</f>
        <v>809576.84255909547</v>
      </c>
      <c r="E55" s="1254">
        <f>IFERROR(+D55/$D$35,0)</f>
        <v>2.999858224880958E-2</v>
      </c>
      <c r="F55" s="1255">
        <f t="shared" ref="F55:L55" si="21">F35-F52</f>
        <v>-21575432.721774668</v>
      </c>
      <c r="G55" s="1255">
        <f t="shared" si="21"/>
        <v>1450817.9996228293</v>
      </c>
      <c r="H55" s="1255">
        <f t="shared" si="21"/>
        <v>1204748.8206879236</v>
      </c>
      <c r="I55" s="1255">
        <f t="shared" si="21"/>
        <v>950756.07545906678</v>
      </c>
      <c r="J55" s="1255">
        <f t="shared" si="21"/>
        <v>689160.52553670481</v>
      </c>
      <c r="K55" s="1255">
        <f t="shared" si="21"/>
        <v>419734.42633329704</v>
      </c>
      <c r="L55" s="1255">
        <f t="shared" si="21"/>
        <v>142243.20771475136</v>
      </c>
      <c r="M55" s="54"/>
      <c r="N55" s="821"/>
      <c r="O55" s="343" t="s">
        <v>195</v>
      </c>
      <c r="P55" s="60" t="s">
        <v>146</v>
      </c>
      <c r="Q55" s="343"/>
      <c r="R55" s="60"/>
      <c r="T55" s="61"/>
    </row>
    <row r="56" spans="1:20" ht="15.75" thickBot="1" x14ac:dyDescent="0.3">
      <c r="A56" s="346">
        <f>ROW()</f>
        <v>56</v>
      </c>
      <c r="B56" s="183" t="s">
        <v>196</v>
      </c>
      <c r="C56" s="418"/>
      <c r="D56" s="418"/>
      <c r="E56" s="418"/>
      <c r="F56" s="631"/>
      <c r="G56" s="134">
        <f>IFERROR(G55/Statistics!G20,0)</f>
        <v>625.34719512022707</v>
      </c>
      <c r="H56" s="134">
        <f>IFERROR(H55/Statistics!H20,0)</f>
        <v>519.28380819472397</v>
      </c>
      <c r="I56" s="134">
        <f>IFERROR(I55/Statistics!I20,0)</f>
        <v>409.80512041235284</v>
      </c>
      <c r="J56" s="134">
        <f>IFERROR(J55/Statistics!J20,0)</f>
        <v>297.04938989177026</v>
      </c>
      <c r="K56" s="134">
        <f>IFERROR(K55/Statistics!K20,0)</f>
        <v>180.91845170873398</v>
      </c>
      <c r="L56" s="134">
        <f>IFERROR(L55/Statistics!L20,0)</f>
        <v>61.311198918436638</v>
      </c>
      <c r="M56" s="54"/>
      <c r="O56" s="343"/>
      <c r="P56" s="33" t="s">
        <v>146</v>
      </c>
      <c r="Q56" s="343"/>
    </row>
    <row r="57" spans="1:20" ht="15.75" thickBot="1" x14ac:dyDescent="0.3">
      <c r="A57" s="346">
        <f>ROW()</f>
        <v>57</v>
      </c>
      <c r="B57" s="420" t="s">
        <v>197</v>
      </c>
      <c r="C57" s="421"/>
      <c r="D57" s="421"/>
      <c r="E57" s="417"/>
      <c r="F57" s="632">
        <f t="shared" ref="F57:L57" si="22">+F55+E57</f>
        <v>-21575432.721774668</v>
      </c>
      <c r="G57" s="632">
        <f t="shared" si="22"/>
        <v>-20124614.722151838</v>
      </c>
      <c r="H57" s="632">
        <f t="shared" si="22"/>
        <v>-18919865.901463915</v>
      </c>
      <c r="I57" s="632">
        <f t="shared" si="22"/>
        <v>-17969109.826004848</v>
      </c>
      <c r="J57" s="632">
        <f t="shared" si="22"/>
        <v>-17279949.300468143</v>
      </c>
      <c r="K57" s="632">
        <f t="shared" si="22"/>
        <v>-16860214.874134846</v>
      </c>
      <c r="L57" s="632">
        <f t="shared" si="22"/>
        <v>-16717971.666420095</v>
      </c>
      <c r="M57" s="419"/>
      <c r="O57" s="307" t="s">
        <v>198</v>
      </c>
      <c r="P57" s="33" t="s">
        <v>146</v>
      </c>
      <c r="Q57" s="1378"/>
      <c r="S57" s="55"/>
    </row>
    <row r="58" spans="1:20" x14ac:dyDescent="0.25">
      <c r="A58" s="346">
        <f>ROW()</f>
        <v>58</v>
      </c>
      <c r="B58" s="1286" t="s">
        <v>199</v>
      </c>
      <c r="C58" s="107">
        <f>SUM(F58:L58)</f>
        <v>113700870.04000431</v>
      </c>
      <c r="D58" s="34"/>
      <c r="E58" s="674"/>
      <c r="F58" s="675">
        <f>8703000+4457000</f>
        <v>13160000</v>
      </c>
      <c r="G58" s="675">
        <f>F58+G55</f>
        <v>14610817.999622829</v>
      </c>
      <c r="H58" s="675">
        <f t="shared" ref="H58:L58" si="23">G58+H55</f>
        <v>15815566.820310753</v>
      </c>
      <c r="I58" s="675">
        <f t="shared" si="23"/>
        <v>16766322.89576982</v>
      </c>
      <c r="J58" s="675">
        <f t="shared" si="23"/>
        <v>17455483.421306524</v>
      </c>
      <c r="K58" s="675">
        <f t="shared" si="23"/>
        <v>17875217.847639821</v>
      </c>
      <c r="L58" s="675">
        <f t="shared" si="23"/>
        <v>18017461.055354573</v>
      </c>
      <c r="M58" s="419"/>
      <c r="O58" s="343"/>
      <c r="Q58" s="343" t="s">
        <v>1566</v>
      </c>
      <c r="S58" s="55"/>
    </row>
    <row r="59" spans="1:20" x14ac:dyDescent="0.25">
      <c r="A59" s="346">
        <f>ROW()</f>
        <v>59</v>
      </c>
      <c r="B59" s="1286"/>
      <c r="C59" s="107"/>
      <c r="D59" s="34"/>
      <c r="E59" s="674"/>
      <c r="F59" s="674"/>
      <c r="G59" s="674"/>
      <c r="H59" s="674"/>
      <c r="I59" s="674"/>
      <c r="J59" s="674"/>
      <c r="K59" s="674"/>
      <c r="L59" s="674"/>
      <c r="M59" s="419"/>
      <c r="O59" s="343"/>
      <c r="Q59" s="343"/>
      <c r="S59" s="55"/>
    </row>
    <row r="60" spans="1:20" x14ac:dyDescent="0.25">
      <c r="A60" s="346">
        <f>ROW()</f>
        <v>60</v>
      </c>
      <c r="B60" s="1286" t="s">
        <v>200</v>
      </c>
      <c r="C60" s="107"/>
      <c r="D60" s="34"/>
      <c r="E60" s="674"/>
      <c r="F60" s="1298"/>
      <c r="G60" s="1298"/>
      <c r="H60" s="1298"/>
      <c r="I60" s="1298"/>
      <c r="J60" s="1298"/>
      <c r="K60" s="1298"/>
      <c r="L60" s="1298"/>
      <c r="M60" s="419"/>
      <c r="O60" s="343"/>
      <c r="Q60" s="343"/>
      <c r="S60" s="55"/>
    </row>
    <row r="61" spans="1:20" x14ac:dyDescent="0.25">
      <c r="A61" s="346">
        <f>ROW()</f>
        <v>61</v>
      </c>
      <c r="B61" s="1286" t="s">
        <v>201</v>
      </c>
      <c r="C61" s="107"/>
      <c r="D61" s="34"/>
      <c r="E61" s="674"/>
      <c r="F61" s="1299"/>
      <c r="G61" s="1299"/>
      <c r="H61" s="1299"/>
      <c r="I61" s="1299"/>
      <c r="J61" s="1299"/>
      <c r="K61" s="1299"/>
      <c r="L61" s="1299"/>
      <c r="M61" s="419"/>
      <c r="O61" s="343"/>
      <c r="Q61" s="343"/>
      <c r="S61" s="55"/>
    </row>
    <row r="62" spans="1:20" x14ac:dyDescent="0.25">
      <c r="A62" s="346">
        <f>ROW()</f>
        <v>62</v>
      </c>
      <c r="B62" s="1286" t="s">
        <v>202</v>
      </c>
      <c r="C62" s="107"/>
      <c r="D62" s="34"/>
      <c r="E62" s="674"/>
      <c r="F62" s="1299"/>
      <c r="G62" s="1299"/>
      <c r="H62" s="1299"/>
      <c r="I62" s="1299"/>
      <c r="J62" s="1299"/>
      <c r="K62" s="1299"/>
      <c r="L62" s="1299"/>
      <c r="M62" s="419"/>
      <c r="O62" s="343"/>
      <c r="Q62" s="343"/>
      <c r="S62" s="55"/>
    </row>
    <row r="63" spans="1:20" hidden="1" outlineLevel="1" x14ac:dyDescent="0.25">
      <c r="A63" s="346">
        <f>ROW()</f>
        <v>63</v>
      </c>
      <c r="B63" s="1287" t="s">
        <v>203</v>
      </c>
      <c r="C63" s="1288"/>
      <c r="D63" s="1289"/>
      <c r="E63" s="674"/>
      <c r="F63" s="1301">
        <v>0</v>
      </c>
      <c r="G63" s="1300">
        <f>+F71</f>
        <v>21575432.721774668</v>
      </c>
      <c r="H63" s="1300">
        <f>+G71</f>
        <v>21419140.685458317</v>
      </c>
      <c r="I63" s="1300">
        <f t="shared" ref="I63:L63" si="24">+H71</f>
        <v>21499540.305897892</v>
      </c>
      <c r="J63" s="1300">
        <f t="shared" si="24"/>
        <v>21838756.648792699</v>
      </c>
      <c r="K63" s="1300">
        <f t="shared" si="24"/>
        <v>22459921.522183556</v>
      </c>
      <c r="L63" s="1300">
        <f t="shared" si="24"/>
        <v>23387782.387181271</v>
      </c>
      <c r="M63" s="419"/>
      <c r="O63" s="343"/>
      <c r="Q63" s="343"/>
      <c r="S63" s="55"/>
    </row>
    <row r="64" spans="1:20" hidden="1" outlineLevel="1" x14ac:dyDescent="0.25">
      <c r="A64" s="346">
        <f>ROW()</f>
        <v>64</v>
      </c>
      <c r="B64" s="1287" t="s">
        <v>204</v>
      </c>
      <c r="C64" s="1288"/>
      <c r="D64" s="1289"/>
      <c r="E64" s="674"/>
      <c r="F64" s="1299">
        <f t="shared" ref="F64:L64" si="25">IF(F55&lt;0,-F55,0)</f>
        <v>21575432.721774668</v>
      </c>
      <c r="G64" s="1299">
        <f t="shared" si="25"/>
        <v>0</v>
      </c>
      <c r="H64" s="1299">
        <f t="shared" si="25"/>
        <v>0</v>
      </c>
      <c r="I64" s="1299">
        <f t="shared" si="25"/>
        <v>0</v>
      </c>
      <c r="J64" s="1299">
        <f t="shared" si="25"/>
        <v>0</v>
      </c>
      <c r="K64" s="1299">
        <f t="shared" si="25"/>
        <v>0</v>
      </c>
      <c r="L64" s="1299">
        <f t="shared" si="25"/>
        <v>0</v>
      </c>
      <c r="M64" s="419"/>
      <c r="O64" s="343"/>
      <c r="Q64" s="343"/>
      <c r="S64" s="55"/>
    </row>
    <row r="65" spans="1:19" hidden="1" outlineLevel="1" x14ac:dyDescent="0.25">
      <c r="A65" s="346">
        <f>ROW()</f>
        <v>65</v>
      </c>
      <c r="B65" s="1287" t="s">
        <v>205</v>
      </c>
      <c r="C65" s="1288"/>
      <c r="D65" s="1311">
        <v>0.06</v>
      </c>
      <c r="E65" s="674"/>
      <c r="F65" s="1299"/>
      <c r="G65" s="1299">
        <f>G63*$D$65</f>
        <v>1294525.9633064801</v>
      </c>
      <c r="H65" s="1299">
        <f t="shared" ref="H65:L65" si="26">H63*$D$65</f>
        <v>1285148.4411274991</v>
      </c>
      <c r="I65" s="1299">
        <f t="shared" si="26"/>
        <v>1289972.4183538735</v>
      </c>
      <c r="J65" s="1299">
        <f t="shared" si="26"/>
        <v>1310325.3989275619</v>
      </c>
      <c r="K65" s="1299">
        <f t="shared" si="26"/>
        <v>1347595.2913310134</v>
      </c>
      <c r="L65" s="1299">
        <f t="shared" si="26"/>
        <v>1403266.9432308762</v>
      </c>
      <c r="M65" s="419"/>
      <c r="O65" s="343"/>
      <c r="Q65" s="343"/>
      <c r="S65" s="55"/>
    </row>
    <row r="66" spans="1:19" hidden="1" outlineLevel="1" x14ac:dyDescent="0.25">
      <c r="A66" s="346">
        <f>ROW()</f>
        <v>66</v>
      </c>
      <c r="B66" s="1287"/>
      <c r="C66" s="1288"/>
      <c r="D66" s="1288"/>
      <c r="E66" s="674"/>
      <c r="F66" s="1300">
        <f>SUM(F63:F65)</f>
        <v>21575432.721774668</v>
      </c>
      <c r="G66" s="1300">
        <f>SUM(G63:G65)</f>
        <v>22869958.685081147</v>
      </c>
      <c r="H66" s="1300">
        <f t="shared" ref="H66:L66" si="27">SUM(H63:H65)</f>
        <v>22704289.126585815</v>
      </c>
      <c r="I66" s="1300">
        <f t="shared" si="27"/>
        <v>22789512.724251766</v>
      </c>
      <c r="J66" s="1300">
        <f t="shared" si="27"/>
        <v>23149082.047720261</v>
      </c>
      <c r="K66" s="1300">
        <f t="shared" si="27"/>
        <v>23807516.813514568</v>
      </c>
      <c r="L66" s="1300">
        <f t="shared" si="27"/>
        <v>24791049.330412146</v>
      </c>
      <c r="M66" s="419"/>
      <c r="O66" s="343"/>
      <c r="Q66" s="343"/>
      <c r="S66" s="55"/>
    </row>
    <row r="67" spans="1:19" hidden="1" outlineLevel="1" x14ac:dyDescent="0.25">
      <c r="A67" s="346">
        <f>ROW()</f>
        <v>67</v>
      </c>
      <c r="B67" s="1323" t="s">
        <v>206</v>
      </c>
      <c r="C67" s="1324"/>
      <c r="D67" s="1324"/>
      <c r="E67" s="674"/>
      <c r="F67" s="1299"/>
      <c r="G67" s="1299"/>
      <c r="H67" s="1299"/>
      <c r="I67" s="1299"/>
      <c r="J67" s="1299"/>
      <c r="K67" s="1299"/>
      <c r="L67" s="1299"/>
      <c r="M67" s="419"/>
      <c r="O67" s="343"/>
      <c r="Q67" s="343"/>
      <c r="S67" s="55"/>
    </row>
    <row r="68" spans="1:19" hidden="1" outlineLevel="1" x14ac:dyDescent="0.25">
      <c r="A68" s="346">
        <f>ROW()</f>
        <v>68</v>
      </c>
      <c r="B68" s="1287" t="s">
        <v>207</v>
      </c>
      <c r="C68" s="1288"/>
      <c r="D68" s="1289"/>
      <c r="E68" s="674"/>
      <c r="F68" s="1299">
        <f t="shared" ref="F68:L68" si="28">IF(F55&gt;0,F55,F55+F63+F64+F65)</f>
        <v>0</v>
      </c>
      <c r="G68" s="1299">
        <f t="shared" si="28"/>
        <v>1450817.9996228293</v>
      </c>
      <c r="H68" s="1299">
        <f t="shared" si="28"/>
        <v>1204748.8206879236</v>
      </c>
      <c r="I68" s="1299">
        <f t="shared" si="28"/>
        <v>950756.07545906678</v>
      </c>
      <c r="J68" s="1299">
        <f t="shared" si="28"/>
        <v>689160.52553670481</v>
      </c>
      <c r="K68" s="1299">
        <f t="shared" si="28"/>
        <v>419734.42633329704</v>
      </c>
      <c r="L68" s="1299">
        <f t="shared" si="28"/>
        <v>142243.20771475136</v>
      </c>
      <c r="M68" s="419"/>
      <c r="O68" s="343"/>
      <c r="Q68" s="343"/>
      <c r="S68" s="55"/>
    </row>
    <row r="69" spans="1:19" hidden="1" outlineLevel="1" x14ac:dyDescent="0.25">
      <c r="A69" s="346">
        <f>ROW()</f>
        <v>69</v>
      </c>
      <c r="B69" s="1287" t="s">
        <v>208</v>
      </c>
      <c r="C69" s="1288"/>
      <c r="D69" s="1289"/>
      <c r="E69" s="674"/>
      <c r="F69" s="1299">
        <f>+E69+F68</f>
        <v>0</v>
      </c>
      <c r="G69" s="1299">
        <f>+F69+G68</f>
        <v>1450817.9996228293</v>
      </c>
      <c r="H69" s="1299">
        <f>+G69+H68</f>
        <v>2655566.8203107528</v>
      </c>
      <c r="I69" s="1299">
        <f t="shared" ref="I69:L69" si="29">+H69+I68</f>
        <v>3606322.8957698196</v>
      </c>
      <c r="J69" s="1299">
        <f t="shared" si="29"/>
        <v>4295483.4213065244</v>
      </c>
      <c r="K69" s="1299">
        <f t="shared" si="29"/>
        <v>4715217.8476398215</v>
      </c>
      <c r="L69" s="1299">
        <f t="shared" si="29"/>
        <v>4857461.0553545728</v>
      </c>
      <c r="M69" s="419"/>
      <c r="O69" s="343"/>
      <c r="Q69" s="343"/>
      <c r="S69" s="55"/>
    </row>
    <row r="70" spans="1:19" hidden="1" outlineLevel="1" x14ac:dyDescent="0.25">
      <c r="A70" s="346">
        <f>ROW()</f>
        <v>70</v>
      </c>
      <c r="B70" s="1287" t="s">
        <v>209</v>
      </c>
      <c r="C70" s="1288"/>
      <c r="D70" s="1289"/>
      <c r="E70" s="674"/>
      <c r="F70" s="1312">
        <f t="shared" ref="F70:L70" si="30">IF(F55&gt;0,MIN(F68,F55,(F63+F65+F64)),0)</f>
        <v>0</v>
      </c>
      <c r="G70" s="1312">
        <f t="shared" si="30"/>
        <v>1450817.9996228293</v>
      </c>
      <c r="H70" s="1312">
        <f t="shared" si="30"/>
        <v>1204748.8206879236</v>
      </c>
      <c r="I70" s="1312">
        <f t="shared" si="30"/>
        <v>950756.07545906678</v>
      </c>
      <c r="J70" s="1312">
        <f t="shared" si="30"/>
        <v>689160.52553670481</v>
      </c>
      <c r="K70" s="1312">
        <f t="shared" si="30"/>
        <v>419734.42633329704</v>
      </c>
      <c r="L70" s="1312">
        <f t="shared" si="30"/>
        <v>142243.20771475136</v>
      </c>
      <c r="M70" s="419"/>
      <c r="O70" s="343"/>
      <c r="Q70" s="343"/>
      <c r="S70" s="55"/>
    </row>
    <row r="71" spans="1:19" hidden="1" outlineLevel="1" x14ac:dyDescent="0.25">
      <c r="A71" s="346">
        <f>ROW()</f>
        <v>71</v>
      </c>
      <c r="B71" s="1287" t="s">
        <v>210</v>
      </c>
      <c r="C71" s="1288"/>
      <c r="D71" s="1289"/>
      <c r="E71" s="674"/>
      <c r="F71" s="1300">
        <f t="shared" ref="F71:L71" si="31">F63+F64+F65-F70</f>
        <v>21575432.721774668</v>
      </c>
      <c r="G71" s="1300">
        <f t="shared" si="31"/>
        <v>21419140.685458317</v>
      </c>
      <c r="H71" s="1300">
        <f t="shared" si="31"/>
        <v>21499540.305897892</v>
      </c>
      <c r="I71" s="1300">
        <f t="shared" si="31"/>
        <v>21838756.648792699</v>
      </c>
      <c r="J71" s="1300">
        <f t="shared" si="31"/>
        <v>22459921.522183556</v>
      </c>
      <c r="K71" s="1300">
        <f t="shared" si="31"/>
        <v>23387782.387181271</v>
      </c>
      <c r="L71" s="1300">
        <f t="shared" si="31"/>
        <v>24648806.122697394</v>
      </c>
      <c r="M71" s="419"/>
      <c r="O71" s="343"/>
      <c r="Q71" s="343"/>
      <c r="S71" s="55"/>
    </row>
    <row r="72" spans="1:19" hidden="1" outlineLevel="1" x14ac:dyDescent="0.25">
      <c r="A72" s="346">
        <f>ROW()</f>
        <v>72</v>
      </c>
      <c r="B72" s="1287"/>
      <c r="C72" s="1288"/>
      <c r="D72" s="1289"/>
      <c r="E72" s="674"/>
      <c r="F72" s="1299"/>
      <c r="G72" s="1299"/>
      <c r="H72" s="1299"/>
      <c r="I72" s="1299"/>
      <c r="J72" s="1299"/>
      <c r="K72" s="1299"/>
      <c r="L72" s="1299"/>
      <c r="M72" s="419"/>
      <c r="O72" s="343"/>
      <c r="Q72" s="343"/>
      <c r="S72" s="55"/>
    </row>
    <row r="73" spans="1:19" hidden="1" outlineLevel="1" x14ac:dyDescent="0.25">
      <c r="A73" s="346">
        <f>ROW()</f>
        <v>73</v>
      </c>
      <c r="B73" s="1287" t="s">
        <v>211</v>
      </c>
      <c r="C73" s="1288"/>
      <c r="D73" s="1289"/>
      <c r="E73" s="674"/>
      <c r="F73" s="1299">
        <f t="shared" ref="F73:L73" si="32">IF(F55&gt;0,F55-F70,0)</f>
        <v>0</v>
      </c>
      <c r="G73" s="1299">
        <f t="shared" si="32"/>
        <v>0</v>
      </c>
      <c r="H73" s="1299">
        <f t="shared" si="32"/>
        <v>0</v>
      </c>
      <c r="I73" s="1299">
        <f t="shared" si="32"/>
        <v>0</v>
      </c>
      <c r="J73" s="1299">
        <f t="shared" si="32"/>
        <v>0</v>
      </c>
      <c r="K73" s="1299">
        <f t="shared" si="32"/>
        <v>0</v>
      </c>
      <c r="L73" s="1299">
        <f t="shared" si="32"/>
        <v>0</v>
      </c>
      <c r="M73" s="419"/>
      <c r="O73" s="343"/>
      <c r="Q73" s="343"/>
      <c r="S73" s="55"/>
    </row>
    <row r="74" spans="1:19" hidden="1" outlineLevel="1" x14ac:dyDescent="0.25">
      <c r="A74" s="346">
        <f>ROW()</f>
        <v>74</v>
      </c>
      <c r="B74" s="1287" t="s">
        <v>212</v>
      </c>
      <c r="C74" s="1288"/>
      <c r="D74" s="1289"/>
      <c r="E74" s="674"/>
      <c r="F74" s="1299">
        <f t="shared" ref="F74:H74" si="33">+F73+E74</f>
        <v>0</v>
      </c>
      <c r="G74" s="1299">
        <f t="shared" si="33"/>
        <v>0</v>
      </c>
      <c r="H74" s="1299">
        <f t="shared" si="33"/>
        <v>0</v>
      </c>
      <c r="I74" s="1299">
        <f>+I73+H74</f>
        <v>0</v>
      </c>
      <c r="J74" s="1299">
        <f t="shared" ref="J74:L74" si="34">+J73+I74</f>
        <v>0</v>
      </c>
      <c r="K74" s="1299">
        <f t="shared" si="34"/>
        <v>0</v>
      </c>
      <c r="L74" s="1299">
        <f t="shared" si="34"/>
        <v>0</v>
      </c>
      <c r="M74" s="419"/>
      <c r="O74" s="343"/>
      <c r="Q74" s="343"/>
      <c r="S74" s="55"/>
    </row>
    <row r="75" spans="1:19" collapsed="1" x14ac:dyDescent="0.25">
      <c r="A75" s="346">
        <f>ROW()</f>
        <v>75</v>
      </c>
      <c r="B75" s="674"/>
      <c r="C75" s="674"/>
      <c r="D75" s="674"/>
      <c r="E75" s="674"/>
      <c r="F75" s="107"/>
      <c r="G75" s="107"/>
      <c r="H75" s="107"/>
      <c r="I75" s="107"/>
      <c r="J75" s="107"/>
      <c r="K75" s="107"/>
      <c r="L75" s="107"/>
      <c r="M75" s="419"/>
      <c r="O75" s="343"/>
      <c r="Q75" s="343"/>
      <c r="S75" s="55"/>
    </row>
    <row r="76" spans="1:19" x14ac:dyDescent="0.25">
      <c r="A76" s="346">
        <f>ROW()</f>
        <v>76</v>
      </c>
      <c r="B76" s="1361" t="s">
        <v>213</v>
      </c>
      <c r="C76" s="1362"/>
      <c r="D76" s="1363"/>
      <c r="E76" s="1364"/>
      <c r="F76" s="675">
        <v>0</v>
      </c>
      <c r="G76" s="675">
        <v>0</v>
      </c>
      <c r="H76" s="675">
        <v>0</v>
      </c>
      <c r="I76" s="675">
        <v>0</v>
      </c>
      <c r="J76" s="675">
        <v>0</v>
      </c>
      <c r="K76" s="675">
        <v>0</v>
      </c>
      <c r="L76" s="675">
        <v>0</v>
      </c>
      <c r="M76" s="419"/>
      <c r="O76" s="343"/>
      <c r="Q76" s="343"/>
      <c r="S76" s="55"/>
    </row>
    <row r="77" spans="1:19" x14ac:dyDescent="0.25">
      <c r="A77" s="346">
        <f>ROW()</f>
        <v>77</v>
      </c>
      <c r="B77" s="1361" t="s">
        <v>214</v>
      </c>
      <c r="C77" s="1362"/>
      <c r="D77" s="1363"/>
      <c r="E77" s="1364"/>
      <c r="F77" s="282">
        <v>0</v>
      </c>
      <c r="G77" s="282">
        <v>0</v>
      </c>
      <c r="H77" s="282">
        <v>0</v>
      </c>
      <c r="I77" s="282">
        <v>0</v>
      </c>
      <c r="J77" s="282">
        <v>0</v>
      </c>
      <c r="K77" s="282">
        <v>0</v>
      </c>
      <c r="L77" s="282">
        <v>0</v>
      </c>
      <c r="M77" s="419"/>
      <c r="O77" s="343"/>
      <c r="Q77" s="343"/>
      <c r="S77" s="55"/>
    </row>
    <row r="78" spans="1:19" ht="15.75" thickBot="1" x14ac:dyDescent="0.3">
      <c r="A78" s="346">
        <f>ROW()</f>
        <v>78</v>
      </c>
      <c r="B78" s="684" t="s">
        <v>215</v>
      </c>
      <c r="C78" s="685"/>
      <c r="D78" s="685"/>
      <c r="E78" s="686"/>
      <c r="F78" s="808">
        <f t="shared" ref="F78:L78" si="35">SUM(F76:F77)</f>
        <v>0</v>
      </c>
      <c r="G78" s="808">
        <f t="shared" si="35"/>
        <v>0</v>
      </c>
      <c r="H78" s="808">
        <f t="shared" si="35"/>
        <v>0</v>
      </c>
      <c r="I78" s="808">
        <f t="shared" si="35"/>
        <v>0</v>
      </c>
      <c r="J78" s="808">
        <f t="shared" si="35"/>
        <v>0</v>
      </c>
      <c r="K78" s="808">
        <f t="shared" si="35"/>
        <v>0</v>
      </c>
      <c r="L78" s="808">
        <f t="shared" si="35"/>
        <v>0</v>
      </c>
      <c r="M78" s="419"/>
      <c r="O78" s="343"/>
      <c r="Q78" s="343"/>
      <c r="S78" s="55"/>
    </row>
    <row r="79" spans="1:19" ht="15.75" thickBot="1" x14ac:dyDescent="0.3">
      <c r="A79" s="346">
        <f>ROW()</f>
        <v>79</v>
      </c>
      <c r="B79" s="420" t="s">
        <v>216</v>
      </c>
      <c r="C79" s="421"/>
      <c r="D79" s="421"/>
      <c r="E79" s="417"/>
      <c r="F79" s="632">
        <f t="shared" ref="F79:L79" si="36">+F55-F58-F78</f>
        <v>-34735432.721774668</v>
      </c>
      <c r="G79" s="632">
        <f t="shared" si="36"/>
        <v>-13160000</v>
      </c>
      <c r="H79" s="632">
        <f t="shared" si="36"/>
        <v>-14610817.999622829</v>
      </c>
      <c r="I79" s="632">
        <f t="shared" si="36"/>
        <v>-15815566.820310753</v>
      </c>
      <c r="J79" s="632">
        <f t="shared" si="36"/>
        <v>-16766322.89576982</v>
      </c>
      <c r="K79" s="632">
        <f t="shared" si="36"/>
        <v>-17455483.421306524</v>
      </c>
      <c r="L79" s="632">
        <f t="shared" si="36"/>
        <v>-17875217.847639821</v>
      </c>
      <c r="M79" s="419"/>
      <c r="O79" s="343"/>
      <c r="Q79" s="343"/>
      <c r="S79" s="55"/>
    </row>
    <row r="80" spans="1:19" x14ac:dyDescent="0.25">
      <c r="A80" s="346">
        <f>ROW()</f>
        <v>80</v>
      </c>
      <c r="B80" s="183"/>
      <c r="C80" s="418"/>
      <c r="D80" s="418"/>
      <c r="E80" s="418"/>
      <c r="F80" s="633"/>
      <c r="G80" s="633"/>
      <c r="H80" s="633"/>
      <c r="I80" s="633"/>
      <c r="J80" s="633"/>
      <c r="K80" s="633"/>
      <c r="L80" s="633"/>
      <c r="M80" s="419"/>
      <c r="O80" s="343"/>
      <c r="P80" s="33" t="s">
        <v>146</v>
      </c>
      <c r="Q80" s="343"/>
    </row>
    <row r="81" spans="1:19" x14ac:dyDescent="0.25">
      <c r="A81" s="346">
        <f>ROW()</f>
        <v>81</v>
      </c>
      <c r="B81" s="183" t="s">
        <v>217</v>
      </c>
      <c r="C81" s="418"/>
      <c r="D81" s="418"/>
      <c r="E81" s="418"/>
      <c r="F81" s="631">
        <f t="shared" ref="F81:L81" si="37">+F55-(SUM(F33:F34))-F28</f>
        <v>-21575432.721774668</v>
      </c>
      <c r="G81" s="631">
        <f t="shared" si="37"/>
        <v>1450817.9996228293</v>
      </c>
      <c r="H81" s="631">
        <f t="shared" si="37"/>
        <v>1204748.8206879236</v>
      </c>
      <c r="I81" s="631">
        <f t="shared" si="37"/>
        <v>950756.07545906678</v>
      </c>
      <c r="J81" s="631">
        <f t="shared" si="37"/>
        <v>689160.52553670481</v>
      </c>
      <c r="K81" s="631">
        <f t="shared" si="37"/>
        <v>419734.42633329704</v>
      </c>
      <c r="L81" s="631">
        <f t="shared" si="37"/>
        <v>142243.20771475136</v>
      </c>
      <c r="M81" s="419"/>
      <c r="O81" s="343"/>
      <c r="P81" s="33" t="s">
        <v>146</v>
      </c>
      <c r="Q81" s="343"/>
    </row>
    <row r="82" spans="1:19" x14ac:dyDescent="0.25">
      <c r="A82" s="346">
        <f>ROW()</f>
        <v>82</v>
      </c>
      <c r="B82" s="183" t="s">
        <v>218</v>
      </c>
      <c r="C82" s="418"/>
      <c r="D82" s="418"/>
      <c r="E82" s="418"/>
      <c r="F82" s="633"/>
      <c r="G82" s="631">
        <f t="shared" ref="G82:L82" si="38">+G81+F82</f>
        <v>1450817.9996228293</v>
      </c>
      <c r="H82" s="631">
        <f t="shared" si="38"/>
        <v>2655566.8203107528</v>
      </c>
      <c r="I82" s="631">
        <f t="shared" si="38"/>
        <v>3606322.8957698196</v>
      </c>
      <c r="J82" s="631">
        <f t="shared" si="38"/>
        <v>4295483.4213065244</v>
      </c>
      <c r="K82" s="631">
        <f t="shared" si="38"/>
        <v>4715217.8476398215</v>
      </c>
      <c r="L82" s="631">
        <f t="shared" si="38"/>
        <v>4857461.0553545728</v>
      </c>
      <c r="M82" s="419"/>
      <c r="O82" s="343"/>
      <c r="P82" s="33" t="s">
        <v>146</v>
      </c>
      <c r="Q82" s="343"/>
    </row>
    <row r="83" spans="1:19" x14ac:dyDescent="0.25">
      <c r="A83" s="346">
        <f>ROW()</f>
        <v>83</v>
      </c>
      <c r="B83" s="183"/>
      <c r="C83" s="418"/>
      <c r="D83" s="418"/>
      <c r="E83" s="418"/>
      <c r="F83" s="633"/>
      <c r="G83" s="633"/>
      <c r="H83" s="633"/>
      <c r="I83" s="633"/>
      <c r="J83" s="633"/>
      <c r="K83" s="633"/>
      <c r="L83" s="633"/>
      <c r="M83" s="419"/>
      <c r="O83" s="343"/>
      <c r="P83" s="33" t="s">
        <v>146</v>
      </c>
      <c r="Q83" s="343"/>
    </row>
    <row r="84" spans="1:19" x14ac:dyDescent="0.25">
      <c r="A84" s="346">
        <f>ROW()</f>
        <v>84</v>
      </c>
      <c r="B84" s="1568" t="s">
        <v>219</v>
      </c>
      <c r="M84" s="419"/>
      <c r="O84" s="343"/>
      <c r="P84" s="33" t="s">
        <v>146</v>
      </c>
      <c r="Q84" s="343"/>
    </row>
    <row r="85" spans="1:19" x14ac:dyDescent="0.25">
      <c r="A85" s="346">
        <f>ROW()</f>
        <v>85</v>
      </c>
      <c r="B85" s="31" t="s">
        <v>220</v>
      </c>
      <c r="M85" s="422"/>
      <c r="O85" s="343"/>
      <c r="P85" s="33" t="s">
        <v>146</v>
      </c>
      <c r="Q85" s="343"/>
    </row>
    <row r="86" spans="1:19" x14ac:dyDescent="0.25">
      <c r="A86" s="346">
        <f>ROW()</f>
        <v>86</v>
      </c>
      <c r="B86" s="97" t="s">
        <v>221</v>
      </c>
      <c r="F86" s="1614" t="s">
        <v>1567</v>
      </c>
      <c r="G86" s="1614"/>
      <c r="H86" s="1614"/>
      <c r="I86" s="1614"/>
      <c r="J86" s="1614"/>
      <c r="K86" s="1614"/>
      <c r="L86" s="1614"/>
      <c r="M86" s="423"/>
      <c r="O86" s="343"/>
      <c r="P86" s="33" t="s">
        <v>146</v>
      </c>
      <c r="Q86" s="343" t="s">
        <v>1567</v>
      </c>
    </row>
    <row r="87" spans="1:19" x14ac:dyDescent="0.25">
      <c r="A87" s="346">
        <f>ROW()</f>
        <v>87</v>
      </c>
      <c r="B87" s="97" t="s">
        <v>222</v>
      </c>
      <c r="F87" s="1530" t="s">
        <v>1569</v>
      </c>
      <c r="G87" s="1530"/>
      <c r="H87" s="1530"/>
      <c r="I87" s="1530"/>
      <c r="J87" s="1530"/>
      <c r="K87" s="1530"/>
      <c r="L87" s="1530"/>
      <c r="M87" s="423"/>
      <c r="O87" s="343"/>
      <c r="Q87" s="343" t="s">
        <v>1568</v>
      </c>
    </row>
    <row r="88" spans="1:19" x14ac:dyDescent="0.25">
      <c r="A88" s="346">
        <f>ROW()</f>
        <v>88</v>
      </c>
      <c r="B88" s="97" t="s">
        <v>223</v>
      </c>
      <c r="F88" s="55">
        <f t="shared" ref="F88:L88" si="39">+F58</f>
        <v>13160000</v>
      </c>
      <c r="G88" s="55">
        <f t="shared" si="39"/>
        <v>14610817.999622829</v>
      </c>
      <c r="H88" s="55">
        <f t="shared" si="39"/>
        <v>15815566.820310753</v>
      </c>
      <c r="I88" s="55">
        <f t="shared" si="39"/>
        <v>16766322.89576982</v>
      </c>
      <c r="J88" s="55">
        <f t="shared" si="39"/>
        <v>17455483.421306524</v>
      </c>
      <c r="K88" s="55">
        <f t="shared" si="39"/>
        <v>17875217.847639821</v>
      </c>
      <c r="L88" s="55">
        <f t="shared" si="39"/>
        <v>18017461.055354573</v>
      </c>
      <c r="M88" s="425"/>
      <c r="O88" s="343"/>
      <c r="P88" s="33" t="s">
        <v>146</v>
      </c>
      <c r="Q88" s="343"/>
      <c r="S88" s="347"/>
    </row>
    <row r="89" spans="1:19" x14ac:dyDescent="0.25">
      <c r="A89" s="346">
        <f>ROW()</f>
        <v>89</v>
      </c>
      <c r="B89" s="97" t="s">
        <v>224</v>
      </c>
      <c r="F89" s="1530"/>
      <c r="G89" s="1530"/>
      <c r="H89" s="1530"/>
      <c r="I89" s="1530"/>
      <c r="J89" s="1530"/>
      <c r="K89" s="1530"/>
      <c r="L89" s="1530"/>
      <c r="M89" s="425"/>
      <c r="O89" s="343"/>
      <c r="P89" s="33" t="s">
        <v>146</v>
      </c>
      <c r="Q89" s="343"/>
    </row>
    <row r="90" spans="1:19" x14ac:dyDescent="0.25">
      <c r="A90" s="346">
        <f>ROW()</f>
        <v>90</v>
      </c>
      <c r="B90" s="97" t="s">
        <v>225</v>
      </c>
      <c r="F90" s="1530"/>
      <c r="G90" s="1530"/>
      <c r="H90" s="1530"/>
      <c r="I90" s="1530"/>
      <c r="J90" s="1530"/>
      <c r="K90" s="1530"/>
      <c r="L90" s="1530"/>
      <c r="O90" s="343"/>
      <c r="P90" s="33" t="s">
        <v>146</v>
      </c>
      <c r="Q90" s="343"/>
    </row>
    <row r="91" spans="1:19" x14ac:dyDescent="0.25">
      <c r="A91" s="346">
        <f>ROW()</f>
        <v>91</v>
      </c>
      <c r="B91" s="94" t="s">
        <v>226</v>
      </c>
      <c r="F91" s="1625">
        <f>SUM(F86:F90)</f>
        <v>13160000</v>
      </c>
      <c r="G91" s="1625">
        <f t="shared" ref="G91:L91" si="40">SUM(G86:G90)</f>
        <v>14610817.999622829</v>
      </c>
      <c r="H91" s="1625">
        <f t="shared" si="40"/>
        <v>15815566.820310753</v>
      </c>
      <c r="I91" s="1625">
        <f t="shared" si="40"/>
        <v>16766322.89576982</v>
      </c>
      <c r="J91" s="1625">
        <f t="shared" si="40"/>
        <v>17455483.421306524</v>
      </c>
      <c r="K91" s="1625">
        <f t="shared" si="40"/>
        <v>17875217.847639821</v>
      </c>
      <c r="L91" s="1625">
        <f t="shared" si="40"/>
        <v>18017461.055354573</v>
      </c>
      <c r="O91" s="343"/>
      <c r="P91" s="33" t="s">
        <v>146</v>
      </c>
      <c r="Q91" s="343"/>
    </row>
    <row r="92" spans="1:19" x14ac:dyDescent="0.25">
      <c r="A92" s="346">
        <f>ROW()</f>
        <v>92</v>
      </c>
      <c r="O92" s="343"/>
      <c r="P92" s="33" t="s">
        <v>146</v>
      </c>
      <c r="Q92" s="343"/>
    </row>
    <row r="93" spans="1:19" x14ac:dyDescent="0.25">
      <c r="A93" s="346">
        <f>ROW()</f>
        <v>93</v>
      </c>
      <c r="B93" s="31" t="s">
        <v>227</v>
      </c>
      <c r="O93" s="343"/>
      <c r="P93" s="33" t="s">
        <v>146</v>
      </c>
      <c r="Q93" s="343"/>
    </row>
    <row r="94" spans="1:19" x14ac:dyDescent="0.25">
      <c r="A94" s="346">
        <f>ROW()</f>
        <v>94</v>
      </c>
      <c r="B94" s="33" t="s">
        <v>228</v>
      </c>
      <c r="F94" s="1614"/>
      <c r="G94" s="1614"/>
      <c r="H94" s="1614"/>
      <c r="I94" s="1614"/>
      <c r="J94" s="1614"/>
      <c r="K94" s="1614"/>
      <c r="L94" s="1614"/>
      <c r="O94" s="343"/>
      <c r="P94" s="33" t="s">
        <v>146</v>
      </c>
      <c r="Q94" s="343"/>
    </row>
    <row r="95" spans="1:19" x14ac:dyDescent="0.25">
      <c r="A95" s="346">
        <f>ROW()</f>
        <v>95</v>
      </c>
      <c r="B95" s="33" t="s">
        <v>1473</v>
      </c>
      <c r="F95" s="503" t="s">
        <v>229</v>
      </c>
      <c r="G95" s="503" t="s">
        <v>229</v>
      </c>
      <c r="H95" s="503" t="s">
        <v>229</v>
      </c>
      <c r="I95" s="503" t="s">
        <v>229</v>
      </c>
      <c r="J95" s="503" t="s">
        <v>229</v>
      </c>
      <c r="K95" s="503" t="s">
        <v>229</v>
      </c>
      <c r="L95" s="503" t="s">
        <v>229</v>
      </c>
      <c r="O95" s="343"/>
      <c r="P95" s="33" t="s">
        <v>146</v>
      </c>
      <c r="Q95" s="343" t="s">
        <v>1571</v>
      </c>
    </row>
    <row r="96" spans="1:19" x14ac:dyDescent="0.25">
      <c r="A96" s="346">
        <f>ROW()</f>
        <v>96</v>
      </c>
      <c r="B96" s="33" t="s">
        <v>230</v>
      </c>
      <c r="F96" s="1530"/>
      <c r="G96" s="1530"/>
      <c r="H96" s="1530"/>
      <c r="I96" s="1530"/>
      <c r="J96" s="1530"/>
      <c r="K96" s="1530"/>
      <c r="L96" s="1530"/>
      <c r="O96" s="343"/>
      <c r="P96" s="33" t="s">
        <v>146</v>
      </c>
      <c r="Q96" s="343"/>
    </row>
    <row r="97" spans="1:17" x14ac:dyDescent="0.25">
      <c r="A97" s="346">
        <f>ROW()</f>
        <v>97</v>
      </c>
      <c r="B97" s="31" t="s">
        <v>231</v>
      </c>
      <c r="F97" s="359">
        <f>SUM(F96,F94)</f>
        <v>0</v>
      </c>
      <c r="G97" s="359">
        <f t="shared" ref="G97:L97" si="41">SUM(G96,G94)</f>
        <v>0</v>
      </c>
      <c r="H97" s="359">
        <f t="shared" si="41"/>
        <v>0</v>
      </c>
      <c r="I97" s="359">
        <f t="shared" si="41"/>
        <v>0</v>
      </c>
      <c r="J97" s="359">
        <f t="shared" si="41"/>
        <v>0</v>
      </c>
      <c r="K97" s="359">
        <f t="shared" si="41"/>
        <v>0</v>
      </c>
      <c r="L97" s="359">
        <f t="shared" si="41"/>
        <v>0</v>
      </c>
      <c r="O97" s="343"/>
      <c r="P97" s="33" t="s">
        <v>146</v>
      </c>
      <c r="Q97" s="343"/>
    </row>
    <row r="98" spans="1:17" x14ac:dyDescent="0.25">
      <c r="A98" s="346">
        <f>ROW()</f>
        <v>98</v>
      </c>
      <c r="B98" s="31"/>
      <c r="O98" s="343"/>
      <c r="Q98" s="343"/>
    </row>
    <row r="99" spans="1:17" x14ac:dyDescent="0.25">
      <c r="A99" s="346">
        <f>ROW()</f>
        <v>99</v>
      </c>
      <c r="B99" s="31" t="s">
        <v>232</v>
      </c>
      <c r="F99" s="1530"/>
      <c r="G99" s="1530">
        <f t="shared" ref="G99:L99" si="42">+G91-G97</f>
        <v>14610817.999622829</v>
      </c>
      <c r="H99" s="1530">
        <f t="shared" si="42"/>
        <v>15815566.820310753</v>
      </c>
      <c r="I99" s="1530">
        <f t="shared" si="42"/>
        <v>16766322.89576982</v>
      </c>
      <c r="J99" s="1530">
        <f t="shared" si="42"/>
        <v>17455483.421306524</v>
      </c>
      <c r="K99" s="1530">
        <f t="shared" si="42"/>
        <v>17875217.847639821</v>
      </c>
      <c r="L99" s="1530">
        <f t="shared" si="42"/>
        <v>18017461.055354573</v>
      </c>
      <c r="O99" s="343"/>
      <c r="P99" s="33" t="s">
        <v>146</v>
      </c>
      <c r="Q99" s="343"/>
    </row>
    <row r="100" spans="1:17" x14ac:dyDescent="0.25">
      <c r="A100" s="346">
        <f>ROW()</f>
        <v>100</v>
      </c>
      <c r="B100" s="31" t="s">
        <v>233</v>
      </c>
      <c r="F100" s="651">
        <f>+F99+F97</f>
        <v>0</v>
      </c>
      <c r="G100" s="651">
        <f t="shared" ref="G100:L100" si="43">+G99+G97</f>
        <v>14610817.999622829</v>
      </c>
      <c r="H100" s="651">
        <f t="shared" si="43"/>
        <v>15815566.820310753</v>
      </c>
      <c r="I100" s="651">
        <f t="shared" si="43"/>
        <v>16766322.89576982</v>
      </c>
      <c r="J100" s="651">
        <f t="shared" si="43"/>
        <v>17455483.421306524</v>
      </c>
      <c r="K100" s="651">
        <f t="shared" si="43"/>
        <v>17875217.847639821</v>
      </c>
      <c r="L100" s="651">
        <f t="shared" si="43"/>
        <v>18017461.055354573</v>
      </c>
      <c r="O100" s="343"/>
      <c r="Q100" s="343"/>
    </row>
    <row r="101" spans="1:17" x14ac:dyDescent="0.25">
      <c r="A101" s="346">
        <f>ROW()</f>
        <v>101</v>
      </c>
      <c r="B101" s="33" t="s">
        <v>234</v>
      </c>
      <c r="F101" s="55">
        <f>+F91-F100</f>
        <v>13160000</v>
      </c>
      <c r="G101" s="55">
        <f t="shared" ref="G101:L101" si="44">+G91-G100</f>
        <v>0</v>
      </c>
      <c r="H101" s="55">
        <f t="shared" si="44"/>
        <v>0</v>
      </c>
      <c r="I101" s="55">
        <f t="shared" si="44"/>
        <v>0</v>
      </c>
      <c r="J101" s="55">
        <f t="shared" si="44"/>
        <v>0</v>
      </c>
      <c r="K101" s="55">
        <f t="shared" si="44"/>
        <v>0</v>
      </c>
      <c r="L101" s="55">
        <f t="shared" si="44"/>
        <v>0</v>
      </c>
      <c r="O101" s="343"/>
      <c r="P101" s="33" t="s">
        <v>146</v>
      </c>
      <c r="Q101" s="343"/>
    </row>
    <row r="102" spans="1:17" x14ac:dyDescent="0.25">
      <c r="A102" s="346">
        <f>ROW()</f>
        <v>102</v>
      </c>
      <c r="O102" s="343"/>
      <c r="P102" s="33" t="s">
        <v>146</v>
      </c>
      <c r="Q102" s="343"/>
    </row>
    <row r="103" spans="1:17" x14ac:dyDescent="0.25">
      <c r="A103" s="346">
        <f>ROW()</f>
        <v>103</v>
      </c>
      <c r="B103" s="31" t="s">
        <v>235</v>
      </c>
      <c r="C103" s="31"/>
      <c r="D103" s="31"/>
      <c r="E103" s="31"/>
      <c r="F103" s="1636" cm="1">
        <f t="array" ref="F103">IFERROR(SUM(F86:F87/F94),0)</f>
        <v>0</v>
      </c>
      <c r="G103" s="1636" cm="1">
        <f t="array" ref="G103">IFERROR(SUM(G86:G87/G94),0)</f>
        <v>0</v>
      </c>
      <c r="H103" s="1636" cm="1">
        <f t="array" ref="H103">IFERROR(SUM(H86:H87/H94),0)</f>
        <v>0</v>
      </c>
      <c r="I103" s="1636" cm="1">
        <f t="array" ref="I103">IFERROR(SUM(I86:I87/I94),0)</f>
        <v>0</v>
      </c>
      <c r="J103" s="1636" cm="1">
        <f t="array" ref="J103">IFERROR(SUM(J86:J87/J94),0)</f>
        <v>0</v>
      </c>
      <c r="K103" s="1636" cm="1">
        <f t="array" ref="K103">IFERROR(SUM(K86:K87/K94),0)</f>
        <v>0</v>
      </c>
      <c r="L103" s="1636" cm="1">
        <f t="array" ref="L103">IFERROR(SUM(L86:L87/L94),0)</f>
        <v>0</v>
      </c>
      <c r="O103" s="343"/>
      <c r="P103" s="33" t="s">
        <v>146</v>
      </c>
      <c r="Q103" s="343"/>
    </row>
    <row r="104" spans="1:17" x14ac:dyDescent="0.25">
      <c r="A104" s="346">
        <f>ROW()</f>
        <v>104</v>
      </c>
      <c r="B104" s="31" t="s">
        <v>236</v>
      </c>
      <c r="C104" s="31"/>
      <c r="D104" s="31"/>
      <c r="E104" s="31"/>
      <c r="F104" s="1636">
        <f>F96/F91</f>
        <v>0</v>
      </c>
      <c r="G104" s="1636">
        <f t="shared" ref="G104:L104" si="45">G96/G91</f>
        <v>0</v>
      </c>
      <c r="H104" s="1636">
        <f t="shared" si="45"/>
        <v>0</v>
      </c>
      <c r="I104" s="1636">
        <f t="shared" si="45"/>
        <v>0</v>
      </c>
      <c r="J104" s="1636">
        <f t="shared" si="45"/>
        <v>0</v>
      </c>
      <c r="K104" s="1636">
        <f t="shared" si="45"/>
        <v>0</v>
      </c>
      <c r="L104" s="1636">
        <f t="shared" si="45"/>
        <v>0</v>
      </c>
      <c r="O104" s="343"/>
      <c r="P104" s="33" t="s">
        <v>146</v>
      </c>
      <c r="Q104" s="343"/>
    </row>
    <row r="105" spans="1:17" x14ac:dyDescent="0.25">
      <c r="A105" s="346">
        <f>ROW()</f>
        <v>105</v>
      </c>
      <c r="O105" s="343"/>
      <c r="P105" s="33" t="s">
        <v>146</v>
      </c>
      <c r="Q105" s="343"/>
    </row>
    <row r="106" spans="1:17" x14ac:dyDescent="0.25">
      <c r="A106" s="346">
        <f>ROW()</f>
        <v>106</v>
      </c>
      <c r="O106" s="343"/>
      <c r="P106" s="33" t="s">
        <v>146</v>
      </c>
      <c r="Q106" s="343"/>
    </row>
    <row r="107" spans="1:17" x14ac:dyDescent="0.25">
      <c r="O107" s="343"/>
      <c r="P107" s="33" t="s">
        <v>146</v>
      </c>
      <c r="Q107" s="343"/>
    </row>
    <row r="108" spans="1:17" x14ac:dyDescent="0.25">
      <c r="O108" s="343"/>
      <c r="P108" s="33" t="s">
        <v>146</v>
      </c>
      <c r="Q108" s="343"/>
    </row>
    <row r="109" spans="1:17" x14ac:dyDescent="0.25">
      <c r="O109" s="343"/>
      <c r="P109" s="33" t="s">
        <v>146</v>
      </c>
      <c r="Q109" s="343"/>
    </row>
    <row r="110" spans="1:17" x14ac:dyDescent="0.25">
      <c r="O110" s="343"/>
      <c r="P110" s="33" t="s">
        <v>146</v>
      </c>
      <c r="Q110" s="343"/>
    </row>
    <row r="111" spans="1:17" x14ac:dyDescent="0.25">
      <c r="O111" s="343"/>
      <c r="P111" s="33" t="s">
        <v>146</v>
      </c>
      <c r="Q111" s="343"/>
    </row>
    <row r="112" spans="1:17" x14ac:dyDescent="0.25">
      <c r="O112" s="343"/>
      <c r="P112" s="33" t="s">
        <v>146</v>
      </c>
      <c r="Q112" s="343"/>
    </row>
    <row r="113" spans="13:17" x14ac:dyDescent="0.25">
      <c r="O113" s="343"/>
      <c r="P113" s="33" t="s">
        <v>146</v>
      </c>
      <c r="Q113" s="343"/>
    </row>
    <row r="114" spans="13:17" x14ac:dyDescent="0.25">
      <c r="O114" s="343"/>
      <c r="P114" s="33" t="s">
        <v>146</v>
      </c>
      <c r="Q114" s="343"/>
    </row>
    <row r="115" spans="13:17" x14ac:dyDescent="0.25">
      <c r="O115" s="343"/>
      <c r="P115" s="33" t="s">
        <v>146</v>
      </c>
      <c r="Q115" s="343"/>
    </row>
    <row r="116" spans="13:17" x14ac:dyDescent="0.25">
      <c r="O116" s="343"/>
      <c r="P116" s="33" t="s">
        <v>146</v>
      </c>
      <c r="Q116" s="343"/>
    </row>
    <row r="117" spans="13:17" x14ac:dyDescent="0.25">
      <c r="O117" s="343"/>
      <c r="P117" s="33" t="s">
        <v>146</v>
      </c>
      <c r="Q117" s="343"/>
    </row>
    <row r="118" spans="13:17" x14ac:dyDescent="0.25">
      <c r="O118" s="343"/>
      <c r="P118" s="33" t="s">
        <v>146</v>
      </c>
      <c r="Q118" s="343"/>
    </row>
    <row r="119" spans="13:17" x14ac:dyDescent="0.25">
      <c r="O119" s="343"/>
      <c r="P119" s="33" t="s">
        <v>146</v>
      </c>
      <c r="Q119" s="343"/>
    </row>
    <row r="120" spans="13:17" x14ac:dyDescent="0.25">
      <c r="O120" s="343"/>
      <c r="P120" s="33" t="s">
        <v>146</v>
      </c>
      <c r="Q120" s="343"/>
    </row>
    <row r="121" spans="13:17" x14ac:dyDescent="0.25">
      <c r="O121" s="343"/>
      <c r="Q121" s="343"/>
    </row>
    <row r="122" spans="13:17" x14ac:dyDescent="0.25">
      <c r="O122" s="343"/>
      <c r="P122" s="33" t="s">
        <v>146</v>
      </c>
      <c r="Q122" s="343"/>
    </row>
    <row r="123" spans="13:17" x14ac:dyDescent="0.25">
      <c r="O123" s="343"/>
      <c r="P123" s="33" t="s">
        <v>146</v>
      </c>
      <c r="Q123" s="343"/>
    </row>
    <row r="124" spans="13:17" x14ac:dyDescent="0.25">
      <c r="O124" s="343"/>
      <c r="P124" s="33" t="s">
        <v>146</v>
      </c>
      <c r="Q124" s="343"/>
    </row>
    <row r="125" spans="13:17" x14ac:dyDescent="0.25">
      <c r="O125" s="343"/>
      <c r="P125" s="33" t="s">
        <v>146</v>
      </c>
      <c r="Q125" s="343"/>
    </row>
    <row r="126" spans="13:17" x14ac:dyDescent="0.25">
      <c r="O126" s="343"/>
      <c r="P126" s="33" t="s">
        <v>146</v>
      </c>
      <c r="Q126" s="343"/>
    </row>
    <row r="127" spans="13:17" x14ac:dyDescent="0.25">
      <c r="M127" s="413"/>
      <c r="O127" s="343"/>
      <c r="P127" s="33" t="s">
        <v>146</v>
      </c>
      <c r="Q127" s="343"/>
    </row>
    <row r="128" spans="13:17" x14ac:dyDescent="0.25">
      <c r="M128" s="413"/>
      <c r="O128" s="343"/>
      <c r="P128" s="33" t="s">
        <v>146</v>
      </c>
      <c r="Q128" s="343"/>
    </row>
    <row r="129" spans="13:17" x14ac:dyDescent="0.25">
      <c r="M129" s="413"/>
      <c r="O129" s="343"/>
      <c r="P129" s="33" t="s">
        <v>146</v>
      </c>
      <c r="Q129" s="343"/>
    </row>
    <row r="130" spans="13:17" x14ac:dyDescent="0.25">
      <c r="M130" s="413"/>
      <c r="O130" s="343"/>
      <c r="P130" s="33" t="s">
        <v>146</v>
      </c>
      <c r="Q130" s="343"/>
    </row>
    <row r="131" spans="13:17" x14ac:dyDescent="0.25">
      <c r="M131" s="413"/>
      <c r="O131" s="343"/>
      <c r="P131" s="33" t="s">
        <v>146</v>
      </c>
      <c r="Q131" s="343"/>
    </row>
    <row r="132" spans="13:17" x14ac:dyDescent="0.25">
      <c r="M132" s="413"/>
      <c r="O132" s="343"/>
      <c r="P132" s="33" t="s">
        <v>146</v>
      </c>
      <c r="Q132" s="343"/>
    </row>
    <row r="133" spans="13:17" x14ac:dyDescent="0.25">
      <c r="M133" s="413"/>
      <c r="O133" s="343"/>
      <c r="P133" s="33" t="s">
        <v>146</v>
      </c>
      <c r="Q133" s="343"/>
    </row>
    <row r="134" spans="13:17" x14ac:dyDescent="0.25">
      <c r="M134" s="413"/>
      <c r="O134" s="343"/>
      <c r="P134" s="33" t="s">
        <v>146</v>
      </c>
      <c r="Q134" s="343"/>
    </row>
    <row r="135" spans="13:17" x14ac:dyDescent="0.25">
      <c r="M135" s="413"/>
      <c r="O135" s="343"/>
      <c r="P135" s="33" t="s">
        <v>146</v>
      </c>
      <c r="Q135" s="343"/>
    </row>
    <row r="136" spans="13:17" x14ac:dyDescent="0.25">
      <c r="M136" s="413"/>
      <c r="O136" s="343"/>
      <c r="P136" s="33" t="s">
        <v>146</v>
      </c>
      <c r="Q136" s="343"/>
    </row>
    <row r="137" spans="13:17" x14ac:dyDescent="0.25">
      <c r="M137" s="413"/>
      <c r="O137" s="343"/>
      <c r="P137" s="33" t="s">
        <v>146</v>
      </c>
      <c r="Q137" s="343"/>
    </row>
    <row r="138" spans="13:17" x14ac:dyDescent="0.25">
      <c r="M138" s="413"/>
      <c r="O138" s="343"/>
      <c r="P138" s="33" t="s">
        <v>146</v>
      </c>
      <c r="Q138" s="343"/>
    </row>
    <row r="139" spans="13:17" x14ac:dyDescent="0.25">
      <c r="M139" s="413"/>
      <c r="O139" s="343"/>
      <c r="P139" s="33" t="s">
        <v>146</v>
      </c>
      <c r="Q139" s="343"/>
    </row>
    <row r="140" spans="13:17" x14ac:dyDescent="0.25">
      <c r="M140" s="413"/>
      <c r="O140" s="343"/>
      <c r="P140" s="33" t="s">
        <v>146</v>
      </c>
      <c r="Q140" s="343"/>
    </row>
    <row r="141" spans="13:17" x14ac:dyDescent="0.25">
      <c r="M141" s="413"/>
      <c r="O141" s="343"/>
      <c r="P141" s="33" t="s">
        <v>146</v>
      </c>
      <c r="Q141" s="343"/>
    </row>
    <row r="142" spans="13:17" x14ac:dyDescent="0.25">
      <c r="M142" s="413"/>
      <c r="O142" s="343"/>
      <c r="P142" s="33" t="s">
        <v>146</v>
      </c>
      <c r="Q142" s="343"/>
    </row>
    <row r="143" spans="13:17" x14ac:dyDescent="0.25">
      <c r="M143" s="413"/>
      <c r="O143" s="343"/>
      <c r="P143" s="33" t="s">
        <v>146</v>
      </c>
      <c r="Q143" s="343"/>
    </row>
    <row r="144" spans="13:17" x14ac:dyDescent="0.25">
      <c r="M144" s="413"/>
      <c r="O144" s="343"/>
      <c r="P144" s="33" t="s">
        <v>146</v>
      </c>
      <c r="Q144" s="343"/>
    </row>
    <row r="145" spans="13:17" x14ac:dyDescent="0.25">
      <c r="M145" s="413"/>
      <c r="O145" s="343"/>
      <c r="P145" s="33" t="s">
        <v>146</v>
      </c>
      <c r="Q145" s="343"/>
    </row>
    <row r="146" spans="13:17" x14ac:dyDescent="0.25">
      <c r="M146" s="413"/>
      <c r="O146" s="343"/>
      <c r="P146" s="33" t="s">
        <v>146</v>
      </c>
      <c r="Q146" s="343"/>
    </row>
    <row r="147" spans="13:17" x14ac:dyDescent="0.25">
      <c r="M147" s="413"/>
      <c r="O147" s="343"/>
      <c r="P147" s="33" t="s">
        <v>146</v>
      </c>
      <c r="Q147" s="343"/>
    </row>
    <row r="148" spans="13:17" x14ac:dyDescent="0.25">
      <c r="M148" s="413"/>
      <c r="O148" s="343"/>
      <c r="P148" s="33" t="s">
        <v>146</v>
      </c>
      <c r="Q148" s="343"/>
    </row>
    <row r="149" spans="13:17" x14ac:dyDescent="0.25">
      <c r="M149" s="413"/>
      <c r="O149" s="343"/>
      <c r="P149" s="33" t="s">
        <v>146</v>
      </c>
      <c r="Q149" s="343"/>
    </row>
    <row r="150" spans="13:17" x14ac:dyDescent="0.25">
      <c r="M150" s="413"/>
      <c r="O150" s="343"/>
      <c r="P150" s="33" t="s">
        <v>146</v>
      </c>
      <c r="Q150" s="343"/>
    </row>
    <row r="151" spans="13:17" x14ac:dyDescent="0.25">
      <c r="M151" s="413"/>
      <c r="O151" s="343"/>
      <c r="P151" s="33" t="s">
        <v>146</v>
      </c>
      <c r="Q151" s="343"/>
    </row>
    <row r="152" spans="13:17" x14ac:dyDescent="0.25">
      <c r="M152" s="413"/>
      <c r="O152" s="343"/>
      <c r="P152" s="33" t="s">
        <v>146</v>
      </c>
      <c r="Q152" s="343"/>
    </row>
    <row r="153" spans="13:17" x14ac:dyDescent="0.25">
      <c r="M153" s="413"/>
      <c r="O153" s="343"/>
      <c r="P153" s="33" t="s">
        <v>146</v>
      </c>
      <c r="Q153" s="343"/>
    </row>
    <row r="154" spans="13:17" x14ac:dyDescent="0.25">
      <c r="M154" s="413"/>
      <c r="O154" s="343"/>
      <c r="P154" s="33" t="s">
        <v>146</v>
      </c>
      <c r="Q154" s="343"/>
    </row>
    <row r="155" spans="13:17" x14ac:dyDescent="0.25">
      <c r="M155" s="413"/>
      <c r="O155" s="343"/>
      <c r="P155" s="33" t="s">
        <v>146</v>
      </c>
      <c r="Q155" s="343"/>
    </row>
    <row r="156" spans="13:17" x14ac:dyDescent="0.25">
      <c r="M156" s="413"/>
      <c r="O156" s="343"/>
      <c r="P156" s="33" t="s">
        <v>146</v>
      </c>
      <c r="Q156" s="343"/>
    </row>
    <row r="157" spans="13:17" x14ac:dyDescent="0.25">
      <c r="M157" s="413"/>
      <c r="O157" s="343"/>
      <c r="P157" s="33" t="s">
        <v>146</v>
      </c>
      <c r="Q157" s="343"/>
    </row>
    <row r="158" spans="13:17" x14ac:dyDescent="0.25">
      <c r="M158" s="413"/>
      <c r="O158" s="343"/>
      <c r="P158" s="33" t="s">
        <v>146</v>
      </c>
      <c r="Q158" s="343"/>
    </row>
    <row r="159" spans="13:17" x14ac:dyDescent="0.25">
      <c r="M159" s="413"/>
      <c r="O159" s="343"/>
      <c r="P159" s="33" t="s">
        <v>146</v>
      </c>
      <c r="Q159" s="343"/>
    </row>
    <row r="160" spans="13:17" x14ac:dyDescent="0.25">
      <c r="M160" s="413"/>
      <c r="O160" s="343"/>
      <c r="P160" s="33" t="s">
        <v>146</v>
      </c>
      <c r="Q160" s="343"/>
    </row>
    <row r="161" spans="13:19" x14ac:dyDescent="0.25">
      <c r="M161" s="413"/>
      <c r="O161" s="343"/>
      <c r="P161" s="33" t="s">
        <v>146</v>
      </c>
      <c r="Q161" s="343"/>
    </row>
    <row r="162" spans="13:19" x14ac:dyDescent="0.25">
      <c r="M162" s="413"/>
      <c r="O162" s="343"/>
      <c r="P162" s="33" t="s">
        <v>146</v>
      </c>
      <c r="Q162" s="343"/>
      <c r="S162" s="90"/>
    </row>
    <row r="163" spans="13:19" x14ac:dyDescent="0.25">
      <c r="M163" s="413"/>
      <c r="O163" s="343"/>
      <c r="P163" s="33" t="s">
        <v>146</v>
      </c>
      <c r="Q163" s="343"/>
    </row>
    <row r="164" spans="13:19" x14ac:dyDescent="0.25">
      <c r="M164" s="413"/>
      <c r="O164" s="343"/>
      <c r="P164" s="33" t="s">
        <v>146</v>
      </c>
      <c r="Q164" s="343"/>
    </row>
    <row r="165" spans="13:19" x14ac:dyDescent="0.25">
      <c r="M165" s="54"/>
      <c r="O165" s="343"/>
      <c r="P165" s="33" t="s">
        <v>146</v>
      </c>
      <c r="Q165" s="343"/>
    </row>
    <row r="166" spans="13:19" x14ac:dyDescent="0.25">
      <c r="M166" s="54"/>
      <c r="O166" s="343"/>
      <c r="P166" s="33" t="s">
        <v>146</v>
      </c>
      <c r="Q166" s="343"/>
    </row>
    <row r="167" spans="13:19" x14ac:dyDescent="0.25">
      <c r="M167" s="54"/>
      <c r="O167" s="343"/>
      <c r="P167" s="33" t="s">
        <v>146</v>
      </c>
      <c r="Q167" s="343"/>
    </row>
    <row r="168" spans="13:19" x14ac:dyDescent="0.25">
      <c r="M168" s="54"/>
      <c r="O168" s="343"/>
      <c r="P168" s="33" t="s">
        <v>146</v>
      </c>
      <c r="Q168" s="343"/>
    </row>
    <row r="169" spans="13:19" x14ac:dyDescent="0.25">
      <c r="M169" s="54"/>
      <c r="O169" s="343"/>
      <c r="P169" s="33" t="s">
        <v>146</v>
      </c>
      <c r="Q169" s="343"/>
    </row>
    <row r="170" spans="13:19" x14ac:dyDescent="0.25">
      <c r="M170" s="54"/>
      <c r="O170" s="343"/>
      <c r="P170" s="33" t="s">
        <v>146</v>
      </c>
      <c r="Q170" s="343"/>
    </row>
    <row r="171" spans="13:19" x14ac:dyDescent="0.25">
      <c r="M171" s="54"/>
      <c r="O171" s="343"/>
      <c r="P171" s="33" t="s">
        <v>146</v>
      </c>
      <c r="Q171" s="343"/>
    </row>
    <row r="172" spans="13:19" x14ac:dyDescent="0.25">
      <c r="M172" s="54"/>
      <c r="O172" s="343"/>
      <c r="P172" s="33" t="s">
        <v>146</v>
      </c>
      <c r="Q172" s="343"/>
    </row>
    <row r="173" spans="13:19" x14ac:dyDescent="0.25">
      <c r="M173" s="54"/>
      <c r="O173" s="343"/>
      <c r="P173" s="33" t="s">
        <v>146</v>
      </c>
      <c r="Q173" s="343"/>
    </row>
    <row r="174" spans="13:19" x14ac:dyDescent="0.25">
      <c r="M174" s="54"/>
      <c r="O174" s="343"/>
      <c r="P174" s="33" t="s">
        <v>146</v>
      </c>
      <c r="Q174" s="343"/>
    </row>
    <row r="175" spans="13:19" x14ac:dyDescent="0.25">
      <c r="M175" s="54"/>
      <c r="O175" s="343"/>
      <c r="P175" s="33" t="s">
        <v>146</v>
      </c>
      <c r="Q175" s="343"/>
    </row>
    <row r="176" spans="13:19" x14ac:dyDescent="0.25">
      <c r="M176" s="54"/>
      <c r="O176" s="343"/>
      <c r="P176" s="33" t="s">
        <v>146</v>
      </c>
      <c r="Q176" s="343"/>
    </row>
    <row r="177" spans="13:17" x14ac:dyDescent="0.25">
      <c r="M177" s="54"/>
      <c r="O177" s="343"/>
      <c r="P177" s="33" t="s">
        <v>146</v>
      </c>
      <c r="Q177" s="343"/>
    </row>
    <row r="178" spans="13:17" x14ac:dyDescent="0.25">
      <c r="M178" s="54"/>
      <c r="O178" s="343"/>
      <c r="P178" s="33" t="s">
        <v>146</v>
      </c>
      <c r="Q178" s="343"/>
    </row>
    <row r="179" spans="13:17" x14ac:dyDescent="0.25">
      <c r="M179" s="54"/>
      <c r="O179" s="343"/>
      <c r="P179" s="33" t="s">
        <v>146</v>
      </c>
      <c r="Q179" s="343"/>
    </row>
    <row r="180" spans="13:17" x14ac:dyDescent="0.25">
      <c r="M180" s="54"/>
      <c r="O180" s="343"/>
      <c r="P180" s="33" t="s">
        <v>146</v>
      </c>
      <c r="Q180" s="343"/>
    </row>
    <row r="181" spans="13:17" x14ac:dyDescent="0.25">
      <c r="M181" s="54"/>
      <c r="O181" s="343"/>
      <c r="P181" s="33" t="s">
        <v>146</v>
      </c>
      <c r="Q181" s="343"/>
    </row>
    <row r="182" spans="13:17" x14ac:dyDescent="0.25">
      <c r="M182" s="54"/>
      <c r="O182" s="343"/>
      <c r="P182" s="33" t="s">
        <v>146</v>
      </c>
      <c r="Q182" s="343"/>
    </row>
    <row r="183" spans="13:17" x14ac:dyDescent="0.25">
      <c r="M183" s="54"/>
      <c r="O183" s="343"/>
      <c r="P183" s="33" t="s">
        <v>146</v>
      </c>
      <c r="Q183" s="343"/>
    </row>
    <row r="184" spans="13:17" x14ac:dyDescent="0.25">
      <c r="M184" s="54"/>
      <c r="O184" s="343"/>
      <c r="P184" s="33" t="s">
        <v>146</v>
      </c>
      <c r="Q184" s="343"/>
    </row>
    <row r="185" spans="13:17" x14ac:dyDescent="0.25">
      <c r="M185" s="54"/>
      <c r="O185" s="343"/>
      <c r="P185" s="33" t="s">
        <v>146</v>
      </c>
      <c r="Q185" s="343"/>
    </row>
    <row r="186" spans="13:17" x14ac:dyDescent="0.25">
      <c r="M186" s="54"/>
      <c r="O186" s="343"/>
      <c r="P186" s="33" t="s">
        <v>146</v>
      </c>
      <c r="Q186" s="343"/>
    </row>
    <row r="187" spans="13:17" x14ac:dyDescent="0.25">
      <c r="M187" s="54"/>
      <c r="O187" s="343"/>
      <c r="P187" s="33" t="s">
        <v>146</v>
      </c>
      <c r="Q187" s="343"/>
    </row>
    <row r="188" spans="13:17" x14ac:dyDescent="0.25">
      <c r="M188" s="54"/>
      <c r="O188" s="343"/>
      <c r="P188" s="33" t="s">
        <v>146</v>
      </c>
      <c r="Q188" s="343"/>
    </row>
    <row r="189" spans="13:17" x14ac:dyDescent="0.25">
      <c r="M189" s="54"/>
      <c r="O189" s="343"/>
      <c r="P189" s="33" t="s">
        <v>146</v>
      </c>
      <c r="Q189" s="343"/>
    </row>
    <row r="190" spans="13:17" x14ac:dyDescent="0.25">
      <c r="P190" s="33" t="s">
        <v>146</v>
      </c>
    </row>
    <row r="191" spans="13:17" x14ac:dyDescent="0.25">
      <c r="M191" s="54"/>
      <c r="O191" s="343"/>
      <c r="P191" s="33" t="s">
        <v>146</v>
      </c>
      <c r="Q191" s="343"/>
    </row>
    <row r="192" spans="13:17" x14ac:dyDescent="0.25">
      <c r="M192" s="54"/>
      <c r="O192" s="343"/>
      <c r="P192" s="33" t="s">
        <v>146</v>
      </c>
      <c r="Q192" s="343"/>
    </row>
    <row r="193" spans="1:17" x14ac:dyDescent="0.25">
      <c r="M193" s="54"/>
      <c r="O193" s="343"/>
      <c r="P193" s="33" t="s">
        <v>146</v>
      </c>
      <c r="Q193" s="343"/>
    </row>
    <row r="194" spans="1:17" hidden="1" x14ac:dyDescent="0.25">
      <c r="M194" s="54"/>
      <c r="O194" s="343"/>
      <c r="P194" s="33" t="s">
        <v>146</v>
      </c>
      <c r="Q194" s="343"/>
    </row>
    <row r="195" spans="1:17" hidden="1" x14ac:dyDescent="0.25">
      <c r="M195" s="54"/>
      <c r="O195" s="343"/>
      <c r="P195" s="33" t="s">
        <v>146</v>
      </c>
      <c r="Q195" s="343"/>
    </row>
    <row r="196" spans="1:17" hidden="1" x14ac:dyDescent="0.25">
      <c r="M196" s="54"/>
      <c r="O196" s="343"/>
      <c r="P196" s="33" t="s">
        <v>146</v>
      </c>
      <c r="Q196" s="343"/>
    </row>
    <row r="197" spans="1:17" hidden="1" x14ac:dyDescent="0.25">
      <c r="M197" s="54"/>
      <c r="O197" s="343"/>
      <c r="P197" s="33" t="s">
        <v>146</v>
      </c>
      <c r="Q197" s="343"/>
    </row>
    <row r="198" spans="1:17" x14ac:dyDescent="0.25">
      <c r="M198" s="54"/>
      <c r="O198" s="343"/>
      <c r="P198" s="33" t="s">
        <v>146</v>
      </c>
      <c r="Q198" s="343"/>
    </row>
    <row r="199" spans="1:17" x14ac:dyDescent="0.25">
      <c r="B199" s="361"/>
      <c r="C199" s="433"/>
      <c r="D199" s="433"/>
      <c r="E199" s="433"/>
      <c r="F199" s="508"/>
      <c r="G199" s="644"/>
      <c r="H199" s="644"/>
      <c r="I199" s="644"/>
      <c r="J199" s="644"/>
      <c r="K199" s="644"/>
      <c r="L199" s="644"/>
      <c r="M199" s="54"/>
      <c r="O199" s="343"/>
      <c r="P199" s="33" t="s">
        <v>146</v>
      </c>
      <c r="Q199" s="343"/>
    </row>
    <row r="200" spans="1:17" x14ac:dyDescent="0.25">
      <c r="F200" s="508"/>
      <c r="G200" s="503"/>
      <c r="H200" s="503"/>
      <c r="I200" s="503"/>
      <c r="J200" s="503"/>
      <c r="K200" s="503"/>
      <c r="L200" s="503"/>
      <c r="M200" s="54"/>
      <c r="P200" s="33" t="s">
        <v>146</v>
      </c>
    </row>
    <row r="201" spans="1:17" x14ac:dyDescent="0.25">
      <c r="A201" s="33" t="s">
        <v>146</v>
      </c>
      <c r="B201" s="33" t="s">
        <v>146</v>
      </c>
      <c r="C201" s="33" t="s">
        <v>146</v>
      </c>
      <c r="E201" s="33" t="s">
        <v>146</v>
      </c>
      <c r="F201" s="58" t="s">
        <v>146</v>
      </c>
      <c r="G201" s="33" t="s">
        <v>146</v>
      </c>
      <c r="H201" s="33" t="s">
        <v>146</v>
      </c>
      <c r="I201" s="33" t="s">
        <v>146</v>
      </c>
      <c r="J201" s="33" t="s">
        <v>146</v>
      </c>
      <c r="K201" s="33" t="s">
        <v>146</v>
      </c>
      <c r="L201" s="33" t="s">
        <v>146</v>
      </c>
      <c r="M201" s="54" t="s">
        <v>146</v>
      </c>
      <c r="N201" s="33" t="s">
        <v>146</v>
      </c>
      <c r="O201" s="307" t="s">
        <v>146</v>
      </c>
      <c r="P201" s="33" t="s">
        <v>146</v>
      </c>
      <c r="Q201" s="307" t="s">
        <v>146</v>
      </c>
    </row>
    <row r="202" spans="1:17" x14ac:dyDescent="0.25">
      <c r="A202" s="33" t="s">
        <v>146</v>
      </c>
      <c r="B202" s="33" t="s">
        <v>146</v>
      </c>
      <c r="C202" s="33" t="s">
        <v>146</v>
      </c>
      <c r="E202" s="33" t="s">
        <v>146</v>
      </c>
      <c r="F202" s="58" t="s">
        <v>146</v>
      </c>
      <c r="G202" s="33" t="s">
        <v>146</v>
      </c>
      <c r="H202" s="33" t="s">
        <v>146</v>
      </c>
      <c r="I202" s="33" t="s">
        <v>146</v>
      </c>
      <c r="J202" s="33" t="s">
        <v>146</v>
      </c>
      <c r="K202" s="33" t="s">
        <v>146</v>
      </c>
      <c r="L202" s="33" t="s">
        <v>146</v>
      </c>
      <c r="M202" s="54" t="s">
        <v>146</v>
      </c>
      <c r="N202" s="33" t="s">
        <v>146</v>
      </c>
      <c r="O202" s="307" t="s">
        <v>146</v>
      </c>
      <c r="P202" s="33" t="s">
        <v>146</v>
      </c>
      <c r="Q202" s="307" t="s">
        <v>146</v>
      </c>
    </row>
    <row r="203" spans="1:17" x14ac:dyDescent="0.25">
      <c r="F203" s="58"/>
    </row>
    <row r="204" spans="1:17" x14ac:dyDescent="0.25">
      <c r="F204" s="58"/>
    </row>
    <row r="205" spans="1:17" x14ac:dyDescent="0.25">
      <c r="F205" s="58"/>
    </row>
    <row r="206" spans="1:17" x14ac:dyDescent="0.25">
      <c r="F206" s="58"/>
    </row>
  </sheetData>
  <sheetProtection algorithmName="SHA-512" hashValue="lphUH84G0D8RkQXAyja1KRgbiFDaiVHYkFWH7oyHkqVyoDdhhAZTb0wKlpRk3J9lvyvmWWtkFzD9uBnfA/5Gkw==" saltValue="h6VGF3W781H26zlb8gn1fA==" spinCount="100000" sheet="1" objects="1" scenarios="1"/>
  <phoneticPr fontId="7" type="noConversion"/>
  <conditionalFormatting sqref="E1">
    <cfRule type="expression" dxfId="76" priority="2" stopIfTrue="1">
      <formula>MOD(ROW(),2)=0</formula>
    </cfRule>
  </conditionalFormatting>
  <conditionalFormatting sqref="L1">
    <cfRule type="expression" dxfId="75" priority="3" stopIfTrue="1">
      <formula>MOD(ROW(),2)=0</formula>
    </cfRule>
  </conditionalFormatting>
  <conditionalFormatting sqref="N55">
    <cfRule type="cellIs" dxfId="74" priority="13" stopIfTrue="1" operator="equal">
      <formula>0</formula>
    </cfRule>
  </conditionalFormatting>
  <hyperlinks>
    <hyperlink ref="E1" location="HypLink1" display="HypLink1" xr:uid="{78D56A1D-A183-43E4-8119-085541799EBD}"/>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8"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AE19-E22C-4689-81CF-54420A83321D}">
  <sheetPr codeName="Sheet7">
    <tabColor rgb="FF0070C0"/>
  </sheetPr>
  <dimension ref="A1:P126"/>
  <sheetViews>
    <sheetView workbookViewId="0">
      <selection activeCell="O28" sqref="O28"/>
    </sheetView>
  </sheetViews>
  <sheetFormatPr defaultColWidth="8.7109375" defaultRowHeight="12.75" x14ac:dyDescent="0.2"/>
  <cols>
    <col min="1" max="1" width="5" style="6" customWidth="1"/>
    <col min="2" max="2" width="32.5703125" style="6" customWidth="1"/>
    <col min="3" max="3" width="16.7109375" style="6" customWidth="1"/>
    <col min="4" max="4" width="3.28515625" style="6" hidden="1" customWidth="1"/>
    <col min="5" max="5" width="8.7109375" style="6" hidden="1" customWidth="1"/>
    <col min="6" max="6" width="12.42578125" style="6" customWidth="1"/>
    <col min="7" max="7" width="12" style="6" customWidth="1"/>
    <col min="8" max="8" width="12.5703125" style="6" customWidth="1"/>
    <col min="9" max="9" width="12.28515625" style="6" customWidth="1"/>
    <col min="10" max="10" width="13.7109375" style="6" customWidth="1"/>
    <col min="11" max="12" width="14.28515625" style="6" customWidth="1"/>
    <col min="13" max="16384" width="8.7109375" style="6"/>
  </cols>
  <sheetData>
    <row r="1" spans="1:16" ht="18.75" x14ac:dyDescent="0.3">
      <c r="A1" s="112" t="s">
        <v>113</v>
      </c>
      <c r="B1" s="439"/>
      <c r="C1" s="407" t="s">
        <v>3</v>
      </c>
      <c r="D1" s="409"/>
      <c r="F1" s="33"/>
      <c r="G1" s="33"/>
      <c r="H1" s="33"/>
      <c r="I1" s="33"/>
      <c r="J1" s="33"/>
      <c r="K1" s="36"/>
      <c r="L1" s="407"/>
    </row>
    <row r="2" spans="1:16" ht="15.75" x14ac:dyDescent="0.25">
      <c r="A2" s="114" t="s">
        <v>237</v>
      </c>
      <c r="B2" s="38"/>
      <c r="C2" s="31"/>
      <c r="D2" s="31"/>
      <c r="E2" s="33"/>
      <c r="F2" s="33"/>
      <c r="G2" s="31"/>
      <c r="H2" s="33"/>
      <c r="I2" s="33"/>
      <c r="J2" s="33"/>
      <c r="K2" s="33"/>
      <c r="L2" s="33"/>
    </row>
    <row r="3" spans="1:16" ht="15" x14ac:dyDescent="0.25">
      <c r="A3" s="39" t="s">
        <v>2</v>
      </c>
      <c r="B3" s="33"/>
      <c r="C3" s="33"/>
      <c r="D3" s="33"/>
      <c r="E3" s="33"/>
      <c r="F3" s="33"/>
      <c r="G3" s="33"/>
      <c r="H3" s="33"/>
      <c r="I3" s="33"/>
      <c r="J3" s="33"/>
      <c r="K3" s="33"/>
      <c r="L3" s="33"/>
    </row>
    <row r="4" spans="1:16" ht="15" x14ac:dyDescent="0.25">
      <c r="A4" s="30" t="s">
        <v>238</v>
      </c>
      <c r="B4" s="33"/>
      <c r="C4" s="33"/>
      <c r="D4" s="33"/>
      <c r="E4" s="33"/>
      <c r="F4" s="33"/>
      <c r="G4" s="33"/>
      <c r="H4" s="33"/>
      <c r="I4" s="33"/>
      <c r="J4" s="33"/>
      <c r="K4" s="33"/>
      <c r="L4" s="33"/>
    </row>
    <row r="5" spans="1:16" ht="15" x14ac:dyDescent="0.25">
      <c r="A5" s="33"/>
      <c r="B5" s="33"/>
      <c r="C5" s="33"/>
      <c r="D5" s="33"/>
      <c r="E5" s="33"/>
      <c r="F5" s="33"/>
      <c r="G5" s="33"/>
      <c r="H5" s="33"/>
      <c r="I5" s="33"/>
      <c r="J5" s="33"/>
      <c r="K5" s="33"/>
      <c r="L5" s="33"/>
    </row>
    <row r="6" spans="1:16" ht="15" x14ac:dyDescent="0.25">
      <c r="A6" s="33"/>
      <c r="B6" s="31"/>
      <c r="C6" s="32"/>
      <c r="D6" s="32"/>
      <c r="E6" s="32"/>
      <c r="F6" s="717" t="s">
        <v>239</v>
      </c>
      <c r="G6" s="718">
        <v>1</v>
      </c>
      <c r="H6" s="718">
        <v>2</v>
      </c>
      <c r="I6" s="718">
        <v>3</v>
      </c>
      <c r="J6" s="718">
        <v>4</v>
      </c>
      <c r="K6" s="718">
        <v>5</v>
      </c>
      <c r="L6" s="1188">
        <v>6</v>
      </c>
      <c r="M6" s="7"/>
      <c r="N6" s="7"/>
      <c r="O6" s="7"/>
      <c r="P6" s="7"/>
    </row>
    <row r="7" spans="1:16" ht="15" x14ac:dyDescent="0.25">
      <c r="A7" s="33"/>
      <c r="B7" s="31"/>
      <c r="C7" s="32" t="s">
        <v>147</v>
      </c>
      <c r="D7" s="32"/>
      <c r="E7" s="32"/>
      <c r="F7" s="719">
        <f>+Summary!F7</f>
        <v>2024</v>
      </c>
      <c r="G7" s="720">
        <f>+Summary!G7</f>
        <v>2025</v>
      </c>
      <c r="H7" s="720">
        <f>+Summary!H7</f>
        <v>2026</v>
      </c>
      <c r="I7" s="720">
        <f>+Summary!I7</f>
        <v>2027</v>
      </c>
      <c r="J7" s="720">
        <f>+Summary!J7</f>
        <v>2028</v>
      </c>
      <c r="K7" s="720">
        <f>+Summary!K7</f>
        <v>2029</v>
      </c>
      <c r="L7" s="721">
        <f>+Summary!L7</f>
        <v>2030</v>
      </c>
      <c r="M7" s="7"/>
      <c r="N7" s="7"/>
      <c r="O7" s="7"/>
      <c r="P7" s="7"/>
    </row>
    <row r="8" spans="1:16" ht="15" x14ac:dyDescent="0.25">
      <c r="A8" s="33"/>
      <c r="B8" s="1651"/>
      <c r="C8" s="57"/>
      <c r="D8" s="57"/>
      <c r="E8" s="628"/>
      <c r="F8" s="722">
        <f>+Summary!F8</f>
        <v>2025</v>
      </c>
      <c r="G8" s="723">
        <f>+Summary!G8</f>
        <v>2026</v>
      </c>
      <c r="H8" s="723">
        <f>+Summary!H8</f>
        <v>2027</v>
      </c>
      <c r="I8" s="723">
        <f>+Summary!I8</f>
        <v>2028</v>
      </c>
      <c r="J8" s="723">
        <f>+Summary!J8</f>
        <v>2029</v>
      </c>
      <c r="K8" s="723">
        <f>+Summary!K8</f>
        <v>2030</v>
      </c>
      <c r="L8" s="724">
        <f>+Summary!L8</f>
        <v>2031</v>
      </c>
      <c r="M8" s="7"/>
      <c r="N8" s="7"/>
      <c r="O8" s="7"/>
      <c r="P8" s="7"/>
    </row>
    <row r="9" spans="1:16" ht="15" x14ac:dyDescent="0.25">
      <c r="A9" s="346">
        <f>ROW()</f>
        <v>9</v>
      </c>
      <c r="B9" s="410" t="s">
        <v>240</v>
      </c>
      <c r="C9" s="711">
        <v>400</v>
      </c>
      <c r="D9" s="659"/>
      <c r="E9" s="32"/>
      <c r="F9" s="138">
        <v>0</v>
      </c>
      <c r="G9" s="138">
        <f>+G20</f>
        <v>2320.02</v>
      </c>
      <c r="H9" s="138">
        <f t="shared" ref="H9:L9" si="0">+H20</f>
        <v>2320.02</v>
      </c>
      <c r="I9" s="138">
        <f t="shared" si="0"/>
        <v>2320.02</v>
      </c>
      <c r="J9" s="138">
        <f t="shared" si="0"/>
        <v>2320.02</v>
      </c>
      <c r="K9" s="138">
        <f t="shared" si="0"/>
        <v>2320.02</v>
      </c>
      <c r="L9" s="138">
        <f t="shared" si="0"/>
        <v>2320.02</v>
      </c>
      <c r="M9" s="7"/>
      <c r="N9" s="7"/>
      <c r="O9" s="7"/>
      <c r="P9" s="7"/>
    </row>
    <row r="10" spans="1:16" ht="15" x14ac:dyDescent="0.25">
      <c r="A10" s="346">
        <f>ROW()</f>
        <v>10</v>
      </c>
      <c r="B10" s="411" t="s">
        <v>151</v>
      </c>
      <c r="C10" s="711">
        <v>6</v>
      </c>
      <c r="D10" s="659"/>
      <c r="E10" s="32"/>
      <c r="F10" s="629">
        <f t="shared" ref="F10" si="1">+F21</f>
        <v>122</v>
      </c>
      <c r="G10" s="629">
        <f>+G21</f>
        <v>122</v>
      </c>
      <c r="H10" s="629">
        <f t="shared" ref="H10:L10" si="2">+H21</f>
        <v>122</v>
      </c>
      <c r="I10" s="629">
        <f t="shared" si="2"/>
        <v>122</v>
      </c>
      <c r="J10" s="629">
        <f t="shared" si="2"/>
        <v>122</v>
      </c>
      <c r="K10" s="629">
        <f t="shared" si="2"/>
        <v>122</v>
      </c>
      <c r="L10" s="629">
        <f t="shared" si="2"/>
        <v>122</v>
      </c>
      <c r="M10" s="7"/>
      <c r="N10" s="7"/>
      <c r="O10" s="7"/>
      <c r="P10" s="7"/>
    </row>
    <row r="11" spans="1:16" ht="15" x14ac:dyDescent="0.25">
      <c r="A11" s="346">
        <f>ROW()</f>
        <v>11</v>
      </c>
      <c r="B11" s="411" t="s">
        <v>152</v>
      </c>
      <c r="C11" s="711"/>
      <c r="D11" s="659"/>
      <c r="E11" s="32"/>
      <c r="F11" s="680">
        <f>Facilities!F93</f>
        <v>0</v>
      </c>
      <c r="G11" s="1581">
        <f>Facilities!G93</f>
        <v>47424</v>
      </c>
      <c r="H11" s="1581">
        <f>Facilities!H93</f>
        <v>47424</v>
      </c>
      <c r="I11" s="1581">
        <f>Facilities!I93</f>
        <v>47424</v>
      </c>
      <c r="J11" s="1581">
        <f>Facilities!J93</f>
        <v>47424</v>
      </c>
      <c r="K11" s="1581">
        <f>Facilities!K93</f>
        <v>47424</v>
      </c>
      <c r="L11" s="1581">
        <f>Facilities!L93</f>
        <v>47424</v>
      </c>
      <c r="M11" s="7"/>
      <c r="N11" s="7"/>
      <c r="O11" s="7"/>
      <c r="P11" s="7"/>
    </row>
    <row r="12" spans="1:16" ht="15" x14ac:dyDescent="0.25">
      <c r="A12" s="346">
        <f>ROW()</f>
        <v>12</v>
      </c>
      <c r="B12" s="411" t="s">
        <v>241</v>
      </c>
      <c r="C12" s="711"/>
      <c r="D12" s="659"/>
      <c r="E12" s="32"/>
      <c r="F12" s="1581">
        <f t="shared" ref="F12:L12" si="3">IFERROR(F11/F9,0)</f>
        <v>0</v>
      </c>
      <c r="G12" s="1582">
        <f t="shared" si="3"/>
        <v>20.441203093076783</v>
      </c>
      <c r="H12" s="1582">
        <f t="shared" si="3"/>
        <v>20.441203093076783</v>
      </c>
      <c r="I12" s="1582">
        <f t="shared" si="3"/>
        <v>20.441203093076783</v>
      </c>
      <c r="J12" s="1582">
        <f t="shared" si="3"/>
        <v>20.441203093076783</v>
      </c>
      <c r="K12" s="1582">
        <f t="shared" si="3"/>
        <v>20.441203093076783</v>
      </c>
      <c r="L12" s="1582">
        <f t="shared" si="3"/>
        <v>20.441203093076783</v>
      </c>
      <c r="M12" s="7"/>
      <c r="N12" s="7"/>
      <c r="O12" s="7"/>
      <c r="P12" s="7"/>
    </row>
    <row r="13" spans="1:16" ht="15" x14ac:dyDescent="0.25">
      <c r="A13" s="346">
        <f>ROW()</f>
        <v>13</v>
      </c>
      <c r="B13" s="183"/>
      <c r="C13" s="418"/>
      <c r="D13" s="418"/>
      <c r="E13" s="418"/>
      <c r="F13" s="633"/>
      <c r="G13" s="633"/>
      <c r="H13" s="633"/>
      <c r="I13" s="633"/>
      <c r="J13" s="633"/>
      <c r="K13" s="633"/>
      <c r="L13" s="633"/>
      <c r="M13" s="7"/>
      <c r="N13" s="7"/>
      <c r="O13" s="7"/>
      <c r="P13" s="7"/>
    </row>
    <row r="14" spans="1:16" ht="18" x14ac:dyDescent="0.25">
      <c r="A14" s="346">
        <f>ROW()</f>
        <v>14</v>
      </c>
      <c r="B14" s="939" t="s">
        <v>242</v>
      </c>
      <c r="C14" s="940"/>
      <c r="D14" s="940"/>
      <c r="E14" s="940"/>
      <c r="F14" s="941">
        <f>Summary!F6</f>
        <v>0</v>
      </c>
      <c r="G14" s="941">
        <f>Summary!G6</f>
        <v>1</v>
      </c>
      <c r="H14" s="941">
        <f>Summary!H6</f>
        <v>2</v>
      </c>
      <c r="I14" s="941">
        <f>Summary!I6</f>
        <v>3</v>
      </c>
      <c r="J14" s="941">
        <f>Summary!J6</f>
        <v>4</v>
      </c>
      <c r="K14" s="941">
        <f>Summary!K6</f>
        <v>5</v>
      </c>
      <c r="L14" s="941">
        <f>Summary!L6</f>
        <v>6</v>
      </c>
    </row>
    <row r="15" spans="1:16" ht="15" x14ac:dyDescent="0.25">
      <c r="A15" s="346">
        <f>ROW()</f>
        <v>15</v>
      </c>
      <c r="B15" s="125" t="s">
        <v>243</v>
      </c>
      <c r="C15" s="125"/>
      <c r="D15" s="125"/>
      <c r="E15" s="125"/>
      <c r="F15" s="634"/>
      <c r="G15" s="635">
        <f>IFERROR(+Summary!G55/G43,0)</f>
        <v>124.72134083523</v>
      </c>
      <c r="H15" s="635">
        <f>IFERROR(+Summary!H55/H43,0)</f>
        <v>103.56957665838326</v>
      </c>
      <c r="I15" s="635">
        <f>IFERROR(+Summary!I55/I43,0)</f>
        <v>81.734385250906016</v>
      </c>
      <c r="J15" s="635">
        <f>IFERROR(+Summary!J55/J43,0)</f>
        <v>59.245597633163896</v>
      </c>
      <c r="K15" s="635">
        <f>IFERROR(+Summary!K55/K43,0)</f>
        <v>36.083635109487922</v>
      </c>
      <c r="L15" s="635">
        <f>IFERROR(+Summary!L55/L43,0)</f>
        <v>12.228332207152622</v>
      </c>
    </row>
    <row r="16" spans="1:16" ht="15" x14ac:dyDescent="0.25">
      <c r="A16" s="346">
        <f>ROW()</f>
        <v>16</v>
      </c>
      <c r="B16" s="33" t="s">
        <v>244</v>
      </c>
      <c r="C16" s="33"/>
      <c r="D16" s="33"/>
      <c r="E16" s="33"/>
      <c r="F16" s="636"/>
      <c r="G16" s="776">
        <f t="shared" ref="G16:L16" si="4">IFERROR(+G15/G20,0)</f>
        <v>5.3758735198502598E-2</v>
      </c>
      <c r="H16" s="776">
        <f t="shared" si="4"/>
        <v>4.464167406245776E-2</v>
      </c>
      <c r="I16" s="776">
        <f t="shared" si="4"/>
        <v>3.5230034763021875E-2</v>
      </c>
      <c r="J16" s="776">
        <f t="shared" si="4"/>
        <v>2.5536675387782818E-2</v>
      </c>
      <c r="K16" s="776">
        <f t="shared" si="4"/>
        <v>1.5553156916529996E-2</v>
      </c>
      <c r="L16" s="776">
        <f t="shared" si="4"/>
        <v>5.2707874100881126E-3</v>
      </c>
    </row>
    <row r="17" spans="1:12" ht="15" x14ac:dyDescent="0.25">
      <c r="A17" s="346">
        <f>ROW()</f>
        <v>17</v>
      </c>
      <c r="B17" s="125" t="s">
        <v>245</v>
      </c>
      <c r="C17" s="424"/>
      <c r="D17" s="424"/>
      <c r="E17" s="424"/>
      <c r="F17" s="350">
        <f>Summary!F55+E17</f>
        <v>-21575432.721774668</v>
      </c>
      <c r="G17" s="350">
        <f>Summary!G55+F17</f>
        <v>-20124614.722151838</v>
      </c>
      <c r="H17" s="350">
        <f>+G17+Summary!H55</f>
        <v>-18919865.901463915</v>
      </c>
      <c r="I17" s="350">
        <f>H17+Summary!I55</f>
        <v>-17969109.826004848</v>
      </c>
      <c r="J17" s="350">
        <f>I17+Summary!J55</f>
        <v>-17279949.300468143</v>
      </c>
      <c r="K17" s="350">
        <f>J17+Summary!K55</f>
        <v>-16860214.874134846</v>
      </c>
      <c r="L17" s="350">
        <f>K17+Summary!L55</f>
        <v>-16717971.666420095</v>
      </c>
    </row>
    <row r="18" spans="1:12" ht="15" x14ac:dyDescent="0.25">
      <c r="A18" s="346">
        <f>ROW()</f>
        <v>18</v>
      </c>
      <c r="B18" s="33" t="s">
        <v>246</v>
      </c>
      <c r="C18" s="425"/>
      <c r="D18" s="425"/>
      <c r="E18" s="425"/>
      <c r="F18" s="637"/>
      <c r="G18" s="638">
        <f>IFERROR(+G17/Summary!G52,0)</f>
        <v>-0.7880645625140329</v>
      </c>
      <c r="H18" s="638">
        <f>IFERROR(+H17/Summary!H52,0)</f>
        <v>-0.73383044129921893</v>
      </c>
      <c r="I18" s="638">
        <f>IFERROR(+I17/Summary!I52,0)</f>
        <v>-0.69015517807403559</v>
      </c>
      <c r="J18" s="638">
        <f>IFERROR(+J17/Summary!J52,0)</f>
        <v>-0.65708405395927127</v>
      </c>
      <c r="K18" s="638">
        <f>IFERROR(+K17/Summary!K52,0)</f>
        <v>-0.63462152298387031</v>
      </c>
      <c r="L18" s="638">
        <f>IFERROR(+L17/Summary!L52,0)</f>
        <v>-0.62276281786407583</v>
      </c>
    </row>
    <row r="19" spans="1:12" ht="15" x14ac:dyDescent="0.25">
      <c r="A19" s="346">
        <f>ROW()</f>
        <v>19</v>
      </c>
      <c r="B19" s="33"/>
      <c r="C19" s="33"/>
      <c r="D19" s="33"/>
      <c r="E19" s="33"/>
      <c r="F19" s="503"/>
      <c r="G19" s="503"/>
      <c r="H19" s="503"/>
      <c r="I19" s="503"/>
      <c r="J19" s="503"/>
      <c r="K19" s="503"/>
      <c r="L19" s="503"/>
    </row>
    <row r="20" spans="1:12" ht="15" x14ac:dyDescent="0.25">
      <c r="A20" s="346">
        <f>ROW()</f>
        <v>20</v>
      </c>
      <c r="B20" s="426" t="s">
        <v>240</v>
      </c>
      <c r="C20" s="708">
        <f>MAX(F20:L20)</f>
        <v>2320.02</v>
      </c>
      <c r="D20" s="475"/>
      <c r="E20" s="309"/>
      <c r="F20" s="351">
        <f>' Enrol &amp; Rev'!F36</f>
        <v>0</v>
      </c>
      <c r="G20" s="351">
        <f>' Enrol &amp; Rev'!G36</f>
        <v>2320.02</v>
      </c>
      <c r="H20" s="351">
        <f>' Enrol &amp; Rev'!H36</f>
        <v>2320.02</v>
      </c>
      <c r="I20" s="351">
        <f>' Enrol &amp; Rev'!I36</f>
        <v>2320.02</v>
      </c>
      <c r="J20" s="351">
        <f>' Enrol &amp; Rev'!J36</f>
        <v>2320.02</v>
      </c>
      <c r="K20" s="351">
        <f>' Enrol &amp; Rev'!K36</f>
        <v>2320.02</v>
      </c>
      <c r="L20" s="351">
        <f>' Enrol &amp; Rev'!L36</f>
        <v>2320.02</v>
      </c>
    </row>
    <row r="21" spans="1:12" ht="15" x14ac:dyDescent="0.25">
      <c r="A21" s="346">
        <f>ROW()</f>
        <v>21</v>
      </c>
      <c r="B21" s="106" t="s">
        <v>151</v>
      </c>
      <c r="C21" s="709">
        <f>MAX(F21:L21)</f>
        <v>122</v>
      </c>
      <c r="D21" s="476"/>
      <c r="E21" s="51"/>
      <c r="F21" s="1580">
        <f>Staff!G27</f>
        <v>122</v>
      </c>
      <c r="G21" s="1580">
        <f>Staff!H27</f>
        <v>122</v>
      </c>
      <c r="H21" s="1580">
        <f>Staff!I27</f>
        <v>122</v>
      </c>
      <c r="I21" s="1580">
        <f>Staff!J27</f>
        <v>122</v>
      </c>
      <c r="J21" s="1580">
        <f>Staff!K27</f>
        <v>122</v>
      </c>
      <c r="K21" s="1580">
        <f>Staff!L27</f>
        <v>122</v>
      </c>
      <c r="L21" s="1580">
        <f>Staff!M27</f>
        <v>122</v>
      </c>
    </row>
    <row r="22" spans="1:12" ht="15" x14ac:dyDescent="0.25">
      <c r="A22" s="346">
        <f>ROW()</f>
        <v>22</v>
      </c>
      <c r="B22" s="410" t="s">
        <v>247</v>
      </c>
      <c r="C22" s="707">
        <f>MAX(F22:L22)</f>
        <v>2442.02</v>
      </c>
      <c r="D22" s="475"/>
      <c r="E22" s="309"/>
      <c r="F22" s="351">
        <f t="shared" ref="F22:L22" si="5">SUM(F20:F21)</f>
        <v>122</v>
      </c>
      <c r="G22" s="351">
        <f t="shared" si="5"/>
        <v>2442.02</v>
      </c>
      <c r="H22" s="351">
        <f t="shared" si="5"/>
        <v>2442.02</v>
      </c>
      <c r="I22" s="351">
        <f t="shared" si="5"/>
        <v>2442.02</v>
      </c>
      <c r="J22" s="351">
        <f t="shared" si="5"/>
        <v>2442.02</v>
      </c>
      <c r="K22" s="351">
        <f t="shared" si="5"/>
        <v>2442.02</v>
      </c>
      <c r="L22" s="351">
        <f t="shared" si="5"/>
        <v>2442.02</v>
      </c>
    </row>
    <row r="23" spans="1:12" ht="15" x14ac:dyDescent="0.25">
      <c r="A23" s="346">
        <f>ROW()</f>
        <v>23</v>
      </c>
      <c r="B23" s="427" t="s">
        <v>248</v>
      </c>
      <c r="C23" s="707"/>
      <c r="D23" s="54"/>
      <c r="E23" s="51"/>
      <c r="F23" s="138"/>
      <c r="G23" s="138"/>
      <c r="H23" s="638">
        <f>IFERROR(+H20/G20-1,0)</f>
        <v>0</v>
      </c>
      <c r="I23" s="638">
        <f>IFERROR(+I20/H20-1,0)</f>
        <v>0</v>
      </c>
      <c r="J23" s="638">
        <f>IFERROR(+J20/I20-1,0)</f>
        <v>0</v>
      </c>
      <c r="K23" s="638">
        <f>IFERROR(+K20/J20-1,0)</f>
        <v>0</v>
      </c>
      <c r="L23" s="638">
        <f>IFERROR(+L20/K20-1,0)</f>
        <v>0</v>
      </c>
    </row>
    <row r="24" spans="1:12" ht="15" x14ac:dyDescent="0.25">
      <c r="A24" s="346">
        <f>ROW()</f>
        <v>24</v>
      </c>
      <c r="B24" s="411" t="s">
        <v>249</v>
      </c>
      <c r="C24" s="707">
        <f>MAX(F24:L24)</f>
        <v>27</v>
      </c>
      <c r="D24" s="476"/>
      <c r="E24" s="51"/>
      <c r="F24" s="138">
        <f>+Staff!G106</f>
        <v>27</v>
      </c>
      <c r="G24" s="138">
        <f>+Staff!H106</f>
        <v>27</v>
      </c>
      <c r="H24" s="138">
        <f>+Staff!I106</f>
        <v>27</v>
      </c>
      <c r="I24" s="138">
        <f>+Staff!J106</f>
        <v>27</v>
      </c>
      <c r="J24" s="138">
        <f>+Staff!K106</f>
        <v>27</v>
      </c>
      <c r="K24" s="138">
        <f>+Staff!L106</f>
        <v>27</v>
      </c>
      <c r="L24" s="138">
        <f>+Staff!M106</f>
        <v>27</v>
      </c>
    </row>
    <row r="25" spans="1:12" ht="15" x14ac:dyDescent="0.25">
      <c r="A25" s="346">
        <f>ROW()</f>
        <v>25</v>
      </c>
      <c r="B25" s="411" t="s">
        <v>250</v>
      </c>
      <c r="C25" s="707">
        <f>MAX(F25:L25)</f>
        <v>4</v>
      </c>
      <c r="D25" s="476"/>
      <c r="E25" s="51"/>
      <c r="F25" s="138">
        <f>+Staff!G120</f>
        <v>4</v>
      </c>
      <c r="G25" s="138">
        <f>+Staff!H120</f>
        <v>4</v>
      </c>
      <c r="H25" s="138">
        <f>+Staff!I120</f>
        <v>4</v>
      </c>
      <c r="I25" s="138">
        <f>+Staff!J120</f>
        <v>4</v>
      </c>
      <c r="J25" s="138">
        <f>+Staff!K120</f>
        <v>4</v>
      </c>
      <c r="K25" s="138">
        <f>+Staff!L120</f>
        <v>4</v>
      </c>
      <c r="L25" s="138">
        <f>+Staff!M120</f>
        <v>4</v>
      </c>
    </row>
    <row r="26" spans="1:12" ht="15" x14ac:dyDescent="0.25">
      <c r="A26" s="346">
        <f>ROW()</f>
        <v>26</v>
      </c>
      <c r="B26" s="411" t="s">
        <v>251</v>
      </c>
      <c r="C26" s="707">
        <f>MAX(F26:L26)</f>
        <v>51</v>
      </c>
      <c r="D26" s="476"/>
      <c r="E26" s="51"/>
      <c r="F26" s="138">
        <f>+Staff!G238</f>
        <v>51</v>
      </c>
      <c r="G26" s="138">
        <f>+Staff!H238</f>
        <v>51</v>
      </c>
      <c r="H26" s="138">
        <f>+Staff!I238</f>
        <v>51</v>
      </c>
      <c r="I26" s="138">
        <f>+Staff!J238</f>
        <v>51</v>
      </c>
      <c r="J26" s="138">
        <f>+Staff!K238</f>
        <v>51</v>
      </c>
      <c r="K26" s="138">
        <f>+Staff!L238</f>
        <v>51</v>
      </c>
      <c r="L26" s="138">
        <f>+Staff!M238</f>
        <v>51</v>
      </c>
    </row>
    <row r="27" spans="1:12" ht="15" x14ac:dyDescent="0.25">
      <c r="A27" s="346">
        <f>ROW()</f>
        <v>27</v>
      </c>
      <c r="B27" s="1191" t="s">
        <v>252</v>
      </c>
      <c r="C27" s="710">
        <f>MAX(G27:L27)</f>
        <v>82</v>
      </c>
      <c r="D27" s="475"/>
      <c r="E27" s="1192"/>
      <c r="F27" s="351">
        <f t="shared" ref="F27:L27" si="6">SUM(F24:F26)</f>
        <v>82</v>
      </c>
      <c r="G27" s="351">
        <f t="shared" si="6"/>
        <v>82</v>
      </c>
      <c r="H27" s="351">
        <f t="shared" si="6"/>
        <v>82</v>
      </c>
      <c r="I27" s="351">
        <f t="shared" si="6"/>
        <v>82</v>
      </c>
      <c r="J27" s="351">
        <f t="shared" si="6"/>
        <v>82</v>
      </c>
      <c r="K27" s="351">
        <f t="shared" si="6"/>
        <v>82</v>
      </c>
      <c r="L27" s="351">
        <f t="shared" si="6"/>
        <v>82</v>
      </c>
    </row>
    <row r="28" spans="1:12" ht="15" x14ac:dyDescent="0.25">
      <c r="A28" s="346">
        <f>ROW()</f>
        <v>28</v>
      </c>
      <c r="B28" s="426" t="s">
        <v>253</v>
      </c>
      <c r="C28" s="707">
        <f>MAX(G28:L28)</f>
        <v>28.292926829268293</v>
      </c>
      <c r="D28" s="475"/>
      <c r="E28" s="309"/>
      <c r="F28" s="634"/>
      <c r="G28" s="634">
        <f t="shared" ref="G28:L28" si="7">IFERROR(+G20/G27,0)</f>
        <v>28.292926829268293</v>
      </c>
      <c r="H28" s="634">
        <f t="shared" si="7"/>
        <v>28.292926829268293</v>
      </c>
      <c r="I28" s="634">
        <f t="shared" si="7"/>
        <v>28.292926829268293</v>
      </c>
      <c r="J28" s="634">
        <f t="shared" si="7"/>
        <v>28.292926829268293</v>
      </c>
      <c r="K28" s="634">
        <f t="shared" si="7"/>
        <v>28.292926829268293</v>
      </c>
      <c r="L28" s="634">
        <f t="shared" si="7"/>
        <v>28.292926829268293</v>
      </c>
    </row>
    <row r="29" spans="1:12" ht="15" x14ac:dyDescent="0.25">
      <c r="A29" s="346">
        <f>ROW()</f>
        <v>29</v>
      </c>
      <c r="B29" s="106" t="s">
        <v>254</v>
      </c>
      <c r="C29" s="707"/>
      <c r="D29" s="54"/>
      <c r="E29" s="51"/>
      <c r="F29" s="507"/>
      <c r="G29" s="507">
        <f>' Enrol &amp; Rev'!G21</f>
        <v>0</v>
      </c>
      <c r="H29" s="507">
        <f>' Enrol &amp; Rev'!H21</f>
        <v>0</v>
      </c>
      <c r="I29" s="507">
        <f>' Enrol &amp; Rev'!I21</f>
        <v>0</v>
      </c>
      <c r="J29" s="507">
        <f>' Enrol &amp; Rev'!J21</f>
        <v>0</v>
      </c>
      <c r="K29" s="507">
        <f>' Enrol &amp; Rev'!K21</f>
        <v>0</v>
      </c>
      <c r="L29" s="507">
        <f>' Enrol &amp; Rev'!L21</f>
        <v>0</v>
      </c>
    </row>
    <row r="30" spans="1:12" ht="15" x14ac:dyDescent="0.25">
      <c r="A30" s="346">
        <f>ROW()</f>
        <v>30</v>
      </c>
      <c r="B30" s="411" t="s">
        <v>255</v>
      </c>
      <c r="C30" s="707">
        <f t="shared" ref="C30:C35" si="8">MAX(G30:L30)</f>
        <v>9</v>
      </c>
      <c r="D30" s="476"/>
      <c r="E30" s="51"/>
      <c r="F30" s="138">
        <f>+Staff!G86</f>
        <v>9</v>
      </c>
      <c r="G30" s="138">
        <f>+Staff!H86</f>
        <v>9</v>
      </c>
      <c r="H30" s="138">
        <f>+Staff!I86</f>
        <v>9</v>
      </c>
      <c r="I30" s="138">
        <f>+Staff!J86</f>
        <v>9</v>
      </c>
      <c r="J30" s="138">
        <f>+Staff!K86</f>
        <v>9</v>
      </c>
      <c r="K30" s="138">
        <f>+Staff!L86</f>
        <v>9</v>
      </c>
      <c r="L30" s="138">
        <f>+Staff!M86</f>
        <v>9</v>
      </c>
    </row>
    <row r="31" spans="1:12" ht="15" x14ac:dyDescent="0.25">
      <c r="A31" s="346">
        <f>ROW()</f>
        <v>31</v>
      </c>
      <c r="B31" s="410" t="s">
        <v>256</v>
      </c>
      <c r="C31" s="708">
        <f t="shared" si="8"/>
        <v>257.77999999999997</v>
      </c>
      <c r="D31" s="475"/>
      <c r="E31" s="309"/>
      <c r="F31" s="351">
        <f>IFERROR(F20/F30,0)</f>
        <v>0</v>
      </c>
      <c r="G31" s="351">
        <f t="shared" ref="G31:L31" si="9">IFERROR(+G20/G30,0)</f>
        <v>257.77999999999997</v>
      </c>
      <c r="H31" s="351">
        <f t="shared" si="9"/>
        <v>257.77999999999997</v>
      </c>
      <c r="I31" s="351">
        <f t="shared" si="9"/>
        <v>257.77999999999997</v>
      </c>
      <c r="J31" s="351">
        <f t="shared" si="9"/>
        <v>257.77999999999997</v>
      </c>
      <c r="K31" s="351">
        <f t="shared" si="9"/>
        <v>257.77999999999997</v>
      </c>
      <c r="L31" s="351">
        <f t="shared" si="9"/>
        <v>257.77999999999997</v>
      </c>
    </row>
    <row r="32" spans="1:12" ht="15" x14ac:dyDescent="0.25">
      <c r="A32" s="346">
        <f>ROW()</f>
        <v>32</v>
      </c>
      <c r="B32" s="411" t="s">
        <v>257</v>
      </c>
      <c r="C32" s="707">
        <f t="shared" si="8"/>
        <v>9.1111111111111107</v>
      </c>
      <c r="D32" s="476"/>
      <c r="E32" s="51"/>
      <c r="F32" s="138">
        <f>IFERROR(F27/F30,0)</f>
        <v>9.1111111111111107</v>
      </c>
      <c r="G32" s="138">
        <f t="shared" ref="G32:L32" si="10">IFERROR(+G27/G30,0)</f>
        <v>9.1111111111111107</v>
      </c>
      <c r="H32" s="138">
        <f t="shared" si="10"/>
        <v>9.1111111111111107</v>
      </c>
      <c r="I32" s="138">
        <f t="shared" si="10"/>
        <v>9.1111111111111107</v>
      </c>
      <c r="J32" s="138">
        <f t="shared" si="10"/>
        <v>9.1111111111111107</v>
      </c>
      <c r="K32" s="138">
        <f t="shared" si="10"/>
        <v>9.1111111111111107</v>
      </c>
      <c r="L32" s="138">
        <f t="shared" si="10"/>
        <v>9.1111111111111107</v>
      </c>
    </row>
    <row r="33" spans="1:12" ht="15" x14ac:dyDescent="0.25">
      <c r="A33" s="346">
        <f>ROW()</f>
        <v>33</v>
      </c>
      <c r="B33" s="411" t="s">
        <v>258</v>
      </c>
      <c r="C33" s="709">
        <f t="shared" si="8"/>
        <v>30</v>
      </c>
      <c r="D33" s="476"/>
      <c r="E33" s="51"/>
      <c r="F33" s="138">
        <f>+Staff!G94</f>
        <v>30</v>
      </c>
      <c r="G33" s="138">
        <f>+Staff!H94</f>
        <v>30</v>
      </c>
      <c r="H33" s="138">
        <f>+Staff!I94</f>
        <v>30</v>
      </c>
      <c r="I33" s="138">
        <f>+Staff!J94</f>
        <v>30</v>
      </c>
      <c r="J33" s="138">
        <f>+Staff!K94</f>
        <v>30</v>
      </c>
      <c r="K33" s="138">
        <f>+Staff!L94</f>
        <v>30</v>
      </c>
      <c r="L33" s="138">
        <f>+Staff!M94</f>
        <v>30</v>
      </c>
    </row>
    <row r="34" spans="1:12" ht="15" x14ac:dyDescent="0.25">
      <c r="A34" s="346">
        <f>ROW()</f>
        <v>34</v>
      </c>
      <c r="B34" s="410" t="s">
        <v>259</v>
      </c>
      <c r="C34" s="707">
        <f t="shared" si="8"/>
        <v>77.334000000000003</v>
      </c>
      <c r="D34" s="475"/>
      <c r="E34" s="309"/>
      <c r="F34" s="351"/>
      <c r="G34" s="351">
        <f t="shared" ref="G34:L34" si="11">IFERROR(+G20/G33,0)</f>
        <v>77.334000000000003</v>
      </c>
      <c r="H34" s="351">
        <f t="shared" si="11"/>
        <v>77.334000000000003</v>
      </c>
      <c r="I34" s="351">
        <f t="shared" si="11"/>
        <v>77.334000000000003</v>
      </c>
      <c r="J34" s="351">
        <f t="shared" si="11"/>
        <v>77.334000000000003</v>
      </c>
      <c r="K34" s="351">
        <f t="shared" si="11"/>
        <v>77.334000000000003</v>
      </c>
      <c r="L34" s="351">
        <f t="shared" si="11"/>
        <v>77.334000000000003</v>
      </c>
    </row>
    <row r="35" spans="1:12" ht="15" x14ac:dyDescent="0.25">
      <c r="A35" s="346">
        <f>ROW()</f>
        <v>35</v>
      </c>
      <c r="B35" s="411" t="s">
        <v>260</v>
      </c>
      <c r="C35" s="707">
        <f t="shared" si="8"/>
        <v>2.7333333333333334</v>
      </c>
      <c r="D35" s="476"/>
      <c r="E35" s="51"/>
      <c r="F35" s="507"/>
      <c r="G35" s="138">
        <f t="shared" ref="G35:L35" si="12">IFERROR(+G27/G33,0)</f>
        <v>2.7333333333333334</v>
      </c>
      <c r="H35" s="138">
        <f t="shared" si="12"/>
        <v>2.7333333333333334</v>
      </c>
      <c r="I35" s="138">
        <f t="shared" si="12"/>
        <v>2.7333333333333334</v>
      </c>
      <c r="J35" s="138">
        <f t="shared" si="12"/>
        <v>2.7333333333333334</v>
      </c>
      <c r="K35" s="138">
        <f t="shared" si="12"/>
        <v>2.7333333333333334</v>
      </c>
      <c r="L35" s="138">
        <f t="shared" si="12"/>
        <v>2.7333333333333334</v>
      </c>
    </row>
    <row r="36" spans="1:12" ht="15" x14ac:dyDescent="0.25">
      <c r="A36" s="346">
        <f>ROW()</f>
        <v>36</v>
      </c>
      <c r="B36" s="411" t="s">
        <v>261</v>
      </c>
      <c r="C36" s="477">
        <f t="shared" ref="C36:C41" si="13">AVERAGE(G36:L36)</f>
        <v>165182.64000000001</v>
      </c>
      <c r="D36" s="477"/>
      <c r="E36" s="107"/>
      <c r="F36" s="130"/>
      <c r="G36" s="130">
        <f>IFERROR(+Staff!H249/G30,0)</f>
        <v>165182.64000000001</v>
      </c>
      <c r="H36" s="130">
        <f>IFERROR(+Staff!I249/H30,0)</f>
        <v>165182.64000000001</v>
      </c>
      <c r="I36" s="130">
        <f>IFERROR(+Staff!J249/I30,0)</f>
        <v>165182.64000000001</v>
      </c>
      <c r="J36" s="130">
        <f>IFERROR(+Staff!K249/J30,0)</f>
        <v>165182.64000000001</v>
      </c>
      <c r="K36" s="130">
        <f>IFERROR(+Staff!L249/K30,0)</f>
        <v>165182.64000000001</v>
      </c>
      <c r="L36" s="130">
        <f>IFERROR(+Staff!M249/L30,0)</f>
        <v>165182.64000000001</v>
      </c>
    </row>
    <row r="37" spans="1:12" ht="15" x14ac:dyDescent="0.25">
      <c r="A37" s="346">
        <f>ROW()</f>
        <v>37</v>
      </c>
      <c r="B37" s="411" t="s">
        <v>262</v>
      </c>
      <c r="C37" s="477">
        <f t="shared" si="13"/>
        <v>55764.263333333329</v>
      </c>
      <c r="D37" s="477"/>
      <c r="E37" s="51"/>
      <c r="F37" s="138"/>
      <c r="G37" s="138">
        <f>IFERROR(+Staff!H256/G33,0)</f>
        <v>55764.263333333329</v>
      </c>
      <c r="H37" s="138">
        <f>IFERROR(+Staff!I256/H33,0)</f>
        <v>55764.263333333329</v>
      </c>
      <c r="I37" s="138">
        <f>IFERROR(+Staff!J256/I33,0)</f>
        <v>55764.263333333329</v>
      </c>
      <c r="J37" s="138">
        <f>IFERROR(+Staff!K256/J33,0)</f>
        <v>55764.263333333329</v>
      </c>
      <c r="K37" s="138">
        <f>IFERROR(+Staff!L256/K33,0)</f>
        <v>55764.263333333329</v>
      </c>
      <c r="L37" s="138">
        <f>IFERROR(+Staff!M256/L33,0)</f>
        <v>55764.263333333329</v>
      </c>
    </row>
    <row r="38" spans="1:12" ht="15" x14ac:dyDescent="0.25">
      <c r="A38" s="346">
        <f>ROW()</f>
        <v>38</v>
      </c>
      <c r="B38" s="411" t="s">
        <v>263</v>
      </c>
      <c r="C38" s="477">
        <f t="shared" si="13"/>
        <v>69913.201851851845</v>
      </c>
      <c r="D38" s="477"/>
      <c r="E38" s="51"/>
      <c r="F38" s="138"/>
      <c r="G38" s="138">
        <f>IFERROR(+Staff!H271/G24,0)</f>
        <v>69913.201851851845</v>
      </c>
      <c r="H38" s="138">
        <f>IFERROR(+Staff!I271/H24,0)</f>
        <v>69913.201851851845</v>
      </c>
      <c r="I38" s="138">
        <f>IFERROR(+Staff!J271/I24,0)</f>
        <v>69913.201851851845</v>
      </c>
      <c r="J38" s="138">
        <f>IFERROR(+Staff!K271/J24,0)</f>
        <v>69913.201851851845</v>
      </c>
      <c r="K38" s="138">
        <f>IFERROR(+Staff!L271/K24,0)</f>
        <v>69913.201851851845</v>
      </c>
      <c r="L38" s="138">
        <f>IFERROR(+Staff!M271/L24,0)</f>
        <v>69913.201851851845</v>
      </c>
    </row>
    <row r="39" spans="1:12" ht="15" x14ac:dyDescent="0.25">
      <c r="A39" s="346">
        <f>ROW()</f>
        <v>39</v>
      </c>
      <c r="B39" s="411" t="s">
        <v>264</v>
      </c>
      <c r="C39" s="477">
        <f t="shared" si="13"/>
        <v>94819.75</v>
      </c>
      <c r="D39" s="477"/>
      <c r="E39" s="51"/>
      <c r="F39" s="138"/>
      <c r="G39" s="138">
        <f>IFERROR(Staff!H283/G25,0)</f>
        <v>94819.75</v>
      </c>
      <c r="H39" s="138">
        <f>IFERROR(Staff!I283/H25,0)</f>
        <v>94819.75</v>
      </c>
      <c r="I39" s="138">
        <f>IFERROR(Staff!J283/I25,0)</f>
        <v>94819.75</v>
      </c>
      <c r="J39" s="138">
        <f>IFERROR(Staff!K283/J25,0)</f>
        <v>94819.75</v>
      </c>
      <c r="K39" s="138">
        <f>IFERROR(Staff!L283/K25,0)</f>
        <v>94819.75</v>
      </c>
      <c r="L39" s="138">
        <f>IFERROR(Staff!M283/L25,0)</f>
        <v>94819.75</v>
      </c>
    </row>
    <row r="40" spans="1:12" ht="15" x14ac:dyDescent="0.25">
      <c r="A40" s="346">
        <f>ROW()</f>
        <v>40</v>
      </c>
      <c r="B40" s="411" t="s">
        <v>265</v>
      </c>
      <c r="C40" s="477">
        <f t="shared" si="13"/>
        <v>92154.460980392163</v>
      </c>
      <c r="D40" s="477"/>
      <c r="E40" s="51"/>
      <c r="F40" s="138"/>
      <c r="G40" s="138">
        <f>IFERROR(Staff!H394/G26,0)</f>
        <v>92154.460980392148</v>
      </c>
      <c r="H40" s="138">
        <f>IFERROR(Staff!I394/H26,0)</f>
        <v>92154.460980392148</v>
      </c>
      <c r="I40" s="138">
        <f>IFERROR(Staff!J394/I26,0)</f>
        <v>92154.460980392148</v>
      </c>
      <c r="J40" s="138">
        <f>IFERROR(Staff!K394/J26,0)</f>
        <v>92154.460980392148</v>
      </c>
      <c r="K40" s="138">
        <f>IFERROR(Staff!L394/K26,0)</f>
        <v>92154.460980392148</v>
      </c>
      <c r="L40" s="138">
        <f>IFERROR(Staff!M394/L26,0)</f>
        <v>92154.460980392148</v>
      </c>
    </row>
    <row r="41" spans="1:12" ht="15" x14ac:dyDescent="0.25">
      <c r="A41" s="346">
        <f>ROW()</f>
        <v>41</v>
      </c>
      <c r="B41" s="411" t="s">
        <v>266</v>
      </c>
      <c r="C41" s="477">
        <f t="shared" si="13"/>
        <v>99.025243902439016</v>
      </c>
      <c r="D41" s="477"/>
      <c r="E41" s="51"/>
      <c r="F41" s="138"/>
      <c r="G41" s="138">
        <f>IFERROR(+Summary!G18/G27,0)</f>
        <v>99.025243902439016</v>
      </c>
      <c r="H41" s="138">
        <f>IFERROR(+Summary!H18/H27,0)</f>
        <v>99.025243902439016</v>
      </c>
      <c r="I41" s="138">
        <f>IFERROR(+Summary!I18/I27,0)</f>
        <v>99.025243902439016</v>
      </c>
      <c r="J41" s="138">
        <f>IFERROR(+Summary!J18/J27,0)</f>
        <v>99.025243902439016</v>
      </c>
      <c r="K41" s="138">
        <f>IFERROR(+Summary!K18/K27,0)</f>
        <v>99.025243902439016</v>
      </c>
      <c r="L41" s="138">
        <f>IFERROR(+Summary!L18/L27,0)</f>
        <v>99.025243902439016</v>
      </c>
    </row>
    <row r="42" spans="1:12" ht="15" x14ac:dyDescent="0.25">
      <c r="A42" s="346">
        <f>ROW()</f>
        <v>42</v>
      </c>
      <c r="B42" s="411"/>
      <c r="C42" s="428"/>
      <c r="D42" s="428"/>
      <c r="E42" s="51"/>
      <c r="F42" s="138"/>
      <c r="G42" s="138"/>
      <c r="H42" s="138"/>
      <c r="I42" s="138"/>
      <c r="J42" s="138"/>
      <c r="K42" s="138"/>
      <c r="L42" s="138"/>
    </row>
    <row r="43" spans="1:12" ht="15" x14ac:dyDescent="0.25">
      <c r="A43" s="346">
        <f>ROW()</f>
        <v>43</v>
      </c>
      <c r="B43" s="411" t="s">
        <v>267</v>
      </c>
      <c r="C43" s="477">
        <f>AVERAGE(G43:L43)</f>
        <v>11632.300636081613</v>
      </c>
      <c r="D43" s="477"/>
      <c r="E43" s="429"/>
      <c r="F43" s="639"/>
      <c r="G43" s="639">
        <f>IFERROR(Summary!G35/G20,0)</f>
        <v>11632.475965276162</v>
      </c>
      <c r="H43" s="639">
        <f>IFERROR(Summary!H35/H20,0)</f>
        <v>11632.2655702427</v>
      </c>
      <c r="I43" s="639">
        <f>IFERROR(Summary!I35/I20,0)</f>
        <v>11632.2655702427</v>
      </c>
      <c r="J43" s="639">
        <f>IFERROR(Summary!J35/J20,0)</f>
        <v>11632.2655702427</v>
      </c>
      <c r="K43" s="639">
        <f>IFERROR(Summary!K35/K20,0)</f>
        <v>11632.2655702427</v>
      </c>
      <c r="L43" s="639">
        <f>IFERROR(Summary!L35/L20,0)</f>
        <v>11632.2655702427</v>
      </c>
    </row>
    <row r="44" spans="1:12" ht="15" x14ac:dyDescent="0.25">
      <c r="A44" s="346">
        <f>ROW()</f>
        <v>44</v>
      </c>
      <c r="B44" s="411" t="s">
        <v>268</v>
      </c>
      <c r="C44" s="477">
        <f>AVERAGE(G44:L44)</f>
        <v>11283.348108707236</v>
      </c>
      <c r="D44" s="477"/>
      <c r="E44" s="429"/>
      <c r="F44" s="100"/>
      <c r="G44" s="100">
        <f>IFERROR(Summary!G52/G20,0)</f>
        <v>11007.128770155934</v>
      </c>
      <c r="H44" s="100">
        <f>IFERROR(Summary!H52/H20,0)</f>
        <v>11112.981762047975</v>
      </c>
      <c r="I44" s="100">
        <f>IFERROR(Summary!I52/I20,0)</f>
        <v>11222.460449830347</v>
      </c>
      <c r="J44" s="100">
        <f>IFERROR(Summary!J52/J20,0)</f>
        <v>11335.21618035093</v>
      </c>
      <c r="K44" s="100">
        <f>IFERROR(Summary!K52/K20,0)</f>
        <v>11451.347118533966</v>
      </c>
      <c r="L44" s="100">
        <f>IFERROR(Summary!L52/L20,0)</f>
        <v>11570.954371324262</v>
      </c>
    </row>
    <row r="45" spans="1:12" ht="15" x14ac:dyDescent="0.25">
      <c r="A45" s="346">
        <f>ROW()</f>
        <v>45</v>
      </c>
      <c r="B45" s="1193" t="s">
        <v>269</v>
      </c>
      <c r="C45" s="478">
        <f>AVERAGE(G45:L45)</f>
        <v>348.95252737437477</v>
      </c>
      <c r="D45" s="478"/>
      <c r="E45" s="430"/>
      <c r="F45" s="1194"/>
      <c r="G45" s="1195">
        <f t="shared" ref="G45:L45" si="14">+G43-G44</f>
        <v>625.34719512022821</v>
      </c>
      <c r="H45" s="1195">
        <f t="shared" si="14"/>
        <v>519.28380819472477</v>
      </c>
      <c r="I45" s="1195">
        <f t="shared" si="14"/>
        <v>409.80512041235306</v>
      </c>
      <c r="J45" s="1195">
        <f t="shared" si="14"/>
        <v>297.04938989177026</v>
      </c>
      <c r="K45" s="1195">
        <f t="shared" si="14"/>
        <v>180.91845170873421</v>
      </c>
      <c r="L45" s="1194">
        <f t="shared" si="14"/>
        <v>61.311198918438095</v>
      </c>
    </row>
    <row r="46" spans="1:12" ht="15" x14ac:dyDescent="0.25">
      <c r="A46" s="346">
        <f>ROW()</f>
        <v>46</v>
      </c>
      <c r="B46" s="411" t="s">
        <v>270</v>
      </c>
      <c r="C46" s="707">
        <f>MAX(G46:L46)</f>
        <v>47424</v>
      </c>
      <c r="D46" s="476"/>
      <c r="E46" s="51"/>
      <c r="F46" s="100"/>
      <c r="G46" s="100">
        <f>Facilities!G93</f>
        <v>47424</v>
      </c>
      <c r="H46" s="100">
        <f>Facilities!H93</f>
        <v>47424</v>
      </c>
      <c r="I46" s="100">
        <f>Facilities!I93</f>
        <v>47424</v>
      </c>
      <c r="J46" s="100">
        <f>Facilities!J93</f>
        <v>47424</v>
      </c>
      <c r="K46" s="100">
        <f>Facilities!K93</f>
        <v>47424</v>
      </c>
      <c r="L46" s="100">
        <f>Facilities!L93</f>
        <v>47424</v>
      </c>
    </row>
    <row r="47" spans="1:12" ht="15" x14ac:dyDescent="0.25">
      <c r="A47" s="346">
        <f>ROW()</f>
        <v>47</v>
      </c>
      <c r="B47" s="411" t="s">
        <v>271</v>
      </c>
      <c r="C47" s="479">
        <f>MIN(G47:L47)</f>
        <v>20.441203093076783</v>
      </c>
      <c r="D47" s="479"/>
      <c r="E47" s="51"/>
      <c r="F47" s="100"/>
      <c r="G47" s="100">
        <f t="shared" ref="G47:L47" si="15">IFERROR(G46/G20,0)</f>
        <v>20.441203093076783</v>
      </c>
      <c r="H47" s="100">
        <f t="shared" si="15"/>
        <v>20.441203093076783</v>
      </c>
      <c r="I47" s="100">
        <f t="shared" si="15"/>
        <v>20.441203093076783</v>
      </c>
      <c r="J47" s="100">
        <f t="shared" si="15"/>
        <v>20.441203093076783</v>
      </c>
      <c r="K47" s="100">
        <f t="shared" si="15"/>
        <v>20.441203093076783</v>
      </c>
      <c r="L47" s="100">
        <f t="shared" si="15"/>
        <v>20.441203093076783</v>
      </c>
    </row>
    <row r="48" spans="1:12" ht="15" x14ac:dyDescent="0.25">
      <c r="A48" s="346">
        <f>ROW()</f>
        <v>48</v>
      </c>
      <c r="B48" s="411" t="s">
        <v>272</v>
      </c>
      <c r="C48" s="479">
        <f>MIN(G48:L48)</f>
        <v>19.419988370283619</v>
      </c>
      <c r="D48" s="479"/>
      <c r="E48" s="51"/>
      <c r="F48" s="100"/>
      <c r="G48" s="100">
        <f t="shared" ref="G48:L48" si="16">IFERROR(+G46/G22,0)</f>
        <v>19.419988370283619</v>
      </c>
      <c r="H48" s="100">
        <f t="shared" si="16"/>
        <v>19.419988370283619</v>
      </c>
      <c r="I48" s="100">
        <f t="shared" si="16"/>
        <v>19.419988370283619</v>
      </c>
      <c r="J48" s="100">
        <f t="shared" si="16"/>
        <v>19.419988370283619</v>
      </c>
      <c r="K48" s="100">
        <f t="shared" si="16"/>
        <v>19.419988370283619</v>
      </c>
      <c r="L48" s="100">
        <f t="shared" si="16"/>
        <v>19.419988370283619</v>
      </c>
    </row>
    <row r="49" spans="1:12" ht="15" x14ac:dyDescent="0.25">
      <c r="A49" s="346">
        <f>ROW()</f>
        <v>49</v>
      </c>
      <c r="B49" s="411" t="s">
        <v>273</v>
      </c>
      <c r="C49" s="477">
        <f>AVERAGE(G49:L49)</f>
        <v>0</v>
      </c>
      <c r="D49" s="479"/>
      <c r="E49" s="51"/>
      <c r="F49" s="100"/>
      <c r="G49" s="100">
        <f>+Summary!G28/Summary!G9</f>
        <v>0</v>
      </c>
      <c r="H49" s="100">
        <f>+Summary!H28/Summary!H9</f>
        <v>0</v>
      </c>
      <c r="I49" s="100">
        <f>+Summary!I28/Summary!I9</f>
        <v>0</v>
      </c>
      <c r="J49" s="100">
        <f>+Summary!J28/Summary!J9</f>
        <v>0</v>
      </c>
      <c r="K49" s="100">
        <f>+Summary!K28/Summary!K9</f>
        <v>0</v>
      </c>
      <c r="L49" s="100">
        <f>+Summary!L28/Summary!L9</f>
        <v>0</v>
      </c>
    </row>
    <row r="50" spans="1:12" ht="15" x14ac:dyDescent="0.25">
      <c r="A50" s="346">
        <f>ROW()</f>
        <v>50</v>
      </c>
      <c r="B50" s="33"/>
      <c r="C50" s="33"/>
      <c r="D50" s="33"/>
      <c r="E50" s="33"/>
      <c r="F50" s="503"/>
      <c r="G50" s="503"/>
      <c r="H50" s="503"/>
      <c r="I50" s="503"/>
      <c r="J50" s="503"/>
      <c r="K50" s="503"/>
      <c r="L50" s="503"/>
    </row>
    <row r="51" spans="1:12" ht="18" x14ac:dyDescent="0.25">
      <c r="A51" s="346">
        <f>ROW()</f>
        <v>51</v>
      </c>
      <c r="B51" s="950" t="s">
        <v>274</v>
      </c>
      <c r="C51" s="951"/>
      <c r="D51" s="951"/>
      <c r="E51" s="951"/>
      <c r="F51" s="952">
        <f>Summary!F$6</f>
        <v>0</v>
      </c>
      <c r="G51" s="952">
        <f>Summary!G$6</f>
        <v>1</v>
      </c>
      <c r="H51" s="952">
        <f>Summary!H$6</f>
        <v>2</v>
      </c>
      <c r="I51" s="952">
        <f>Summary!I$6</f>
        <v>3</v>
      </c>
      <c r="J51" s="952">
        <f>Summary!J$6</f>
        <v>4</v>
      </c>
      <c r="K51" s="952">
        <f>Summary!K$6</f>
        <v>5</v>
      </c>
      <c r="L51" s="952">
        <f>Summary!L$6</f>
        <v>6</v>
      </c>
    </row>
    <row r="52" spans="1:12" ht="15" x14ac:dyDescent="0.25">
      <c r="A52" s="346">
        <f>ROW()</f>
        <v>52</v>
      </c>
      <c r="B52" s="1196" t="s">
        <v>275</v>
      </c>
      <c r="C52" s="953"/>
      <c r="D52" s="953"/>
      <c r="E52" s="953"/>
      <c r="F52" s="1197"/>
      <c r="G52" s="1197"/>
      <c r="H52" s="1197"/>
      <c r="I52" s="1197"/>
      <c r="J52" s="1197"/>
      <c r="K52" s="1197"/>
      <c r="L52" s="1197"/>
    </row>
    <row r="53" spans="1:12" ht="15" x14ac:dyDescent="0.25">
      <c r="A53" s="346">
        <f>ROW()</f>
        <v>53</v>
      </c>
      <c r="B53" s="33" t="str">
        <f>+Summary!B15</f>
        <v>State &amp; Local Revenue w/o St SpEd</v>
      </c>
      <c r="C53" s="413">
        <f>IFERROR(Summary!C15/Summary!C$35,)</f>
        <v>0.80681846863889251</v>
      </c>
      <c r="D53" s="413"/>
      <c r="E53" s="413"/>
      <c r="F53" s="640">
        <f>IF(Summary!F15&gt;0,Summary!F15/Summary!F$35,0)</f>
        <v>0</v>
      </c>
      <c r="G53" s="640">
        <f>IF(Summary!G15&gt;0,Summary!G15/Summary!G$35,0)</f>
        <v>0.82493090326709684</v>
      </c>
      <c r="H53" s="640">
        <f>IF(Summary!H15&gt;0,Summary!H15/Summary!H$35,0)</f>
        <v>0.8249501424616964</v>
      </c>
      <c r="I53" s="640">
        <f>IF(Summary!I15&gt;0,Summary!I15/Summary!I$35,0)</f>
        <v>0.8249501424616964</v>
      </c>
      <c r="J53" s="640">
        <f>IF(Summary!J15&gt;0,Summary!J15/Summary!J$35,0)</f>
        <v>0.8249501424616964</v>
      </c>
      <c r="K53" s="640">
        <f>IF(Summary!K15&gt;0,Summary!K15/Summary!K$35,0)</f>
        <v>0.8249501424616964</v>
      </c>
      <c r="L53" s="640">
        <f>IF(Summary!L15&gt;0,Summary!L15/Summary!L$35,0)</f>
        <v>0.8249501424616964</v>
      </c>
    </row>
    <row r="54" spans="1:12" ht="15" x14ac:dyDescent="0.25">
      <c r="A54" s="346">
        <f>ROW()</f>
        <v>54</v>
      </c>
      <c r="B54" s="33" t="str">
        <f>+Summary!B16</f>
        <v>CS Sponsorship Fee (Infl' Adj'd)</v>
      </c>
      <c r="C54" s="994">
        <f>IFERROR(Summary!C16/Summary!C$35,0)</f>
        <v>-9.1864955563985776E-3</v>
      </c>
      <c r="D54" s="413"/>
      <c r="E54" s="413"/>
      <c r="F54" s="640">
        <f>IF(Summary!F16&gt;0,Summary!F16/Summary!F$35,0)</f>
        <v>0</v>
      </c>
      <c r="G54" s="640">
        <f>IF(Summary!G16&gt;0,Summary!G16/Summary!G$35,0)</f>
        <v>0</v>
      </c>
      <c r="H54" s="640">
        <f>IF(Summary!H16&gt;0,Summary!H16/Summary!H$35,0)</f>
        <v>0</v>
      </c>
      <c r="I54" s="640">
        <f>IF(Summary!I16&gt;0,Summary!I16/Summary!I$35,0)</f>
        <v>0</v>
      </c>
      <c r="J54" s="640">
        <f>IF(Summary!J16&gt;0,Summary!J16/Summary!J$35,0)</f>
        <v>0</v>
      </c>
      <c r="K54" s="640">
        <f>IF(Summary!K16&gt;0,Summary!K16/Summary!K$35,0)</f>
        <v>0</v>
      </c>
      <c r="L54" s="640">
        <f>IF(Summary!L16&gt;0,Summary!L16/Summary!L$35,0)</f>
        <v>0</v>
      </c>
    </row>
    <row r="55" spans="1:12" ht="15" x14ac:dyDescent="0.25">
      <c r="A55" s="346">
        <f>ROW()</f>
        <v>55</v>
      </c>
      <c r="B55" s="33" t="str">
        <f>+Summary!B17</f>
        <v>Title I</v>
      </c>
      <c r="C55" s="413">
        <f>IFERROR(Summary!C17/Summary!C$35,)</f>
        <v>0</v>
      </c>
      <c r="D55" s="413"/>
      <c r="E55" s="413"/>
      <c r="F55" s="640">
        <f>IF(Summary!F17&gt;0,Summary!F17/Summary!F$35,0)</f>
        <v>0</v>
      </c>
      <c r="G55" s="640">
        <f>IF(Summary!G17&gt;0,Summary!G17/Summary!G$35,0)</f>
        <v>0</v>
      </c>
      <c r="H55" s="640">
        <f>IF(Summary!H17&gt;0,Summary!H17/Summary!H$35,0)</f>
        <v>0</v>
      </c>
      <c r="I55" s="640">
        <f>IF(Summary!I17&gt;0,Summary!I17/Summary!I$35,0)</f>
        <v>0</v>
      </c>
      <c r="J55" s="640">
        <f>IF(Summary!J17&gt;0,Summary!J17/Summary!J$35,0)</f>
        <v>0</v>
      </c>
      <c r="K55" s="640">
        <f>IF(Summary!K17&gt;0,Summary!K17/Summary!K$35,0)</f>
        <v>0</v>
      </c>
      <c r="L55" s="640">
        <f>IF(Summary!L17&gt;0,Summary!L17/Summary!L$35,0)</f>
        <v>0</v>
      </c>
    </row>
    <row r="56" spans="1:12" ht="15" x14ac:dyDescent="0.25">
      <c r="A56" s="346">
        <f>ROW()</f>
        <v>56</v>
      </c>
      <c r="B56" s="33" t="str">
        <f>+Summary!B18</f>
        <v>Title IIA</v>
      </c>
      <c r="C56" s="413">
        <f>IFERROR(Summary!C18/Summary!C$35,)</f>
        <v>2.9699277161115284E-4</v>
      </c>
      <c r="D56" s="413"/>
      <c r="E56" s="413"/>
      <c r="F56" s="640">
        <f>IF(Summary!F18&gt;0,Summary!F18/Summary!F$35,0)</f>
        <v>0</v>
      </c>
      <c r="G56" s="640">
        <f>IF(Summary!G18&gt;0,Summary!G18/Summary!G$35,0)</f>
        <v>3.0088177361790988E-4</v>
      </c>
      <c r="H56" s="640">
        <f>IF(Summary!H18&gt;0,Summary!H18/Summary!H$35,0)</f>
        <v>3.0088721572464708E-4</v>
      </c>
      <c r="I56" s="640">
        <f>IF(Summary!I18&gt;0,Summary!I18/Summary!I$35,0)</f>
        <v>3.0088721572464708E-4</v>
      </c>
      <c r="J56" s="640">
        <f>IF(Summary!J18&gt;0,Summary!J18/Summary!J$35,0)</f>
        <v>3.0088721572464708E-4</v>
      </c>
      <c r="K56" s="640">
        <f>IF(Summary!K18&gt;0,Summary!K18/Summary!K$35,0)</f>
        <v>3.0088721572464708E-4</v>
      </c>
      <c r="L56" s="640">
        <f>IF(Summary!L18&gt;0,Summary!L18/Summary!L$35,0)</f>
        <v>3.0088721572464708E-4</v>
      </c>
    </row>
    <row r="57" spans="1:12" ht="15" x14ac:dyDescent="0.25">
      <c r="A57" s="346">
        <f>ROW()</f>
        <v>57</v>
      </c>
      <c r="B57" s="33" t="str">
        <f>+Summary!B19</f>
        <v>Title III</v>
      </c>
      <c r="C57" s="413">
        <f>IFERROR(Summary!C19/Summary!C$35,)</f>
        <v>0</v>
      </c>
      <c r="D57" s="413"/>
      <c r="E57" s="413"/>
      <c r="F57" s="640">
        <f>IF(Summary!F19&gt;0,Summary!F19/Summary!F$35,0)</f>
        <v>0</v>
      </c>
      <c r="G57" s="640">
        <f>IF(Summary!G19&gt;0,Summary!G19/Summary!G$35,0)</f>
        <v>0</v>
      </c>
      <c r="H57" s="640">
        <f>IF(Summary!H19&gt;0,Summary!H19/Summary!H$35,0)</f>
        <v>0</v>
      </c>
      <c r="I57" s="640">
        <f>IF(Summary!I19&gt;0,Summary!I19/Summary!I$35,0)</f>
        <v>0</v>
      </c>
      <c r="J57" s="640">
        <f>IF(Summary!J19&gt;0,Summary!J19/Summary!J$35,0)</f>
        <v>0</v>
      </c>
      <c r="K57" s="640">
        <f>IF(Summary!K19&gt;0,Summary!K19/Summary!K$35,0)</f>
        <v>0</v>
      </c>
      <c r="L57" s="640">
        <f>IF(Summary!L19&gt;0,Summary!L19/Summary!L$35,0)</f>
        <v>0</v>
      </c>
    </row>
    <row r="58" spans="1:12" ht="15" x14ac:dyDescent="0.25">
      <c r="A58" s="346">
        <f>ROW()</f>
        <v>58</v>
      </c>
      <c r="B58" s="33" t="str">
        <f>+Summary!B20</f>
        <v>Title IV</v>
      </c>
      <c r="C58" s="413">
        <f>IFERROR(Summary!C20/Summary!C$35,)</f>
        <v>0</v>
      </c>
      <c r="D58" s="413"/>
      <c r="E58" s="413"/>
      <c r="F58" s="640">
        <f>IF(Summary!F20&gt;0,Summary!F20/Summary!F$35,0)</f>
        <v>0</v>
      </c>
      <c r="G58" s="640">
        <f>IF(Summary!G20&gt;0,Summary!G20/Summary!G$35,0)</f>
        <v>0</v>
      </c>
      <c r="H58" s="640">
        <f>IF(Summary!H20&gt;0,Summary!H20/Summary!H$35,0)</f>
        <v>0</v>
      </c>
      <c r="I58" s="640">
        <f>IF(Summary!I20&gt;0,Summary!I20/Summary!I$35,0)</f>
        <v>0</v>
      </c>
      <c r="J58" s="640">
        <f>IF(Summary!J20&gt;0,Summary!J20/Summary!J$35,0)</f>
        <v>0</v>
      </c>
      <c r="K58" s="640">
        <f>IF(Summary!K20&gt;0,Summary!K20/Summary!K$35,0)</f>
        <v>0</v>
      </c>
      <c r="L58" s="640">
        <f>IF(Summary!L20&gt;0,Summary!L20/Summary!L$35,0)</f>
        <v>0</v>
      </c>
    </row>
    <row r="59" spans="1:12" ht="15" x14ac:dyDescent="0.25">
      <c r="A59" s="346">
        <f>ROW()</f>
        <v>59</v>
      </c>
      <c r="B59" s="33" t="str">
        <f>+Summary!B21</f>
        <v>Federal Breakfast Program</v>
      </c>
      <c r="C59" s="413">
        <f>IFERROR(Summary!C21/Summary!C$35,)</f>
        <v>0</v>
      </c>
      <c r="D59" s="413"/>
      <c r="E59" s="413"/>
      <c r="F59" s="640">
        <f>IF(Summary!F21&gt;0,Summary!F21/Summary!F$35,0)</f>
        <v>0</v>
      </c>
      <c r="G59" s="640">
        <f>IF(Summary!G21&gt;0,Summary!G21/Summary!G$35,0)</f>
        <v>0</v>
      </c>
      <c r="H59" s="640">
        <f>IF(Summary!H21&gt;0,Summary!H21/Summary!H$35,0)</f>
        <v>0</v>
      </c>
      <c r="I59" s="640">
        <f>IF(Summary!I21&gt;0,Summary!I21/Summary!I$35,0)</f>
        <v>0</v>
      </c>
      <c r="J59" s="640">
        <f>IF(Summary!J21&gt;0,Summary!J21/Summary!J$35,0)</f>
        <v>0</v>
      </c>
      <c r="K59" s="640">
        <f>IF(Summary!K21&gt;0,Summary!K21/Summary!K$35,0)</f>
        <v>0</v>
      </c>
      <c r="L59" s="640">
        <f>IF(Summary!L21&gt;0,Summary!L21/Summary!L$35,0)</f>
        <v>0</v>
      </c>
    </row>
    <row r="60" spans="1:12" ht="15" x14ac:dyDescent="0.25">
      <c r="A60" s="346">
        <f>ROW()</f>
        <v>60</v>
      </c>
      <c r="B60" s="33" t="str">
        <f>+Summary!B22</f>
        <v>Federal Lunch Program</v>
      </c>
      <c r="C60" s="413">
        <f>IFERROR(Summary!C22/Summary!C$35,)</f>
        <v>0</v>
      </c>
      <c r="D60" s="413"/>
      <c r="E60" s="413"/>
      <c r="F60" s="640">
        <f>IF(Summary!F22&gt;0,Summary!F22/Summary!F$35,0)</f>
        <v>0</v>
      </c>
      <c r="G60" s="640">
        <f>IF(Summary!G22&gt;0,Summary!G22/Summary!G$35,0)</f>
        <v>0</v>
      </c>
      <c r="H60" s="640">
        <f>IF(Summary!H22&gt;0,Summary!H22/Summary!H$35,0)</f>
        <v>0</v>
      </c>
      <c r="I60" s="640">
        <f>IF(Summary!I22&gt;0,Summary!I22/Summary!I$35,0)</f>
        <v>0</v>
      </c>
      <c r="J60" s="640">
        <f>IF(Summary!J22&gt;0,Summary!J22/Summary!J$35,0)</f>
        <v>0</v>
      </c>
      <c r="K60" s="640">
        <f>IF(Summary!K22&gt;0,Summary!K22/Summary!K$35,0)</f>
        <v>0</v>
      </c>
      <c r="L60" s="640">
        <f>IF(Summary!L22&gt;0,Summary!L22/Summary!L$35,0)</f>
        <v>0</v>
      </c>
    </row>
    <row r="61" spans="1:12" ht="15" x14ac:dyDescent="0.25">
      <c r="A61" s="346">
        <f>ROW()</f>
        <v>61</v>
      </c>
      <c r="B61" s="33" t="str">
        <f>+Summary!B23</f>
        <v>IDEA</v>
      </c>
      <c r="C61" s="413">
        <f>IFERROR(Summary!C23/Summary!C$35,)</f>
        <v>1.461280805896715E-2</v>
      </c>
      <c r="D61" s="413"/>
      <c r="E61" s="413"/>
      <c r="F61" s="640">
        <f>IF(Summary!F23&gt;0,Summary!F23/Summary!F$35,0)</f>
        <v>0</v>
      </c>
      <c r="G61" s="640">
        <f>IF(Summary!G23&gt;0,Summary!G23/Summary!G$35,0)</f>
        <v>1.4804156957990472E-2</v>
      </c>
      <c r="H61" s="640">
        <f>IF(Summary!H23&gt;0,Summary!H23/Summary!H$35,0)</f>
        <v>1.4804424723635931E-2</v>
      </c>
      <c r="I61" s="640">
        <f>IF(Summary!I23&gt;0,Summary!I23/Summary!I$35,0)</f>
        <v>1.4804424723635931E-2</v>
      </c>
      <c r="J61" s="640">
        <f>IF(Summary!J23&gt;0,Summary!J23/Summary!J$35,0)</f>
        <v>1.4804424723635931E-2</v>
      </c>
      <c r="K61" s="640">
        <f>IF(Summary!K23&gt;0,Summary!K23/Summary!K$35,0)</f>
        <v>1.4804424723635931E-2</v>
      </c>
      <c r="L61" s="640">
        <f>IF(Summary!L23&gt;0,Summary!L23/Summary!L$35,0)</f>
        <v>1.4804424723635931E-2</v>
      </c>
    </row>
    <row r="62" spans="1:12" ht="15" x14ac:dyDescent="0.25">
      <c r="A62" s="346">
        <f>ROW()</f>
        <v>62</v>
      </c>
      <c r="B62" s="33" t="str">
        <f>+Summary!B24</f>
        <v>State Special Education Funding</v>
      </c>
      <c r="C62" s="413">
        <f>IFERROR(Summary!C24/Summary!C$35,)</f>
        <v>4.4702370903910403E-2</v>
      </c>
      <c r="D62" s="413"/>
      <c r="E62" s="413"/>
      <c r="F62" s="640">
        <f>IF(Summary!F24&gt;0,Summary!F24/Summary!F$35,0)</f>
        <v>0</v>
      </c>
      <c r="G62" s="640">
        <f>IF(Summary!G24&gt;0,Summary!G24/Summary!G$35,0)</f>
        <v>4.5306401720718495E-2</v>
      </c>
      <c r="H62" s="640">
        <f>IF(Summary!H24&gt;0,Summary!H24/Summary!H$35,0)</f>
        <v>4.528481548319821E-2</v>
      </c>
      <c r="I62" s="640">
        <f>IF(Summary!I24&gt;0,Summary!I24/Summary!I$35,0)</f>
        <v>4.528481548319821E-2</v>
      </c>
      <c r="J62" s="640">
        <f>IF(Summary!J24&gt;0,Summary!J24/Summary!J$35,0)</f>
        <v>4.528481548319821E-2</v>
      </c>
      <c r="K62" s="640">
        <f>IF(Summary!K24&gt;0,Summary!K24/Summary!K$35,0)</f>
        <v>4.528481548319821E-2</v>
      </c>
      <c r="L62" s="640">
        <f>IF(Summary!L24&gt;0,Summary!L24/Summary!L$35,0)</f>
        <v>4.528481548319821E-2</v>
      </c>
    </row>
    <row r="63" spans="1:12" ht="15" x14ac:dyDescent="0.25">
      <c r="A63" s="346">
        <f>ROW()</f>
        <v>63</v>
      </c>
      <c r="B63" s="33" t="str">
        <f>+Summary!B25</f>
        <v>"Replication &amp; Expansion" start-up funds</v>
      </c>
      <c r="C63" s="413">
        <f>IFERROR(Summary!C25/Summary!C$35,)</f>
        <v>0</v>
      </c>
      <c r="D63" s="413"/>
      <c r="E63" s="413"/>
      <c r="F63" s="640">
        <f>IF(Summary!F25&gt;0,Summary!F25/Summary!F$35,0)</f>
        <v>0</v>
      </c>
      <c r="G63" s="640">
        <f>IF(Summary!G25&gt;0,Summary!G25/Summary!G$35,0)</f>
        <v>0</v>
      </c>
      <c r="H63" s="640">
        <f>IF(Summary!H25&gt;0,Summary!H25/Summary!H$35,0)</f>
        <v>0</v>
      </c>
      <c r="I63" s="640">
        <f>IF(Summary!I25&gt;0,Summary!I25/Summary!I$35,0)</f>
        <v>0</v>
      </c>
      <c r="J63" s="640">
        <f>IF(Summary!J25&gt;0,Summary!J25/Summary!J$35,0)</f>
        <v>0</v>
      </c>
      <c r="K63" s="640">
        <f>IF(Summary!K25&gt;0,Summary!K25/Summary!K$35,0)</f>
        <v>0</v>
      </c>
      <c r="L63" s="640">
        <f>IF(Summary!L25&gt;0,Summary!L25/Summary!L$35,0)</f>
        <v>0</v>
      </c>
    </row>
    <row r="64" spans="1:12" ht="15" x14ac:dyDescent="0.25">
      <c r="A64" s="346">
        <f>ROW()</f>
        <v>64</v>
      </c>
      <c r="B64" s="33" t="str">
        <f>+Summary!B26</f>
        <v>Charter School Program (CSP) Grant (w/letter)</v>
      </c>
      <c r="C64" s="413">
        <f>IFERROR(Summary!C26/Summary!C$35,)</f>
        <v>0</v>
      </c>
      <c r="D64" s="413"/>
      <c r="E64" s="413"/>
      <c r="F64" s="640">
        <f>IF(Summary!F26&gt;0,Summary!F26/Summary!F$35,0)</f>
        <v>0</v>
      </c>
      <c r="G64" s="640">
        <f>IF(Summary!G26&gt;0,Summary!G26/Summary!G$35,0)</f>
        <v>0</v>
      </c>
      <c r="H64" s="640">
        <f>IF(Summary!H26&gt;0,Summary!H26/Summary!H$35,0)</f>
        <v>0</v>
      </c>
      <c r="I64" s="640">
        <f>IF(Summary!I26&gt;0,Summary!I26/Summary!I$35,0)</f>
        <v>0</v>
      </c>
      <c r="J64" s="640">
        <f>IF(Summary!J26&gt;0,Summary!J26/Summary!J$35,0)</f>
        <v>0</v>
      </c>
      <c r="K64" s="640">
        <f>IF(Summary!K26&gt;0,Summary!K26/Summary!K$35,0)</f>
        <v>0</v>
      </c>
      <c r="L64" s="640">
        <f>IF(Summary!L26&gt;0,Summary!L26/Summary!L$35,0)</f>
        <v>0</v>
      </c>
    </row>
    <row r="65" spans="1:12" ht="15" x14ac:dyDescent="0.25">
      <c r="A65" s="346">
        <f>ROW()</f>
        <v>65</v>
      </c>
      <c r="B65" s="33" t="str">
        <f>+Summary!B27</f>
        <v>Other start-up funds (incl' SEA grants)</v>
      </c>
      <c r="C65" s="413">
        <f>IFERROR(Summary!C27/Summary!C$35,)</f>
        <v>0</v>
      </c>
      <c r="D65" s="413"/>
      <c r="E65" s="413"/>
      <c r="F65" s="640">
        <f>IF(Summary!F27&gt;0,Summary!F27/Summary!F$35,0)</f>
        <v>0</v>
      </c>
      <c r="G65" s="640">
        <f>IF(Summary!G27&gt;0,Summary!G27/Summary!G$35,0)</f>
        <v>0</v>
      </c>
      <c r="H65" s="640">
        <f>IF(Summary!H27&gt;0,Summary!H27/Summary!H$35,0)</f>
        <v>0</v>
      </c>
      <c r="I65" s="640">
        <f>IF(Summary!I27&gt;0,Summary!I27/Summary!I$35,0)</f>
        <v>0</v>
      </c>
      <c r="J65" s="640">
        <f>IF(Summary!J27&gt;0,Summary!J27/Summary!J$35,0)</f>
        <v>0</v>
      </c>
      <c r="K65" s="640">
        <f>IF(Summary!K27&gt;0,Summary!K27/Summary!K$35,0)</f>
        <v>0</v>
      </c>
      <c r="L65" s="640">
        <f>IF(Summary!L27&gt;0,Summary!L27/Summary!L$35,0)</f>
        <v>0</v>
      </c>
    </row>
    <row r="66" spans="1:12" ht="15" x14ac:dyDescent="0.25">
      <c r="A66" s="346">
        <f>ROW()</f>
        <v>66</v>
      </c>
      <c r="B66" s="33" t="str">
        <f>+Summary!B28</f>
        <v>Student fees (Net)</v>
      </c>
      <c r="C66" s="413">
        <f>IFERROR(Summary!C28/Summary!C$35,)</f>
        <v>0</v>
      </c>
      <c r="D66" s="413"/>
      <c r="E66" s="413"/>
      <c r="F66" s="640">
        <f>IF(Summary!F28&gt;0,Summary!F28/Summary!F$35,0)</f>
        <v>0</v>
      </c>
      <c r="G66" s="640">
        <f>IF(Summary!G28&gt;0,Summary!G28/Summary!G$35,0)</f>
        <v>0</v>
      </c>
      <c r="H66" s="640">
        <f>IF(Summary!H28&gt;0,Summary!H28/Summary!H$35,0)</f>
        <v>0</v>
      </c>
      <c r="I66" s="640">
        <f>IF(Summary!I28&gt;0,Summary!I28/Summary!I$35,0)</f>
        <v>0</v>
      </c>
      <c r="J66" s="640">
        <f>IF(Summary!J28&gt;0,Summary!J28/Summary!J$35,0)</f>
        <v>0</v>
      </c>
      <c r="K66" s="640">
        <f>IF(Summary!K28&gt;0,Summary!K28/Summary!K$35,0)</f>
        <v>0</v>
      </c>
      <c r="L66" s="640">
        <f>IF(Summary!L28&gt;0,Summary!L28/Summary!L$35,0)</f>
        <v>0</v>
      </c>
    </row>
    <row r="67" spans="1:12" ht="15" x14ac:dyDescent="0.25">
      <c r="A67" s="346">
        <f>ROW()</f>
        <v>67</v>
      </c>
      <c r="B67" s="33" t="str">
        <f>+Summary!B29</f>
        <v>Food Services</v>
      </c>
      <c r="C67" s="413">
        <f>IFERROR(Summary!C29/Summary!C$35,)</f>
        <v>9.4132242275814168E-2</v>
      </c>
      <c r="D67" s="413"/>
      <c r="E67" s="413"/>
      <c r="F67" s="640">
        <f>IF(Summary!F29&gt;0,Summary!F29/Summary!F$35,0)</f>
        <v>1.0391984134087686</v>
      </c>
      <c r="G67" s="640">
        <f>IF(Summary!G29&gt;0,Summary!G29/Summary!G$35,0)</f>
        <v>8.1741314126738962E-2</v>
      </c>
      <c r="H67" s="640">
        <f>IF(Summary!H29&gt;0,Summary!H29/Summary!H$35,0)</f>
        <v>8.1742792597671129E-2</v>
      </c>
      <c r="I67" s="640">
        <f>IF(Summary!I29&gt;0,Summary!I29/Summary!I$35,0)</f>
        <v>8.1742792597671129E-2</v>
      </c>
      <c r="J67" s="640">
        <f>IF(Summary!J29&gt;0,Summary!J29/Summary!J$35,0)</f>
        <v>8.1742792597671129E-2</v>
      </c>
      <c r="K67" s="640">
        <f>IF(Summary!K29&gt;0,Summary!K29/Summary!K$35,0)</f>
        <v>8.1742792597671129E-2</v>
      </c>
      <c r="L67" s="640">
        <f>IF(Summary!L29&gt;0,Summary!L29/Summary!L$35,0)</f>
        <v>8.1742792597671129E-2</v>
      </c>
    </row>
    <row r="68" spans="1:12" ht="15" x14ac:dyDescent="0.25">
      <c r="A68" s="346">
        <f>ROW()</f>
        <v>68</v>
      </c>
      <c r="B68" s="33" t="str">
        <f>+Summary!B30</f>
        <v>Transportation</v>
      </c>
      <c r="C68" s="413">
        <f>IFERROR(Summary!C30/Summary!C$35,)</f>
        <v>3.865993268444589E-2</v>
      </c>
      <c r="D68" s="413"/>
      <c r="E68" s="413"/>
      <c r="F68" s="640">
        <f>IF(Summary!F30&gt;0,Summary!F30/Summary!F$35,0)</f>
        <v>0.42679680985872365</v>
      </c>
      <c r="G68" s="640">
        <f>IF(Summary!G30&gt;0,Summary!G30/Summary!G$35,0)</f>
        <v>3.3571002084689709E-2</v>
      </c>
      <c r="H68" s="640">
        <f>IF(Summary!H30&gt;0,Summary!H30/Summary!H$35,0)</f>
        <v>3.3571609289886693E-2</v>
      </c>
      <c r="I68" s="640">
        <f>IF(Summary!I30&gt;0,Summary!I30/Summary!I$35,0)</f>
        <v>3.3571609289886693E-2</v>
      </c>
      <c r="J68" s="640">
        <f>IF(Summary!J30&gt;0,Summary!J30/Summary!J$35,0)</f>
        <v>3.3571609289886693E-2</v>
      </c>
      <c r="K68" s="640">
        <f>IF(Summary!K30&gt;0,Summary!K30/Summary!K$35,0)</f>
        <v>3.3571609289886693E-2</v>
      </c>
      <c r="L68" s="640">
        <f>IF(Summary!L30&gt;0,Summary!L30/Summary!L$35,0)</f>
        <v>3.3571609289886693E-2</v>
      </c>
    </row>
    <row r="69" spans="1:12" ht="15" x14ac:dyDescent="0.25">
      <c r="A69" s="346">
        <f>ROW()</f>
        <v>69</v>
      </c>
      <c r="B69" s="33" t="str">
        <f>+Summary!B31</f>
        <v>Investment Income</v>
      </c>
      <c r="C69" s="413">
        <f>IFERROR(Summary!C31/Summary!C$35,)</f>
        <v>9.963680222757303E-3</v>
      </c>
      <c r="D69" s="413"/>
      <c r="E69" s="413"/>
      <c r="F69" s="640">
        <f>IF(Summary!F31&gt;0,Summary!F31/Summary!F$35,0)</f>
        <v>0.10999674956071961</v>
      </c>
      <c r="G69" s="640">
        <f>IF(Summary!G31&gt;0,Summary!G31/Summary!G$35,0)</f>
        <v>8.6521291244757697E-3</v>
      </c>
      <c r="H69" s="640">
        <f>IF(Summary!H31&gt;0,Summary!H31/Summary!H$35,0)</f>
        <v>8.6522856172058984E-3</v>
      </c>
      <c r="I69" s="640">
        <f>IF(Summary!I31&gt;0,Summary!I31/Summary!I$35,0)</f>
        <v>8.6522856172058984E-3</v>
      </c>
      <c r="J69" s="640">
        <f>IF(Summary!J31&gt;0,Summary!J31/Summary!J$35,0)</f>
        <v>8.6522856172058984E-3</v>
      </c>
      <c r="K69" s="640">
        <f>IF(Summary!K31&gt;0,Summary!K31/Summary!K$35,0)</f>
        <v>8.6522856172058984E-3</v>
      </c>
      <c r="L69" s="640">
        <f>IF(Summary!L31&gt;0,Summary!L31/Summary!L$35,0)</f>
        <v>8.6522856172058984E-3</v>
      </c>
    </row>
    <row r="70" spans="1:12" ht="15" x14ac:dyDescent="0.25">
      <c r="A70" s="346">
        <f>ROW()</f>
        <v>70</v>
      </c>
      <c r="B70" s="33" t="str">
        <f>+Summary!B32</f>
        <v>School level fundraising</v>
      </c>
      <c r="C70" s="413">
        <f>IFERROR(Summary!C32/Summary!C$35,)</f>
        <v>0</v>
      </c>
      <c r="D70" s="413"/>
      <c r="E70" s="413"/>
      <c r="F70" s="640">
        <f>IF(Summary!F32&gt;0,Summary!F32/Summary!F$35,0)</f>
        <v>0</v>
      </c>
      <c r="G70" s="640">
        <f>IF(Summary!G32&gt;0,Summary!G32/Summary!G$35,0)</f>
        <v>0</v>
      </c>
      <c r="H70" s="640">
        <f>IF(Summary!H32&gt;0,Summary!H32/Summary!H$35,0)</f>
        <v>0</v>
      </c>
      <c r="I70" s="640">
        <f>IF(Summary!I32&gt;0,Summary!I32/Summary!I$35,0)</f>
        <v>0</v>
      </c>
      <c r="J70" s="640">
        <f>IF(Summary!J32&gt;0,Summary!J32/Summary!J$35,0)</f>
        <v>0</v>
      </c>
      <c r="K70" s="640">
        <f>IF(Summary!K32&gt;0,Summary!K32/Summary!K$35,0)</f>
        <v>0</v>
      </c>
      <c r="L70" s="640">
        <f>IF(Summary!L32&gt;0,Summary!L32/Summary!L$35,0)</f>
        <v>0</v>
      </c>
    </row>
    <row r="71" spans="1:12" ht="15" x14ac:dyDescent="0.25">
      <c r="A71" s="346">
        <f>ROW()</f>
        <v>71</v>
      </c>
      <c r="B71" s="33" t="str">
        <f>+Summary!B33</f>
        <v>Private fundraising (foundations, corporate)</v>
      </c>
      <c r="C71" s="413">
        <f>IFERROR(Summary!C33/Summary!C$35,)</f>
        <v>0</v>
      </c>
      <c r="D71" s="413"/>
      <c r="E71" s="413"/>
      <c r="F71" s="640">
        <f>IF(Summary!F33&gt;0,Summary!F33/Summary!F$35,0)</f>
        <v>0</v>
      </c>
      <c r="G71" s="640">
        <f>IF(Summary!G33&gt;0,Summary!G33/Summary!G$35,0)</f>
        <v>0</v>
      </c>
      <c r="H71" s="640">
        <f>IF(Summary!H33&gt;0,Summary!H33/Summary!H$35,0)</f>
        <v>0</v>
      </c>
      <c r="I71" s="640">
        <f>IF(Summary!I33&gt;0,Summary!I33/Summary!I$35,0)</f>
        <v>0</v>
      </c>
      <c r="J71" s="640">
        <f>IF(Summary!J33&gt;0,Summary!J33/Summary!J$35,0)</f>
        <v>0</v>
      </c>
      <c r="K71" s="640">
        <f>IF(Summary!K33&gt;0,Summary!K33/Summary!K$35,0)</f>
        <v>0</v>
      </c>
      <c r="L71" s="640">
        <f>IF(Summary!L33&gt;0,Summary!L33/Summary!L$35,0)</f>
        <v>0</v>
      </c>
    </row>
    <row r="72" spans="1:12" ht="15" x14ac:dyDescent="0.25">
      <c r="A72" s="346">
        <f>ROW()</f>
        <v>72</v>
      </c>
      <c r="B72" s="33" t="str">
        <f>+Summary!B34</f>
        <v>Private fundraising (individuals)</v>
      </c>
      <c r="C72" s="413">
        <f>IFERROR(Summary!C34/Summary!C$35,)</f>
        <v>0</v>
      </c>
      <c r="D72" s="413"/>
      <c r="E72" s="413"/>
      <c r="F72" s="640">
        <f>IF(Summary!F34&gt;0,Summary!F34/Summary!F$35,0)</f>
        <v>0</v>
      </c>
      <c r="G72" s="640">
        <f>IF(Summary!G34&gt;0,Summary!G34/Summary!G$35,0)</f>
        <v>0</v>
      </c>
      <c r="H72" s="640">
        <f>IF(Summary!H34&gt;0,Summary!H34/Summary!H$35,0)</f>
        <v>0</v>
      </c>
      <c r="I72" s="640">
        <f>IF(Summary!I34&gt;0,Summary!I34/Summary!I$35,0)</f>
        <v>0</v>
      </c>
      <c r="J72" s="640">
        <f>IF(Summary!J34&gt;0,Summary!J34/Summary!J$35,0)</f>
        <v>0</v>
      </c>
      <c r="K72" s="640">
        <f>IF(Summary!K34&gt;0,Summary!K34/Summary!K$35,0)</f>
        <v>0</v>
      </c>
      <c r="L72" s="640">
        <f>IF(Summary!L34&gt;0,Summary!L34/Summary!L$35,0)</f>
        <v>0</v>
      </c>
    </row>
    <row r="73" spans="1:12" ht="15" x14ac:dyDescent="0.25">
      <c r="A73" s="346">
        <f>ROW()</f>
        <v>73</v>
      </c>
      <c r="B73" s="844" t="s">
        <v>180</v>
      </c>
      <c r="C73" s="677">
        <f>IFERROR(Summary!C35/Summary!C$35,0)</f>
        <v>1</v>
      </c>
      <c r="D73" s="677"/>
      <c r="E73" s="677"/>
      <c r="F73" s="1198">
        <f>IF(Summary!F35&gt;0,Summary!F35/Summary!F$35,0)</f>
        <v>1</v>
      </c>
      <c r="G73" s="1198">
        <f>IF(Summary!G35&gt;0,Summary!G35/Summary!G$35,0)</f>
        <v>1</v>
      </c>
      <c r="H73" s="1198">
        <f>IF(Summary!H35&gt;0,Summary!H35/Summary!H$35,0)</f>
        <v>1</v>
      </c>
      <c r="I73" s="1198">
        <f>IF(Summary!I35&gt;0,Summary!I35/Summary!I$35,0)</f>
        <v>1</v>
      </c>
      <c r="J73" s="1198">
        <f>IF(Summary!J35&gt;0,Summary!J35/Summary!J$35,0)</f>
        <v>1</v>
      </c>
      <c r="K73" s="1198">
        <f>IF(Summary!K35&gt;0,Summary!K35/Summary!K$35,0)</f>
        <v>1</v>
      </c>
      <c r="L73" s="1198">
        <f>IF(Summary!L35&gt;0,Summary!L35/Summary!L$35,0)</f>
        <v>1</v>
      </c>
    </row>
    <row r="74" spans="1:12" ht="15" x14ac:dyDescent="0.25">
      <c r="A74" s="346">
        <f>ROW()</f>
        <v>74</v>
      </c>
      <c r="B74" s="33"/>
      <c r="C74" s="58"/>
      <c r="D74" s="58"/>
      <c r="E74" s="58"/>
      <c r="F74" s="508"/>
      <c r="G74" s="508"/>
      <c r="H74" s="508"/>
      <c r="I74" s="508"/>
      <c r="J74" s="508"/>
      <c r="K74" s="508"/>
      <c r="L74" s="508"/>
    </row>
    <row r="75" spans="1:12" ht="15.75" x14ac:dyDescent="0.25">
      <c r="A75" s="346">
        <f>ROW()</f>
        <v>75</v>
      </c>
      <c r="B75" s="954" t="s">
        <v>187</v>
      </c>
      <c r="C75" s="955"/>
      <c r="D75" s="955"/>
      <c r="E75" s="955"/>
      <c r="F75" s="1637">
        <f>Summary!F$6</f>
        <v>0</v>
      </c>
      <c r="G75" s="1637">
        <f>Summary!G$6</f>
        <v>1</v>
      </c>
      <c r="H75" s="1637">
        <f>Summary!H$6</f>
        <v>2</v>
      </c>
      <c r="I75" s="1637">
        <f>Summary!I$6</f>
        <v>3</v>
      </c>
      <c r="J75" s="1637">
        <f>Summary!J$6</f>
        <v>4</v>
      </c>
      <c r="K75" s="1637">
        <f>Summary!K$6</f>
        <v>5</v>
      </c>
      <c r="L75" s="1637">
        <f>Summary!L$6</f>
        <v>6</v>
      </c>
    </row>
    <row r="76" spans="1:12" ht="15" x14ac:dyDescent="0.25">
      <c r="A76" s="346">
        <f>ROW()</f>
        <v>76</v>
      </c>
      <c r="B76" s="31" t="s">
        <v>188</v>
      </c>
      <c r="C76" s="414">
        <f>IFERROR(Summary!C44/Summary!C$35,0)</f>
        <v>0.70321284223957692</v>
      </c>
      <c r="D76" s="414"/>
      <c r="E76" s="414"/>
      <c r="F76" s="658">
        <f>IFERROR(Summary!F44/Summary!F$35,0)</f>
        <v>7.7633088543966524</v>
      </c>
      <c r="G76" s="658">
        <f>IFERROR(Summary!G44/Summary!G$35,0)</f>
        <v>0.61064668646729114</v>
      </c>
      <c r="H76" s="658">
        <f>IFERROR(Summary!H44/Summary!H$35,0)</f>
        <v>0.61065773135182</v>
      </c>
      <c r="I76" s="658">
        <f>IFERROR(Summary!I44/Summary!I$35,0)</f>
        <v>0.61065773135182</v>
      </c>
      <c r="J76" s="658">
        <f>IFERROR(Summary!J44/Summary!J$35,0)</f>
        <v>0.61065773135182</v>
      </c>
      <c r="K76" s="658">
        <f>IFERROR(Summary!K44/Summary!K$35,0)</f>
        <v>0.61065773135182</v>
      </c>
      <c r="L76" s="658">
        <f>IFERROR(Summary!L44/Summary!L$35,0)</f>
        <v>0.61065773135182</v>
      </c>
    </row>
    <row r="77" spans="1:12" ht="15" x14ac:dyDescent="0.25">
      <c r="A77" s="346">
        <f>ROW()</f>
        <v>77</v>
      </c>
      <c r="B77" s="31" t="s">
        <v>122</v>
      </c>
      <c r="C77" s="414">
        <f>IFERROR(Summary!C45/Summary!C$35,0)</f>
        <v>6.8313590159784748E-2</v>
      </c>
      <c r="D77" s="414"/>
      <c r="E77" s="414"/>
      <c r="F77" s="658">
        <f>IFERROR(Summary!F45/Summary!F$35,0)</f>
        <v>0.53817099194927442</v>
      </c>
      <c r="G77" s="658">
        <f>IFERROR(Summary!G45/Summary!G$35,0)</f>
        <v>5.8848136108495298E-2</v>
      </c>
      <c r="H77" s="658">
        <f>IFERROR(Summary!H45/Summary!H$35,0)</f>
        <v>6.0119167796539537E-2</v>
      </c>
      <c r="I77" s="658">
        <f>IFERROR(Summary!I45/Summary!I$35,0)</f>
        <v>6.1427234105696199E-2</v>
      </c>
      <c r="J77" s="658">
        <f>IFERROR(Summary!J45/Summary!J$35,0)</f>
        <v>6.2774542404127567E-2</v>
      </c>
      <c r="K77" s="658">
        <f>IFERROR(Summary!K45/Summary!K$35,0)</f>
        <v>6.4162269951511877E-2</v>
      </c>
      <c r="L77" s="658">
        <f>IFERROR(Summary!L45/Summary!L$35,0)</f>
        <v>6.5591629325317716E-2</v>
      </c>
    </row>
    <row r="78" spans="1:12" ht="15" x14ac:dyDescent="0.25">
      <c r="A78" s="346">
        <f>ROW()</f>
        <v>78</v>
      </c>
      <c r="B78" s="31" t="s">
        <v>189</v>
      </c>
      <c r="C78" s="414">
        <f>IFERROR(Summary!C46/Summary!C$35,0)</f>
        <v>0.31173071117457479</v>
      </c>
      <c r="D78" s="414"/>
      <c r="E78" s="414"/>
      <c r="F78" s="658">
        <f>IFERROR(Summary!F46/Summary!F$35,0)</f>
        <v>2.6912338567404217</v>
      </c>
      <c r="G78" s="658">
        <f>IFERROR(Summary!G46/Summary!G$35,0)</f>
        <v>0.2602490796862037</v>
      </c>
      <c r="H78" s="658">
        <f>IFERROR(Summary!H46/Summary!H$35,0)</f>
        <v>0.26802208907635183</v>
      </c>
      <c r="I78" s="658">
        <f>IFERROR(Summary!I46/Summary!I$35,0)</f>
        <v>0.27606275174864242</v>
      </c>
      <c r="J78" s="658">
        <f>IFERROR(Summary!J46/Summary!J$35,0)</f>
        <v>0.28434463430110168</v>
      </c>
      <c r="K78" s="658">
        <f>IFERROR(Summary!K46/Summary!K$35,0)</f>
        <v>0.29287497333013474</v>
      </c>
      <c r="L78" s="658">
        <f>IFERROR(Summary!L46/Summary!L$35,0)</f>
        <v>0.3016612225300388</v>
      </c>
    </row>
    <row r="79" spans="1:12" ht="15" x14ac:dyDescent="0.25">
      <c r="A79" s="346">
        <f>ROW()</f>
        <v>79</v>
      </c>
      <c r="B79" s="31" t="s">
        <v>276</v>
      </c>
      <c r="C79" s="414">
        <f>IFERROR(Summary!C47/Summary!C$35,0)</f>
        <v>0</v>
      </c>
      <c r="D79" s="414"/>
      <c r="E79" s="414"/>
      <c r="F79" s="658">
        <f>IFERROR(Summary!F47/Summary!F$35,0)</f>
        <v>0</v>
      </c>
      <c r="G79" s="658">
        <f>IFERROR(Summary!G47/Summary!G$35,0)</f>
        <v>0</v>
      </c>
      <c r="H79" s="658">
        <f>IFERROR(Summary!H47/Summary!H$35,0)</f>
        <v>0</v>
      </c>
      <c r="I79" s="658">
        <f>IFERROR(Summary!I47/Summary!I$35,0)</f>
        <v>0</v>
      </c>
      <c r="J79" s="658">
        <f>IFERROR(Summary!J47/Summary!J$35,0)</f>
        <v>0</v>
      </c>
      <c r="K79" s="658">
        <f>IFERROR(Summary!K47/Summary!K$35,0)</f>
        <v>0</v>
      </c>
      <c r="L79" s="658">
        <f>IFERROR(Summary!L47/Summary!L$35,0)</f>
        <v>0</v>
      </c>
    </row>
    <row r="80" spans="1:12" ht="15" x14ac:dyDescent="0.25">
      <c r="A80" s="346">
        <f>ROW()</f>
        <v>80</v>
      </c>
      <c r="B80" s="33" t="s">
        <v>130</v>
      </c>
      <c r="C80" s="414">
        <f>IFERROR(Summary!C48/Summary!C$35,0)</f>
        <v>1.0113028748580217E-2</v>
      </c>
      <c r="D80" s="413"/>
      <c r="E80" s="413"/>
      <c r="F80" s="640">
        <f>IFERROR(Summary!F48/Summary!F$35,0)</f>
        <v>0.11164552310873897</v>
      </c>
      <c r="G80" s="640">
        <f>IFERROR(Summary!G48/Summary!G$35,0)</f>
        <v>8.7818184261274409E-3</v>
      </c>
      <c r="H80" s="640">
        <f>IFERROR(Summary!H48/Summary!H$35,0)</f>
        <v>8.7819772645730092E-3</v>
      </c>
      <c r="I80" s="640">
        <f>IFERROR(Summary!I48/Summary!I$35,0)</f>
        <v>8.7819772645730092E-3</v>
      </c>
      <c r="J80" s="640">
        <f>IFERROR(Summary!J48/Summary!J$35,0)</f>
        <v>8.7819772645730092E-3</v>
      </c>
      <c r="K80" s="640">
        <f>IFERROR(Summary!K48/Summary!K$35,0)</f>
        <v>8.7819772645730092E-3</v>
      </c>
      <c r="L80" s="640">
        <f>IFERROR(Summary!L48/Summary!L$35,0)</f>
        <v>8.7819772645730092E-3</v>
      </c>
    </row>
    <row r="81" spans="1:12" ht="15" x14ac:dyDescent="0.25">
      <c r="A81" s="346">
        <f>ROW()</f>
        <v>81</v>
      </c>
      <c r="B81" s="33" t="s">
        <v>191</v>
      </c>
      <c r="C81" s="414">
        <f>IFERROR(Summary!C49/Summary!C$35,0)</f>
        <v>5.3338759222469499E-3</v>
      </c>
      <c r="D81" s="413"/>
      <c r="E81" s="413"/>
      <c r="F81" s="640">
        <f>IFERROR(Summary!F49/Summary!F$35,0)</f>
        <v>5.8884769572119709E-2</v>
      </c>
      <c r="G81" s="640">
        <f>IFERROR(Summary!G49/Summary!G$35,0)</f>
        <v>4.631760773273967E-3</v>
      </c>
      <c r="H81" s="640">
        <f>IFERROR(Summary!H49/Summary!H$35,0)</f>
        <v>4.6318445488254274E-3</v>
      </c>
      <c r="I81" s="640">
        <f>IFERROR(Summary!I49/Summary!I$35,0)</f>
        <v>4.6318445488254274E-3</v>
      </c>
      <c r="J81" s="640">
        <f>IFERROR(Summary!J49/Summary!J$35,0)</f>
        <v>4.6318445488254274E-3</v>
      </c>
      <c r="K81" s="640">
        <f>IFERROR(Summary!K49/Summary!K$35,0)</f>
        <v>4.6318445488254274E-3</v>
      </c>
      <c r="L81" s="640">
        <f>IFERROR(Summary!L49/Summary!L$35,0)</f>
        <v>4.6318445488254274E-3</v>
      </c>
    </row>
    <row r="82" spans="1:12" ht="15" x14ac:dyDescent="0.25">
      <c r="A82" s="346">
        <f>ROW()</f>
        <v>82</v>
      </c>
      <c r="B82" s="33" t="s">
        <v>174</v>
      </c>
      <c r="C82" s="414">
        <f>IFERROR(Summary!C50/Summary!C$35,0)</f>
        <v>0</v>
      </c>
      <c r="D82" s="413"/>
      <c r="E82" s="413"/>
      <c r="F82" s="640">
        <f>IFERROR(Summary!F50/Summary!F$35,0)</f>
        <v>0</v>
      </c>
      <c r="G82" s="640">
        <f>IFERROR(Summary!G50/Summary!G$35,0)</f>
        <v>0</v>
      </c>
      <c r="H82" s="640">
        <f>IFERROR(Summary!H50/Summary!H$35,0)</f>
        <v>0</v>
      </c>
      <c r="I82" s="640">
        <f>IFERROR(Summary!I50/Summary!I$35,0)</f>
        <v>0</v>
      </c>
      <c r="J82" s="640">
        <f>IFERROR(Summary!J50/Summary!J$35,0)</f>
        <v>0</v>
      </c>
      <c r="K82" s="640">
        <f>IFERROR(Summary!K50/Summary!K$35,0)</f>
        <v>0</v>
      </c>
      <c r="L82" s="640">
        <f>IFERROR(Summary!L50/Summary!L$35,0)</f>
        <v>0</v>
      </c>
    </row>
    <row r="83" spans="1:12" ht="15" x14ac:dyDescent="0.25">
      <c r="A83" s="346">
        <f>ROW()</f>
        <v>83</v>
      </c>
      <c r="B83" s="33" t="s">
        <v>128</v>
      </c>
      <c r="C83" s="414">
        <f>IFERROR(Summary!C51/Summary!C$35,0)</f>
        <v>3.2063363727504626E-3</v>
      </c>
      <c r="D83" s="413"/>
      <c r="E83" s="413"/>
      <c r="F83" s="640">
        <f>IFERROR(Summary!F51/Summary!F$35,0)</f>
        <v>4.7107815657695766E-4</v>
      </c>
      <c r="G83" s="640">
        <f>IFERROR(Summary!G51/Summary!G$35,0)</f>
        <v>3.0837833401058307E-3</v>
      </c>
      <c r="H83" s="640">
        <f>IFERROR(Summary!H51/Summary!H$35,0)</f>
        <v>3.1455158994323673E-3</v>
      </c>
      <c r="I83" s="640">
        <f>IFERROR(Summary!I51/Summary!I$35,0)</f>
        <v>3.2084262174210147E-3</v>
      </c>
      <c r="J83" s="640">
        <f>IFERROR(Summary!J51/Summary!J$35,0)</f>
        <v>3.2725947417694347E-3</v>
      </c>
      <c r="K83" s="640">
        <f>IFERROR(Summary!K51/Summary!K$35,0)</f>
        <v>3.3380466366048239E-3</v>
      </c>
      <c r="L83" s="640">
        <f>IFERROR(Summary!L51/Summary!L$35,0)</f>
        <v>3.4048075693369206E-3</v>
      </c>
    </row>
    <row r="84" spans="1:12" ht="15" x14ac:dyDescent="0.25">
      <c r="A84" s="346">
        <f>ROW()</f>
        <v>84</v>
      </c>
      <c r="B84" s="33" t="s">
        <v>277</v>
      </c>
      <c r="C84" s="414">
        <f>IFERROR(Summary!#REF!/Summary!C$35,0)</f>
        <v>0</v>
      </c>
      <c r="D84" s="413"/>
      <c r="E84" s="413"/>
      <c r="F84" s="640">
        <f>IFERROR(Summary!#REF!/Summary!F$35,0)</f>
        <v>0</v>
      </c>
      <c r="G84" s="640">
        <f>IFERROR(Summary!#REF!/Summary!G$35,0)</f>
        <v>0</v>
      </c>
      <c r="H84" s="640">
        <f>IFERROR(Summary!#REF!/Summary!H$35,0)</f>
        <v>0</v>
      </c>
      <c r="I84" s="640">
        <f>IFERROR(Summary!#REF!/Summary!I$35,0)</f>
        <v>0</v>
      </c>
      <c r="J84" s="640">
        <f>IFERROR(Summary!#REF!/Summary!J$35,0)</f>
        <v>0</v>
      </c>
      <c r="K84" s="640">
        <f>IFERROR(Summary!#REF!/Summary!K$35,0)</f>
        <v>0</v>
      </c>
      <c r="L84" s="640">
        <f>IFERROR(Summary!#REF!/Summary!L$35,0)</f>
        <v>0</v>
      </c>
    </row>
    <row r="85" spans="1:12" ht="15.75" thickBot="1" x14ac:dyDescent="0.3">
      <c r="A85" s="346">
        <f>ROW()</f>
        <v>85</v>
      </c>
      <c r="B85" s="1369" t="s">
        <v>192</v>
      </c>
      <c r="C85" s="677">
        <f>IFERROR(Summary!C52/Summary!C$35,0)</f>
        <v>1.1019103846175142</v>
      </c>
      <c r="D85" s="677"/>
      <c r="E85" s="677"/>
      <c r="F85" s="1198">
        <f>IFERROR(Summary!F52/Summary!F$35,0)</f>
        <v>11.163715073923782</v>
      </c>
      <c r="G85" s="1198">
        <f>IFERROR(Summary!G52/Summary!G$35,0)</f>
        <v>0.94624126480149739</v>
      </c>
      <c r="H85" s="1198">
        <f>IFERROR(Summary!H52/Summary!H$35,0)</f>
        <v>0.95535832593754222</v>
      </c>
      <c r="I85" s="1198">
        <f>IFERROR(Summary!I52/Summary!I$35,0)</f>
        <v>0.96476996523697811</v>
      </c>
      <c r="J85" s="1198">
        <f>IFERROR(Summary!J52/Summary!J$35,0)</f>
        <v>0.97446332461221719</v>
      </c>
      <c r="K85" s="1198">
        <f>IFERROR(Summary!K52/Summary!K$35,0)</f>
        <v>0.98444684308346997</v>
      </c>
      <c r="L85" s="1198">
        <f>IFERROR(Summary!L52/Summary!L$35,0)</f>
        <v>0.99472921258991187</v>
      </c>
    </row>
    <row r="86" spans="1:12" ht="15.75" thickBot="1" x14ac:dyDescent="0.3">
      <c r="A86" s="346">
        <f>ROW()</f>
        <v>86</v>
      </c>
      <c r="B86" s="416" t="s">
        <v>278</v>
      </c>
      <c r="C86" s="417">
        <f>IFERROR(Summary!C55/Summary!C$35,0)</f>
        <v>-0.10191038461751417</v>
      </c>
      <c r="D86" s="417"/>
      <c r="E86" s="417"/>
      <c r="F86" s="641">
        <f>IFERROR(Summary!F55/Summary!F$35,0)</f>
        <v>-10.163715073923782</v>
      </c>
      <c r="G86" s="641">
        <f>IFERROR(Summary!G55/Summary!G$35,0)</f>
        <v>5.3758735198502598E-2</v>
      </c>
      <c r="H86" s="641">
        <f>IFERROR(Summary!H55/Summary!H$35,0)</f>
        <v>4.4641674062457767E-2</v>
      </c>
      <c r="I86" s="641">
        <f>IFERROR(Summary!I55/Summary!I$35,0)</f>
        <v>3.5230034763021875E-2</v>
      </c>
      <c r="J86" s="641">
        <f>IFERROR(Summary!J55/Summary!J$35,0)</f>
        <v>2.5536675387782821E-2</v>
      </c>
      <c r="K86" s="641">
        <f>IFERROR(Summary!K55/Summary!K$35,0)</f>
        <v>1.5553156916529998E-2</v>
      </c>
      <c r="L86" s="641">
        <f>IFERROR(Summary!L55/Summary!L$35,0)</f>
        <v>5.2707874100881126E-3</v>
      </c>
    </row>
    <row r="87" spans="1:12" ht="15" x14ac:dyDescent="0.25">
      <c r="A87" s="346">
        <f>ROW()</f>
        <v>87</v>
      </c>
      <c r="B87" s="183" t="s">
        <v>196</v>
      </c>
      <c r="C87" s="704"/>
      <c r="D87" s="704"/>
      <c r="E87" s="704"/>
      <c r="F87" s="134">
        <f>+Summary!F56</f>
        <v>0</v>
      </c>
      <c r="G87" s="134">
        <f>+Summary!G56</f>
        <v>625.34719512022707</v>
      </c>
      <c r="H87" s="134">
        <f>+Summary!H56</f>
        <v>519.28380819472397</v>
      </c>
      <c r="I87" s="134">
        <f>+Summary!I56</f>
        <v>409.80512041235284</v>
      </c>
      <c r="J87" s="134">
        <f>+Summary!J56</f>
        <v>297.04938989177026</v>
      </c>
      <c r="K87" s="134">
        <f>+Summary!K56</f>
        <v>180.91845170873398</v>
      </c>
      <c r="L87" s="134">
        <f>+Summary!L56</f>
        <v>61.311198918436638</v>
      </c>
    </row>
    <row r="88" spans="1:12" ht="15" x14ac:dyDescent="0.25">
      <c r="A88" s="346">
        <f>ROW()</f>
        <v>88</v>
      </c>
      <c r="B88" s="33"/>
      <c r="C88" s="55"/>
      <c r="D88" s="55"/>
      <c r="E88" s="55"/>
      <c r="F88" s="130"/>
      <c r="G88" s="130"/>
      <c r="H88" s="130"/>
      <c r="I88" s="130"/>
      <c r="J88" s="130"/>
      <c r="K88" s="130"/>
      <c r="L88" s="130"/>
    </row>
    <row r="89" spans="1:12" ht="15" x14ac:dyDescent="0.25">
      <c r="A89" s="346">
        <f>ROW()</f>
        <v>89</v>
      </c>
      <c r="B89" s="33" t="s">
        <v>279</v>
      </c>
      <c r="C89" s="107">
        <f>+C17</f>
        <v>0</v>
      </c>
      <c r="D89" s="107"/>
      <c r="E89" s="107"/>
      <c r="F89" s="130">
        <f t="shared" ref="F89:L89" si="17">+F17</f>
        <v>-21575432.721774668</v>
      </c>
      <c r="G89" s="130">
        <f t="shared" si="17"/>
        <v>-20124614.722151838</v>
      </c>
      <c r="H89" s="130">
        <f t="shared" si="17"/>
        <v>-18919865.901463915</v>
      </c>
      <c r="I89" s="130">
        <f t="shared" si="17"/>
        <v>-17969109.826004848</v>
      </c>
      <c r="J89" s="130">
        <f t="shared" si="17"/>
        <v>-17279949.300468143</v>
      </c>
      <c r="K89" s="130">
        <f t="shared" si="17"/>
        <v>-16860214.874134846</v>
      </c>
      <c r="L89" s="130">
        <f t="shared" si="17"/>
        <v>-16717971.666420095</v>
      </c>
    </row>
    <row r="90" spans="1:12" ht="15" x14ac:dyDescent="0.25">
      <c r="A90" s="346">
        <f>ROW()</f>
        <v>90</v>
      </c>
      <c r="B90" s="33"/>
      <c r="C90" s="33"/>
      <c r="D90" s="33"/>
      <c r="E90" s="33"/>
      <c r="F90" s="503"/>
      <c r="G90" s="503"/>
      <c r="H90" s="503"/>
      <c r="I90" s="503"/>
      <c r="J90" s="503"/>
      <c r="K90" s="503"/>
      <c r="L90" s="503"/>
    </row>
    <row r="91" spans="1:12" ht="18" x14ac:dyDescent="0.25">
      <c r="A91" s="346">
        <f>ROW()</f>
        <v>91</v>
      </c>
      <c r="B91" s="950" t="s">
        <v>280</v>
      </c>
      <c r="C91" s="951"/>
      <c r="D91" s="951"/>
      <c r="E91" s="951"/>
      <c r="F91" s="952">
        <f>Summary!F6</f>
        <v>0</v>
      </c>
      <c r="G91" s="956">
        <f>Summary!G6</f>
        <v>1</v>
      </c>
      <c r="H91" s="956">
        <f>Summary!H6</f>
        <v>2</v>
      </c>
      <c r="I91" s="956">
        <f>Summary!I6</f>
        <v>3</v>
      </c>
      <c r="J91" s="956">
        <f>Summary!J6</f>
        <v>4</v>
      </c>
      <c r="K91" s="956">
        <f>Summary!K6</f>
        <v>5</v>
      </c>
      <c r="L91" s="956">
        <f>Summary!L6</f>
        <v>6</v>
      </c>
    </row>
    <row r="92" spans="1:12" ht="15" x14ac:dyDescent="0.25">
      <c r="A92" s="346">
        <f>ROW()</f>
        <v>92</v>
      </c>
      <c r="B92" s="957" t="s">
        <v>281</v>
      </c>
      <c r="C92" s="958" t="s">
        <v>282</v>
      </c>
      <c r="D92" s="959"/>
      <c r="E92" s="959"/>
      <c r="F92" s="960"/>
      <c r="G92" s="960"/>
      <c r="H92" s="960"/>
      <c r="I92" s="960"/>
      <c r="J92" s="960"/>
      <c r="K92" s="960"/>
      <c r="L92" s="960"/>
    </row>
    <row r="93" spans="1:12" ht="15" x14ac:dyDescent="0.25">
      <c r="A93" s="346">
        <f>ROW()</f>
        <v>93</v>
      </c>
      <c r="B93" s="33" t="str">
        <f>+B53</f>
        <v>State &amp; Local Revenue w/o St SpEd</v>
      </c>
      <c r="C93" s="59">
        <f t="shared" ref="C93:C110" si="18">AVERAGE(G93:L93)</f>
        <v>9596.0307669813428</v>
      </c>
      <c r="D93" s="412"/>
      <c r="E93" s="413"/>
      <c r="F93" s="639"/>
      <c r="G93" s="639">
        <f>IFERROR(Summary!G15/G$20,0)</f>
        <v>9595.9889052680574</v>
      </c>
      <c r="H93" s="639">
        <f>IFERROR(Summary!H15/H$20,0)</f>
        <v>9596.0391393240006</v>
      </c>
      <c r="I93" s="639">
        <f>IFERROR(Summary!I15/I$20,0)</f>
        <v>9596.0391393240006</v>
      </c>
      <c r="J93" s="639">
        <f>IFERROR(Summary!J15/J$20,0)</f>
        <v>9596.0391393240006</v>
      </c>
      <c r="K93" s="639">
        <f>IFERROR(Summary!K15/K$20,0)</f>
        <v>9596.0391393240006</v>
      </c>
      <c r="L93" s="639">
        <f>IFERROR(Summary!L15/L$20,0)</f>
        <v>9596.0391393240006</v>
      </c>
    </row>
    <row r="94" spans="1:12" ht="15" x14ac:dyDescent="0.25">
      <c r="A94" s="346">
        <f>ROW()</f>
        <v>94</v>
      </c>
      <c r="B94" s="33" t="str">
        <f>+B54</f>
        <v>CS Sponsorship Fee (Infl' Adj'd)</v>
      </c>
      <c r="C94" s="54">
        <f t="shared" si="18"/>
        <v>-108.26100000000001</v>
      </c>
      <c r="D94" s="54"/>
      <c r="E94" s="413"/>
      <c r="F94" s="100"/>
      <c r="G94" s="100">
        <f>IFERROR(Summary!G16/G$20,0)</f>
        <v>-108.26100000000001</v>
      </c>
      <c r="H94" s="100">
        <f>IFERROR(Summary!H16/H$20,0)</f>
        <v>-108.26100000000001</v>
      </c>
      <c r="I94" s="100">
        <f>IFERROR(Summary!I16/I$20,0)</f>
        <v>-108.26100000000001</v>
      </c>
      <c r="J94" s="100">
        <f>IFERROR(Summary!J16/J$20,0)</f>
        <v>-108.26100000000001</v>
      </c>
      <c r="K94" s="100">
        <f>IFERROR(Summary!K16/K$20,0)</f>
        <v>-108.26100000000001</v>
      </c>
      <c r="L94" s="100">
        <f>IFERROR(Summary!L16/L$20,0)</f>
        <v>-108.26100000000001</v>
      </c>
    </row>
    <row r="95" spans="1:12" ht="15" x14ac:dyDescent="0.25">
      <c r="A95" s="346">
        <f>ROW()</f>
        <v>95</v>
      </c>
      <c r="B95" s="33" t="s">
        <v>168</v>
      </c>
      <c r="C95" s="54">
        <f t="shared" si="18"/>
        <v>526.80843818156757</v>
      </c>
      <c r="D95" s="54"/>
      <c r="E95" s="413"/>
      <c r="F95" s="100"/>
      <c r="G95" s="100">
        <f>IFERROR(Summary!G24/G$20,0)</f>
        <v>527.02562908940445</v>
      </c>
      <c r="H95" s="100">
        <f>IFERROR(Summary!H24/H$20,0)</f>
        <v>526.7650000000001</v>
      </c>
      <c r="I95" s="100">
        <f>IFERROR(Summary!I24/I$20,0)</f>
        <v>526.7650000000001</v>
      </c>
      <c r="J95" s="100">
        <f>IFERROR(Summary!J24/J$20,0)</f>
        <v>526.7650000000001</v>
      </c>
      <c r="K95" s="100">
        <f>IFERROR(Summary!K24/K$20,0)</f>
        <v>526.7650000000001</v>
      </c>
      <c r="L95" s="100">
        <f>IFERROR(Summary!L24/L$20,0)</f>
        <v>526.7650000000001</v>
      </c>
    </row>
    <row r="96" spans="1:12" ht="15" x14ac:dyDescent="0.25">
      <c r="A96" s="346">
        <f>ROW()</f>
        <v>96</v>
      </c>
      <c r="B96" s="33" t="s">
        <v>161</v>
      </c>
      <c r="C96" s="54">
        <f t="shared" si="18"/>
        <v>0</v>
      </c>
      <c r="D96" s="54"/>
      <c r="E96" s="413"/>
      <c r="F96" s="100"/>
      <c r="G96" s="100">
        <f>IFERROR(Summary!G17/G$20,0)</f>
        <v>0</v>
      </c>
      <c r="H96" s="100">
        <f>IFERROR(Summary!H17/H$20,0)</f>
        <v>0</v>
      </c>
      <c r="I96" s="100">
        <f>IFERROR(Summary!I17/I$20,0)</f>
        <v>0</v>
      </c>
      <c r="J96" s="100">
        <f>IFERROR(Summary!J17/J$20,0)</f>
        <v>0</v>
      </c>
      <c r="K96" s="100">
        <f>IFERROR(Summary!K17/K$20,0)</f>
        <v>0</v>
      </c>
      <c r="L96" s="100">
        <f>IFERROR(Summary!L17/L$20,0)</f>
        <v>0</v>
      </c>
    </row>
    <row r="97" spans="1:12" ht="15" x14ac:dyDescent="0.25">
      <c r="A97" s="346">
        <f>ROW()</f>
        <v>97</v>
      </c>
      <c r="B97" s="33" t="s">
        <v>162</v>
      </c>
      <c r="C97" s="54">
        <f t="shared" si="18"/>
        <v>3.5</v>
      </c>
      <c r="D97" s="54"/>
      <c r="E97" s="413"/>
      <c r="F97" s="100"/>
      <c r="G97" s="100">
        <f>IFERROR(Summary!G18/G$20,0)</f>
        <v>3.5</v>
      </c>
      <c r="H97" s="100">
        <f>IFERROR(Summary!H18/H$20,0)</f>
        <v>3.5</v>
      </c>
      <c r="I97" s="100">
        <f>IFERROR(Summary!I18/I$20,0)</f>
        <v>3.5</v>
      </c>
      <c r="J97" s="100">
        <f>IFERROR(Summary!J18/J$20,0)</f>
        <v>3.5</v>
      </c>
      <c r="K97" s="100">
        <f>IFERROR(Summary!K18/K$20,0)</f>
        <v>3.5</v>
      </c>
      <c r="L97" s="100">
        <f>IFERROR(Summary!L18/L$20,0)</f>
        <v>3.5</v>
      </c>
    </row>
    <row r="98" spans="1:12" ht="15" x14ac:dyDescent="0.25">
      <c r="A98" s="346">
        <f>ROW()</f>
        <v>98</v>
      </c>
      <c r="B98" s="33" t="s">
        <v>163</v>
      </c>
      <c r="C98" s="54">
        <f t="shared" si="18"/>
        <v>0</v>
      </c>
      <c r="D98" s="54"/>
      <c r="E98" s="413"/>
      <c r="F98" s="100"/>
      <c r="G98" s="100">
        <f>IFERROR(Summary!G19/G$20,0)</f>
        <v>0</v>
      </c>
      <c r="H98" s="100">
        <f>IFERROR(Summary!H19/H$20,0)</f>
        <v>0</v>
      </c>
      <c r="I98" s="100">
        <f>IFERROR(Summary!I19/I$20,0)</f>
        <v>0</v>
      </c>
      <c r="J98" s="100">
        <f>IFERROR(Summary!J19/J$20,0)</f>
        <v>0</v>
      </c>
      <c r="K98" s="100">
        <f>IFERROR(Summary!K19/K$20,0)</f>
        <v>0</v>
      </c>
      <c r="L98" s="100">
        <f>IFERROR(Summary!L19/L$20,0)</f>
        <v>0</v>
      </c>
    </row>
    <row r="99" spans="1:12" ht="15" x14ac:dyDescent="0.25">
      <c r="A99" s="346">
        <f>ROW()</f>
        <v>99</v>
      </c>
      <c r="B99" s="33" t="s">
        <v>165</v>
      </c>
      <c r="C99" s="54">
        <f t="shared" si="18"/>
        <v>0</v>
      </c>
      <c r="D99" s="54"/>
      <c r="E99" s="413"/>
      <c r="F99" s="100"/>
      <c r="G99" s="100">
        <f>IFERROR(Summary!G21/G$20,0)</f>
        <v>0</v>
      </c>
      <c r="H99" s="100">
        <f>IFERROR(Summary!H21/H$20,0)</f>
        <v>0</v>
      </c>
      <c r="I99" s="100">
        <f>IFERROR(Summary!I21/I$20,0)</f>
        <v>0</v>
      </c>
      <c r="J99" s="100">
        <f>IFERROR(Summary!J21/J$20,0)</f>
        <v>0</v>
      </c>
      <c r="K99" s="100">
        <f>IFERROR(Summary!K21/K$20,0)</f>
        <v>0</v>
      </c>
      <c r="L99" s="100">
        <f>IFERROR(Summary!L21/L$20,0)</f>
        <v>0</v>
      </c>
    </row>
    <row r="100" spans="1:12" ht="15" x14ac:dyDescent="0.25">
      <c r="A100" s="346">
        <f>ROW()</f>
        <v>100</v>
      </c>
      <c r="B100" s="33" t="s">
        <v>166</v>
      </c>
      <c r="C100" s="54">
        <f t="shared" si="18"/>
        <v>0</v>
      </c>
      <c r="D100" s="54"/>
      <c r="E100" s="413"/>
      <c r="F100" s="100"/>
      <c r="G100" s="100">
        <f>IFERROR(Summary!G22/G$20,0)</f>
        <v>0</v>
      </c>
      <c r="H100" s="100">
        <f>IFERROR(Summary!H22/H$20,0)</f>
        <v>0</v>
      </c>
      <c r="I100" s="100">
        <f>IFERROR(Summary!I22/I$20,0)</f>
        <v>0</v>
      </c>
      <c r="J100" s="100">
        <f>IFERROR(Summary!J22/J$20,0)</f>
        <v>0</v>
      </c>
      <c r="K100" s="100">
        <f>IFERROR(Summary!K22/K$20,0)</f>
        <v>0</v>
      </c>
      <c r="L100" s="100">
        <f>IFERROR(Summary!L22/L$20,0)</f>
        <v>0</v>
      </c>
    </row>
    <row r="101" spans="1:12" ht="15" x14ac:dyDescent="0.25">
      <c r="A101" s="346">
        <f>ROW()</f>
        <v>101</v>
      </c>
      <c r="B101" s="33" t="s">
        <v>167</v>
      </c>
      <c r="C101" s="54">
        <f t="shared" si="18"/>
        <v>172.20900000000003</v>
      </c>
      <c r="D101" s="54"/>
      <c r="E101" s="413"/>
      <c r="F101" s="100"/>
      <c r="G101" s="100">
        <f>IFERROR(Summary!G23/G$20,0)</f>
        <v>172.20900000000003</v>
      </c>
      <c r="H101" s="100">
        <f>IFERROR(Summary!H23/H$20,0)</f>
        <v>172.20900000000003</v>
      </c>
      <c r="I101" s="100">
        <f>IFERROR(Summary!I23/I$20,0)</f>
        <v>172.20900000000003</v>
      </c>
      <c r="J101" s="100">
        <f>IFERROR(Summary!J23/J$20,0)</f>
        <v>172.20900000000003</v>
      </c>
      <c r="K101" s="100">
        <f>IFERROR(Summary!K23/K$20,0)</f>
        <v>172.20900000000003</v>
      </c>
      <c r="L101" s="100">
        <f>IFERROR(Summary!L23/L$20,0)</f>
        <v>172.20900000000003</v>
      </c>
    </row>
    <row r="102" spans="1:12" ht="15" x14ac:dyDescent="0.25">
      <c r="A102" s="346">
        <f>ROW()</f>
        <v>102</v>
      </c>
      <c r="B102" s="33" t="s">
        <v>174</v>
      </c>
      <c r="C102" s="54">
        <f t="shared" si="18"/>
        <v>390.51387488038898</v>
      </c>
      <c r="D102" s="54"/>
      <c r="E102" s="413"/>
      <c r="F102" s="100"/>
      <c r="G102" s="100">
        <f>IFERROR(Summary!G30/G$20,0)</f>
        <v>390.51387488038898</v>
      </c>
      <c r="H102" s="100">
        <f>IFERROR(Summary!H30/H$20,0)</f>
        <v>390.51387488038898</v>
      </c>
      <c r="I102" s="100">
        <f>IFERROR(Summary!I30/I$20,0)</f>
        <v>390.51387488038898</v>
      </c>
      <c r="J102" s="100">
        <f>IFERROR(Summary!J30/J$20,0)</f>
        <v>390.51387488038898</v>
      </c>
      <c r="K102" s="100">
        <f>IFERROR(Summary!K30/K$20,0)</f>
        <v>390.51387488038898</v>
      </c>
      <c r="L102" s="100">
        <f>IFERROR(Summary!L30/L$20,0)</f>
        <v>390.51387488038898</v>
      </c>
    </row>
    <row r="103" spans="1:12" ht="15" x14ac:dyDescent="0.25">
      <c r="A103" s="346">
        <f>ROW()</f>
        <v>103</v>
      </c>
      <c r="B103" s="33" t="s">
        <v>283</v>
      </c>
      <c r="C103" s="54">
        <f t="shared" si="18"/>
        <v>0</v>
      </c>
      <c r="D103" s="54"/>
      <c r="E103" s="413"/>
      <c r="F103" s="100"/>
      <c r="G103" s="100">
        <f>IFERROR(Summary!G25/G$20,0)</f>
        <v>0</v>
      </c>
      <c r="H103" s="100">
        <f>IFERROR(Summary!H25/H$20,0)</f>
        <v>0</v>
      </c>
      <c r="I103" s="100">
        <f>IFERROR(Summary!I25/I$20,0)</f>
        <v>0</v>
      </c>
      <c r="J103" s="100">
        <f>IFERROR(Summary!J25/J$20,0)</f>
        <v>0</v>
      </c>
      <c r="K103" s="100">
        <f>IFERROR(Summary!K25/K$20,0)</f>
        <v>0</v>
      </c>
      <c r="L103" s="100">
        <f>IFERROR(Summary!L25/L$20,0)</f>
        <v>0</v>
      </c>
    </row>
    <row r="104" spans="1:12" ht="15" x14ac:dyDescent="0.25">
      <c r="A104" s="346">
        <f>ROW()</f>
        <v>104</v>
      </c>
      <c r="B104" s="33" t="s">
        <v>284</v>
      </c>
      <c r="C104" s="54">
        <f t="shared" si="18"/>
        <v>0</v>
      </c>
      <c r="D104" s="54"/>
      <c r="E104" s="413"/>
      <c r="F104" s="100"/>
      <c r="G104" s="100">
        <f>IFERROR(Summary!G27/G$20,0)</f>
        <v>0</v>
      </c>
      <c r="H104" s="100">
        <f>IFERROR(Summary!H27/H$20,0)</f>
        <v>0</v>
      </c>
      <c r="I104" s="100">
        <f>IFERROR(Summary!I27/I$20,0)</f>
        <v>0</v>
      </c>
      <c r="J104" s="100">
        <f>IFERROR(Summary!J27/J$20,0)</f>
        <v>0</v>
      </c>
      <c r="K104" s="100">
        <f>IFERROR(Summary!K27/K$20,0)</f>
        <v>0</v>
      </c>
      <c r="L104" s="100">
        <f>IFERROR(Summary!L27/L$20,0)</f>
        <v>0</v>
      </c>
    </row>
    <row r="105" spans="1:12" ht="15" x14ac:dyDescent="0.25">
      <c r="A105" s="346">
        <f>ROW()</f>
        <v>105</v>
      </c>
      <c r="B105" s="33" t="s">
        <v>285</v>
      </c>
      <c r="C105" s="54">
        <f t="shared" si="18"/>
        <v>0</v>
      </c>
      <c r="D105" s="54"/>
      <c r="E105" s="413"/>
      <c r="F105" s="100"/>
      <c r="G105" s="100">
        <f>IFERROR(Summary!G28/G$20,0)</f>
        <v>0</v>
      </c>
      <c r="H105" s="100">
        <f>IFERROR(Summary!H28/H$20,0)</f>
        <v>0</v>
      </c>
      <c r="I105" s="100">
        <f>IFERROR(Summary!I28/I$20,0)</f>
        <v>0</v>
      </c>
      <c r="J105" s="100">
        <f>IFERROR(Summary!J28/J$20,0)</f>
        <v>0</v>
      </c>
      <c r="K105" s="100">
        <f>IFERROR(Summary!K28/K$20,0)</f>
        <v>0</v>
      </c>
      <c r="L105" s="100">
        <f>IFERROR(Summary!L28/L$20,0)</f>
        <v>0</v>
      </c>
    </row>
    <row r="106" spans="1:12" ht="15" x14ac:dyDescent="0.25">
      <c r="A106" s="346">
        <f>ROW()</f>
        <v>106</v>
      </c>
      <c r="B106" s="33" t="s">
        <v>175</v>
      </c>
      <c r="C106" s="54">
        <f t="shared" si="18"/>
        <v>100.64568408893025</v>
      </c>
      <c r="D106" s="54"/>
      <c r="E106" s="413"/>
      <c r="F106" s="100"/>
      <c r="G106" s="100">
        <f>IFERROR(Summary!G31/G$20,0)</f>
        <v>100.64568408893027</v>
      </c>
      <c r="H106" s="100">
        <f>IFERROR(Summary!H31/H$20,0)</f>
        <v>100.64568408893027</v>
      </c>
      <c r="I106" s="100">
        <f>IFERROR(Summary!I31/I$20,0)</f>
        <v>100.64568408893027</v>
      </c>
      <c r="J106" s="100">
        <f>IFERROR(Summary!J31/J$20,0)</f>
        <v>100.64568408893027</v>
      </c>
      <c r="K106" s="100">
        <f>IFERROR(Summary!K31/K$20,0)</f>
        <v>100.64568408893027</v>
      </c>
      <c r="L106" s="100">
        <f>IFERROR(Summary!L31/L$20,0)</f>
        <v>100.64568408893027</v>
      </c>
    </row>
    <row r="107" spans="1:12" ht="15" x14ac:dyDescent="0.25">
      <c r="A107" s="346">
        <f>ROW()</f>
        <v>107</v>
      </c>
      <c r="B107" s="33" t="s">
        <v>176</v>
      </c>
      <c r="C107" s="54">
        <f t="shared" si="18"/>
        <v>0</v>
      </c>
      <c r="D107" s="54"/>
      <c r="E107" s="413"/>
      <c r="F107" s="100"/>
      <c r="G107" s="100">
        <f>IFERROR(Summary!G32/G$20,0)</f>
        <v>0</v>
      </c>
      <c r="H107" s="100">
        <f>IFERROR(Summary!H32/H$20,0)</f>
        <v>0</v>
      </c>
      <c r="I107" s="100">
        <f>IFERROR(Summary!I32/I$20,0)</f>
        <v>0</v>
      </c>
      <c r="J107" s="100">
        <f>IFERROR(Summary!J32/J$20,0)</f>
        <v>0</v>
      </c>
      <c r="K107" s="100">
        <f>IFERROR(Summary!K32/K$20,0)</f>
        <v>0</v>
      </c>
      <c r="L107" s="100">
        <f>IFERROR(Summary!L32/L$20,0)</f>
        <v>0</v>
      </c>
    </row>
    <row r="108" spans="1:12" ht="15" x14ac:dyDescent="0.25">
      <c r="A108" s="346">
        <f>ROW()</f>
        <v>108</v>
      </c>
      <c r="B108" s="33" t="s">
        <v>177</v>
      </c>
      <c r="C108" s="54">
        <f t="shared" si="18"/>
        <v>0</v>
      </c>
      <c r="D108" s="54"/>
      <c r="E108" s="413"/>
      <c r="F108" s="100"/>
      <c r="G108" s="100">
        <f>IFERROR(Summary!G33/G$20,0)</f>
        <v>0</v>
      </c>
      <c r="H108" s="100">
        <f>IFERROR(Summary!H33/H$20,0)</f>
        <v>0</v>
      </c>
      <c r="I108" s="100">
        <f>IFERROR(Summary!I33/I$20,0)</f>
        <v>0</v>
      </c>
      <c r="J108" s="100">
        <f>IFERROR(Summary!J33/J$20,0)</f>
        <v>0</v>
      </c>
      <c r="K108" s="100">
        <f>IFERROR(Summary!K33/K$20,0)</f>
        <v>0</v>
      </c>
      <c r="L108" s="100">
        <f>IFERROR(Summary!L33/L$20,0)</f>
        <v>0</v>
      </c>
    </row>
    <row r="109" spans="1:12" ht="15" x14ac:dyDescent="0.25">
      <c r="A109" s="346">
        <f>ROW()</f>
        <v>109</v>
      </c>
      <c r="B109" s="33" t="s">
        <v>179</v>
      </c>
      <c r="C109" s="54">
        <f t="shared" si="18"/>
        <v>0</v>
      </c>
      <c r="D109" s="54"/>
      <c r="E109" s="413"/>
      <c r="F109" s="100"/>
      <c r="G109" s="100">
        <f>IFERROR(Summary!#REF!/G$20,0)</f>
        <v>0</v>
      </c>
      <c r="H109" s="100">
        <f>IFERROR(Summary!#REF!/H$20,0)</f>
        <v>0</v>
      </c>
      <c r="I109" s="100">
        <f>IFERROR(Summary!#REF!/I$20,0)</f>
        <v>0</v>
      </c>
      <c r="J109" s="100">
        <f>IFERROR(Summary!#REF!/J$20,0)</f>
        <v>0</v>
      </c>
      <c r="K109" s="100">
        <f>IFERROR(Summary!#REF!/K$20,0)</f>
        <v>0</v>
      </c>
      <c r="L109" s="100">
        <f>IFERROR(Summary!#REF!/L$20,0)</f>
        <v>0</v>
      </c>
    </row>
    <row r="110" spans="1:12" ht="15" x14ac:dyDescent="0.25">
      <c r="A110" s="346">
        <f>ROW()</f>
        <v>110</v>
      </c>
      <c r="B110" s="31" t="s">
        <v>286</v>
      </c>
      <c r="C110" s="703">
        <f t="shared" si="18"/>
        <v>10681.44676413223</v>
      </c>
      <c r="D110" s="703"/>
      <c r="E110" s="703"/>
      <c r="F110" s="1189"/>
      <c r="G110" s="1189">
        <f t="shared" ref="G110:L110" si="19">SUM(G93:G109)</f>
        <v>10681.622093326781</v>
      </c>
      <c r="H110" s="1189">
        <f t="shared" si="19"/>
        <v>10681.411698293319</v>
      </c>
      <c r="I110" s="1189">
        <f t="shared" si="19"/>
        <v>10681.411698293319</v>
      </c>
      <c r="J110" s="1189">
        <f t="shared" si="19"/>
        <v>10681.411698293319</v>
      </c>
      <c r="K110" s="1189">
        <f t="shared" si="19"/>
        <v>10681.411698293319</v>
      </c>
      <c r="L110" s="1189">
        <f t="shared" si="19"/>
        <v>10681.411698293319</v>
      </c>
    </row>
    <row r="111" spans="1:12" ht="15" x14ac:dyDescent="0.25">
      <c r="A111" s="346">
        <f>ROW()</f>
        <v>111</v>
      </c>
      <c r="B111" s="33"/>
      <c r="C111" s="58"/>
      <c r="D111" s="58"/>
      <c r="E111" s="58"/>
      <c r="F111" s="503"/>
      <c r="G111" s="503"/>
      <c r="H111" s="503"/>
      <c r="I111" s="503"/>
      <c r="J111" s="503"/>
      <c r="K111" s="503"/>
      <c r="L111" s="503"/>
    </row>
    <row r="112" spans="1:12" ht="15.75" x14ac:dyDescent="0.25">
      <c r="A112" s="346">
        <f>ROW()</f>
        <v>112</v>
      </c>
      <c r="B112" s="954" t="s">
        <v>287</v>
      </c>
      <c r="C112" s="955"/>
      <c r="D112" s="955"/>
      <c r="E112" s="955"/>
      <c r="F112" s="1637">
        <f>Summary!F$6</f>
        <v>0</v>
      </c>
      <c r="G112" s="1637">
        <f>Summary!G$6</f>
        <v>1</v>
      </c>
      <c r="H112" s="1637">
        <f>Summary!H$6</f>
        <v>2</v>
      </c>
      <c r="I112" s="1637">
        <f>Summary!I$6</f>
        <v>3</v>
      </c>
      <c r="J112" s="1637">
        <f>Summary!J$6</f>
        <v>4</v>
      </c>
      <c r="K112" s="1637">
        <f>Summary!K$6</f>
        <v>5</v>
      </c>
      <c r="L112" s="1637">
        <f>Summary!L$6</f>
        <v>6</v>
      </c>
    </row>
    <row r="113" spans="1:12" ht="15" x14ac:dyDescent="0.25">
      <c r="A113" s="346">
        <f>ROW()</f>
        <v>113</v>
      </c>
      <c r="B113" s="33" t="s">
        <v>188</v>
      </c>
      <c r="C113" s="247">
        <f t="shared" ref="C113:C122" si="20">AVERAGE(G113:L113)</f>
        <v>7103.3329036062923</v>
      </c>
      <c r="D113" s="59"/>
      <c r="E113" s="413"/>
      <c r="F113" s="100"/>
      <c r="G113" s="100">
        <f>IFERROR(Summary!G44/G$20,0)</f>
        <v>7103.3329036062923</v>
      </c>
      <c r="H113" s="100">
        <f>IFERROR(Summary!H44/H$20,0)</f>
        <v>7103.3329036062923</v>
      </c>
      <c r="I113" s="100">
        <f>IFERROR(Summary!I44/I$20,0)</f>
        <v>7103.3329036062923</v>
      </c>
      <c r="J113" s="100">
        <f>IFERROR(Summary!J44/J$20,0)</f>
        <v>7103.3329036062923</v>
      </c>
      <c r="K113" s="100">
        <f>IFERROR(Summary!K44/K$20,0)</f>
        <v>7103.3329036062923</v>
      </c>
      <c r="L113" s="100">
        <f>IFERROR(Summary!L44/L$20,0)</f>
        <v>7103.3329036062923</v>
      </c>
    </row>
    <row r="114" spans="1:12" ht="15" x14ac:dyDescent="0.25">
      <c r="A114" s="346">
        <f>ROW()</f>
        <v>114</v>
      </c>
      <c r="B114" s="33" t="s">
        <v>122</v>
      </c>
      <c r="C114" s="54">
        <f t="shared" si="20"/>
        <v>722.99191972925121</v>
      </c>
      <c r="D114" s="54"/>
      <c r="E114" s="413"/>
      <c r="F114" s="100"/>
      <c r="G114" s="100">
        <f>IFERROR(Summary!G45/G$20,0)</f>
        <v>684.54952888337175</v>
      </c>
      <c r="H114" s="100">
        <f>IFERROR(Summary!H45/H$20,0)</f>
        <v>699.32212567133047</v>
      </c>
      <c r="I114" s="100">
        <f>IFERROR(Summary!I45/I$20,0)</f>
        <v>714.53790036292799</v>
      </c>
      <c r="J114" s="100">
        <f>IFERROR(Summary!J45/J$20,0)</f>
        <v>730.21014829527348</v>
      </c>
      <c r="K114" s="100">
        <f>IFERROR(Summary!K45/K$20,0)</f>
        <v>746.35256366558929</v>
      </c>
      <c r="L114" s="100">
        <f>IFERROR(Summary!L45/L$20,0)</f>
        <v>762.97925149701462</v>
      </c>
    </row>
    <row r="115" spans="1:12" ht="15" x14ac:dyDescent="0.25">
      <c r="A115" s="346">
        <f>ROW()</f>
        <v>115</v>
      </c>
      <c r="B115" s="33" t="s">
        <v>189</v>
      </c>
      <c r="C115" s="54">
        <f t="shared" si="20"/>
        <v>3263.2759577809811</v>
      </c>
      <c r="D115" s="54"/>
      <c r="E115" s="413"/>
      <c r="F115" s="100"/>
      <c r="G115" s="100">
        <f>IFERROR(Summary!G46/G$20,0)</f>
        <v>3027.3411644350049</v>
      </c>
      <c r="H115" s="100">
        <f>IFERROR(Summary!H46/H$20,0)</f>
        <v>3117.7041188273697</v>
      </c>
      <c r="I115" s="100">
        <f>IFERROR(Summary!I46/I$20,0)</f>
        <v>3211.2352423921911</v>
      </c>
      <c r="J115" s="100">
        <f>IFERROR(Summary!J46/J$20,0)</f>
        <v>3307.5722996639565</v>
      </c>
      <c r="K115" s="100">
        <f>IFERROR(Summary!K46/K$20,0)</f>
        <v>3406.799468653875</v>
      </c>
      <c r="L115" s="100">
        <f>IFERROR(Summary!L46/L$20,0)</f>
        <v>3509.0034527134912</v>
      </c>
    </row>
    <row r="116" spans="1:12" ht="15" x14ac:dyDescent="0.25">
      <c r="A116" s="346">
        <f>ROW()</f>
        <v>116</v>
      </c>
      <c r="B116" s="33" t="s">
        <v>276</v>
      </c>
      <c r="C116" s="54">
        <f t="shared" si="20"/>
        <v>0</v>
      </c>
      <c r="D116" s="54"/>
      <c r="E116" s="413"/>
      <c r="F116" s="100"/>
      <c r="G116" s="100">
        <f>IFERROR(Summary!G47/G$20,0)</f>
        <v>0</v>
      </c>
      <c r="H116" s="100">
        <f>IFERROR(Summary!H47/H$20,0)</f>
        <v>0</v>
      </c>
      <c r="I116" s="100">
        <f>IFERROR(Summary!I47/I$20,0)</f>
        <v>0</v>
      </c>
      <c r="J116" s="100">
        <f>IFERROR(Summary!J47/J$20,0)</f>
        <v>0</v>
      </c>
      <c r="K116" s="100">
        <f>IFERROR(Summary!K47/K$20,0)</f>
        <v>0</v>
      </c>
      <c r="L116" s="100">
        <f>IFERROR(Summary!L47/L$20,0)</f>
        <v>0</v>
      </c>
    </row>
    <row r="117" spans="1:12" ht="15" x14ac:dyDescent="0.25">
      <c r="A117" s="346">
        <f>ROW()</f>
        <v>117</v>
      </c>
      <c r="B117" s="33" t="s">
        <v>130</v>
      </c>
      <c r="C117" s="54">
        <f t="shared" si="20"/>
        <v>102.1542917733468</v>
      </c>
      <c r="D117" s="54"/>
      <c r="E117" s="413"/>
      <c r="F117" s="100"/>
      <c r="G117" s="100">
        <f>IFERROR(Summary!G48/G$20,0)</f>
        <v>102.15429177334678</v>
      </c>
      <c r="H117" s="100">
        <f>IFERROR(Summary!H48/H$20,0)</f>
        <v>102.15429177334678</v>
      </c>
      <c r="I117" s="100">
        <f>IFERROR(Summary!I48/I$20,0)</f>
        <v>102.15429177334678</v>
      </c>
      <c r="J117" s="100">
        <f>IFERROR(Summary!J48/J$20,0)</f>
        <v>102.15429177334678</v>
      </c>
      <c r="K117" s="100">
        <f>IFERROR(Summary!K48/K$20,0)</f>
        <v>102.15429177334678</v>
      </c>
      <c r="L117" s="100">
        <f>IFERROR(Summary!L48/L$20,0)</f>
        <v>102.15429177334678</v>
      </c>
    </row>
    <row r="118" spans="1:12" ht="15" x14ac:dyDescent="0.25">
      <c r="A118" s="346">
        <f>ROW()</f>
        <v>118</v>
      </c>
      <c r="B118" s="33" t="s">
        <v>191</v>
      </c>
      <c r="C118" s="54">
        <f t="shared" si="20"/>
        <v>53.878845872018353</v>
      </c>
      <c r="D118" s="54"/>
      <c r="E118" s="413"/>
      <c r="F118" s="100"/>
      <c r="G118" s="100">
        <f>IFERROR(Summary!G49/G$20,0)</f>
        <v>53.878845872018346</v>
      </c>
      <c r="H118" s="100">
        <f>IFERROR(Summary!H49/H$20,0)</f>
        <v>53.878845872018346</v>
      </c>
      <c r="I118" s="100">
        <f>IFERROR(Summary!I49/I$20,0)</f>
        <v>53.878845872018346</v>
      </c>
      <c r="J118" s="100">
        <f>IFERROR(Summary!J49/J$20,0)</f>
        <v>53.878845872018346</v>
      </c>
      <c r="K118" s="100">
        <f>IFERROR(Summary!K49/K$20,0)</f>
        <v>53.878845872018346</v>
      </c>
      <c r="L118" s="100">
        <f>IFERROR(Summary!L49/L$20,0)</f>
        <v>53.878845872018346</v>
      </c>
    </row>
    <row r="119" spans="1:12" ht="15" x14ac:dyDescent="0.25">
      <c r="A119" s="346">
        <f>ROW()</f>
        <v>119</v>
      </c>
      <c r="B119" s="33" t="s">
        <v>174</v>
      </c>
      <c r="C119" s="54">
        <f t="shared" si="20"/>
        <v>0</v>
      </c>
      <c r="D119" s="54"/>
      <c r="E119" s="413"/>
      <c r="F119" s="100"/>
      <c r="G119" s="100">
        <f>IFERROR(Summary!G50/G$20,0)</f>
        <v>0</v>
      </c>
      <c r="H119" s="100">
        <f>IFERROR(Summary!H50/H$20,0)</f>
        <v>0</v>
      </c>
      <c r="I119" s="100">
        <f>IFERROR(Summary!I50/I$20,0)</f>
        <v>0</v>
      </c>
      <c r="J119" s="100">
        <f>IFERROR(Summary!J50/J$20,0)</f>
        <v>0</v>
      </c>
      <c r="K119" s="100">
        <f>IFERROR(Summary!K50/K$20,0)</f>
        <v>0</v>
      </c>
      <c r="L119" s="100">
        <f>IFERROR(Summary!L50/L$20,0)</f>
        <v>0</v>
      </c>
    </row>
    <row r="120" spans="1:12" ht="15" x14ac:dyDescent="0.25">
      <c r="A120" s="346">
        <f>ROW()</f>
        <v>120</v>
      </c>
      <c r="B120" s="33" t="s">
        <v>128</v>
      </c>
      <c r="C120" s="54">
        <f t="shared" si="20"/>
        <v>37.714189945345495</v>
      </c>
      <c r="D120" s="54"/>
      <c r="E120" s="413"/>
      <c r="F120" s="100"/>
      <c r="G120" s="100">
        <f>IFERROR(Summary!G51/G$20,0)</f>
        <v>35.872035585900122</v>
      </c>
      <c r="H120" s="100">
        <f>IFERROR(Summary!H51/H$20,0)</f>
        <v>36.589476297618127</v>
      </c>
      <c r="I120" s="100">
        <f>IFERROR(Summary!I51/I$20,0)</f>
        <v>37.321265823570485</v>
      </c>
      <c r="J120" s="100">
        <f>IFERROR(Summary!J51/J$20,0)</f>
        <v>38.067691140041894</v>
      </c>
      <c r="K120" s="100">
        <f>IFERROR(Summary!K51/K$20,0)</f>
        <v>38.829044962842737</v>
      </c>
      <c r="L120" s="100">
        <f>IFERROR(Summary!L51/L$20,0)</f>
        <v>39.605625862099593</v>
      </c>
    </row>
    <row r="121" spans="1:12" ht="15" x14ac:dyDescent="0.25">
      <c r="A121" s="346">
        <f>ROW()</f>
        <v>121</v>
      </c>
      <c r="B121" s="33" t="s">
        <v>277</v>
      </c>
      <c r="C121" s="54">
        <f t="shared" si="20"/>
        <v>0</v>
      </c>
      <c r="D121" s="54"/>
      <c r="E121" s="413"/>
      <c r="F121" s="100"/>
      <c r="G121" s="100">
        <f>IFERROR(Summary!#REF!/G$20,0)</f>
        <v>0</v>
      </c>
      <c r="H121" s="100">
        <f>IFERROR(Summary!#REF!/H$20,0)</f>
        <v>0</v>
      </c>
      <c r="I121" s="100">
        <f>IFERROR(Summary!#REF!/I$20,0)</f>
        <v>0</v>
      </c>
      <c r="J121" s="100">
        <f>IFERROR(Summary!#REF!/J$20,0)</f>
        <v>0</v>
      </c>
      <c r="K121" s="100">
        <f>IFERROR(Summary!#REF!/K$20,0)</f>
        <v>0</v>
      </c>
      <c r="L121" s="100">
        <f>IFERROR(Summary!#REF!/L$20,0)</f>
        <v>0</v>
      </c>
    </row>
    <row r="122" spans="1:12" ht="15" x14ac:dyDescent="0.25">
      <c r="A122" s="346">
        <f>ROW()</f>
        <v>122</v>
      </c>
      <c r="B122" s="31" t="s">
        <v>288</v>
      </c>
      <c r="C122" s="703">
        <f t="shared" si="20"/>
        <v>11283.348108707236</v>
      </c>
      <c r="D122" s="703"/>
      <c r="E122" s="703"/>
      <c r="F122" s="1189"/>
      <c r="G122" s="1189">
        <f t="shared" ref="G122:L122" si="21">SUM(G113:G121)</f>
        <v>11007.128770155934</v>
      </c>
      <c r="H122" s="1189">
        <f t="shared" si="21"/>
        <v>11112.981762047975</v>
      </c>
      <c r="I122" s="1189">
        <f t="shared" si="21"/>
        <v>11222.460449830347</v>
      </c>
      <c r="J122" s="1189">
        <f t="shared" si="21"/>
        <v>11335.21618035093</v>
      </c>
      <c r="K122" s="1189">
        <f t="shared" si="21"/>
        <v>11451.347118533964</v>
      </c>
      <c r="L122" s="1189">
        <f t="shared" si="21"/>
        <v>11570.954371324264</v>
      </c>
    </row>
    <row r="123" spans="1:12" ht="15.75" thickBot="1" x14ac:dyDescent="0.3">
      <c r="A123" s="346">
        <f>ROW()</f>
        <v>123</v>
      </c>
      <c r="B123" s="31"/>
      <c r="C123" s="415"/>
      <c r="D123" s="415"/>
      <c r="E123" s="414"/>
      <c r="F123" s="630"/>
      <c r="G123" s="630"/>
      <c r="H123" s="630"/>
      <c r="I123" s="630"/>
      <c r="J123" s="630"/>
      <c r="K123" s="630"/>
      <c r="L123" s="630"/>
    </row>
    <row r="124" spans="1:12" ht="15.75" thickBot="1" x14ac:dyDescent="0.3">
      <c r="A124" s="346">
        <f>ROW()</f>
        <v>124</v>
      </c>
      <c r="B124" s="416" t="s">
        <v>289</v>
      </c>
      <c r="C124" s="706">
        <f>C110-C122</f>
        <v>-601.90134457500608</v>
      </c>
      <c r="D124" s="431"/>
      <c r="E124" s="431"/>
      <c r="F124" s="643"/>
      <c r="G124" s="1291">
        <f t="shared" ref="G124:L124" si="22">G110-G122</f>
        <v>-325.50667682915264</v>
      </c>
      <c r="H124" s="1291">
        <f t="shared" si="22"/>
        <v>-431.57006375465608</v>
      </c>
      <c r="I124" s="1291">
        <f t="shared" si="22"/>
        <v>-541.04875153702778</v>
      </c>
      <c r="J124" s="1291">
        <f t="shared" si="22"/>
        <v>-653.80448205761058</v>
      </c>
      <c r="K124" s="1291">
        <f t="shared" si="22"/>
        <v>-769.93542024064482</v>
      </c>
      <c r="L124" s="1291">
        <f t="shared" si="22"/>
        <v>-889.54267303094457</v>
      </c>
    </row>
    <row r="125" spans="1:12" ht="15" x14ac:dyDescent="0.25">
      <c r="A125" s="346">
        <f>ROW()</f>
        <v>125</v>
      </c>
      <c r="B125" s="183" t="s">
        <v>290</v>
      </c>
      <c r="C125" s="418"/>
      <c r="D125" s="418"/>
      <c r="E125" s="418"/>
      <c r="F125" s="642"/>
      <c r="G125" s="134">
        <f t="shared" ref="G125:L125" si="23">G124/G20</f>
        <v>-0.1403033925695264</v>
      </c>
      <c r="H125" s="134">
        <f t="shared" si="23"/>
        <v>-0.18601997558411396</v>
      </c>
      <c r="I125" s="134">
        <f t="shared" si="23"/>
        <v>-0.23320865834649174</v>
      </c>
      <c r="J125" s="134">
        <f t="shared" si="23"/>
        <v>-0.28180984735373427</v>
      </c>
      <c r="K125" s="134">
        <f t="shared" si="23"/>
        <v>-0.331865854708427</v>
      </c>
      <c r="L125" s="134">
        <f t="shared" si="23"/>
        <v>-0.38342026061453977</v>
      </c>
    </row>
    <row r="126" spans="1:12" ht="15" x14ac:dyDescent="0.25">
      <c r="A126" s="346">
        <f>ROW()</f>
        <v>126</v>
      </c>
      <c r="B126" s="432" t="s">
        <v>291</v>
      </c>
      <c r="C126" s="433"/>
      <c r="D126" s="433"/>
      <c r="E126" s="433"/>
      <c r="F126" s="644"/>
      <c r="G126" s="705">
        <f t="shared" ref="G126:L126" si="24">IFERROR(+G124/G110,0)</f>
        <v>-3.0473524899603883E-2</v>
      </c>
      <c r="H126" s="705">
        <f t="shared" si="24"/>
        <v>-4.0403841359622203E-2</v>
      </c>
      <c r="I126" s="705">
        <f t="shared" si="24"/>
        <v>-5.0653300033690937E-2</v>
      </c>
      <c r="J126" s="705">
        <f t="shared" si="24"/>
        <v>-6.1209557362354616E-2</v>
      </c>
      <c r="K126" s="705">
        <f t="shared" si="24"/>
        <v>-7.208180360313847E-2</v>
      </c>
      <c r="L126" s="705">
        <f t="shared" si="24"/>
        <v>-8.3279504447251684E-2</v>
      </c>
    </row>
  </sheetData>
  <sheetProtection algorithmName="SHA-512" hashValue="v3nT5TtiQiDx+rdqnpVM57Bwe0MUteIyadOVcPIdy9rEoL3raLM+MTNoSUWdRQFSlzRbd1Epv4Rz1jIaz40T7A==" saltValue="EEriv3Q98HefdM56M57yWA==" spinCount="100000" sheet="1" objects="1" scenarios="1"/>
  <conditionalFormatting sqref="C1">
    <cfRule type="expression" dxfId="73" priority="18" stopIfTrue="1">
      <formula>MOD(ROW(),2)=0</formula>
    </cfRule>
  </conditionalFormatting>
  <conditionalFormatting sqref="C53:C72">
    <cfRule type="cellIs" dxfId="72" priority="2" stopIfTrue="1" operator="equal">
      <formula>0</formula>
    </cfRule>
  </conditionalFormatting>
  <conditionalFormatting sqref="C76:C84">
    <cfRule type="cellIs" dxfId="71" priority="12" stopIfTrue="1" operator="equal">
      <formula>0</formula>
    </cfRule>
  </conditionalFormatting>
  <conditionalFormatting sqref="C93:C110">
    <cfRule type="cellIs" dxfId="70" priority="14" stopIfTrue="1" operator="equal">
      <formula>0</formula>
    </cfRule>
  </conditionalFormatting>
  <conditionalFormatting sqref="C113:C121">
    <cfRule type="cellIs" dxfId="69" priority="15" stopIfTrue="1" operator="equal">
      <formula>0</formula>
    </cfRule>
  </conditionalFormatting>
  <conditionalFormatting sqref="F53:L72">
    <cfRule type="cellIs" dxfId="68" priority="1" stopIfTrue="1" operator="equal">
      <formula>0</formula>
    </cfRule>
  </conditionalFormatting>
  <conditionalFormatting sqref="F76:L84">
    <cfRule type="cellIs" dxfId="67" priority="11" stopIfTrue="1" operator="equal">
      <formula>0</formula>
    </cfRule>
  </conditionalFormatting>
  <conditionalFormatting sqref="G93:L109">
    <cfRule type="cellIs" dxfId="66" priority="13" stopIfTrue="1" operator="equal">
      <formula>0</formula>
    </cfRule>
  </conditionalFormatting>
  <conditionalFormatting sqref="G113:L121">
    <cfRule type="cellIs" dxfId="65" priority="16" stopIfTrue="1" operator="equal">
      <formula>0</formula>
    </cfRule>
  </conditionalFormatting>
  <conditionalFormatting sqref="L1">
    <cfRule type="expression" dxfId="64" priority="19" stopIfTrue="1">
      <formula>MOD(ROW(),2)=0</formula>
    </cfRule>
  </conditionalFormatting>
  <hyperlinks>
    <hyperlink ref="C1" location="HypLink1" display="HypLink1" xr:uid="{D6F51B04-7C22-4E55-BE4A-DB65D4CC86A9}"/>
  </hyperlinks>
  <pageMargins left="0.25" right="0.25" top="0.5" bottom="0.44999999999999996" header="0.25" footer="0.25"/>
  <pageSetup scale="75" orientation="landscape" r:id="rId1"/>
  <headerFooter alignWithMargins="0">
    <oddHeader xml:space="preserve">&amp;L &amp;C &amp;R </oddHeader>
    <oddFooter>&amp;L&amp;7&amp;D  at &amp;T Mike 702.486.8879&amp;C&amp;7&amp;F  &amp;A&amp;R&amp;7Page &amp;P of &amp;N</oddFooter>
  </headerFooter>
  <rowBreaks count="2" manualBreakCount="2">
    <brk id="49" max="11" man="1"/>
    <brk id="90" max="1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92D050"/>
  </sheetPr>
  <dimension ref="A1:W101"/>
  <sheetViews>
    <sheetView workbookViewId="0">
      <selection activeCell="B47" sqref="B47"/>
    </sheetView>
  </sheetViews>
  <sheetFormatPr defaultColWidth="8.7109375" defaultRowHeight="15" x14ac:dyDescent="0.25"/>
  <cols>
    <col min="1" max="1" width="6.7109375" style="33" bestFit="1" customWidth="1"/>
    <col min="2" max="2" width="21" style="33" customWidth="1"/>
    <col min="3" max="3" width="17.28515625" style="33" customWidth="1"/>
    <col min="4" max="4" width="11.42578125" style="33" customWidth="1"/>
    <col min="5" max="6" width="11" style="33" customWidth="1"/>
    <col min="7" max="7" width="11.5703125" style="33" customWidth="1"/>
    <col min="8" max="8" width="14.7109375" style="33" customWidth="1"/>
    <col min="9" max="10" width="9.7109375" style="33" customWidth="1"/>
    <col min="11" max="11" width="1.7109375" style="33" customWidth="1"/>
    <col min="12" max="12" width="61.28515625" style="307" customWidth="1"/>
    <col min="13" max="14" width="4.5703125" style="33" customWidth="1"/>
    <col min="15" max="15" width="7.28515625" style="33" customWidth="1"/>
    <col min="16" max="19" width="4.5703125" style="33" customWidth="1"/>
    <col min="20" max="16384" width="8.7109375" style="33"/>
  </cols>
  <sheetData>
    <row r="1" spans="1:23" ht="18" x14ac:dyDescent="0.25">
      <c r="A1" s="123" t="s">
        <v>114</v>
      </c>
      <c r="B1" s="35"/>
      <c r="C1" s="35"/>
      <c r="D1" s="408" t="s">
        <v>3</v>
      </c>
      <c r="E1" s="1651" t="s">
        <v>292</v>
      </c>
      <c r="F1" s="1651"/>
      <c r="G1" s="1651"/>
      <c r="H1" s="63"/>
      <c r="I1" s="63"/>
      <c r="L1" s="1371"/>
      <c r="M1" s="453"/>
      <c r="N1" s="453"/>
      <c r="O1" s="453"/>
      <c r="P1" s="453"/>
      <c r="Q1" s="31"/>
    </row>
    <row r="2" spans="1:23" ht="15.75" x14ac:dyDescent="0.25">
      <c r="A2" s="114" t="str">
        <f>SchoolName</f>
        <v>Odyssey Charter School</v>
      </c>
      <c r="B2" s="38"/>
      <c r="C2" s="38"/>
      <c r="E2" s="33" t="s">
        <v>293</v>
      </c>
      <c r="F2" s="161" t="str">
        <f>+Facilities!G2</f>
        <v>Test</v>
      </c>
      <c r="G2" s="157"/>
      <c r="H2" s="157"/>
      <c r="I2" s="157"/>
      <c r="J2" s="157"/>
      <c r="K2" s="195"/>
      <c r="L2" s="1365" t="s">
        <v>103</v>
      </c>
      <c r="M2" s="453"/>
      <c r="N2" s="453"/>
      <c r="O2" s="453"/>
      <c r="P2" s="453"/>
      <c r="Q2" s="453"/>
      <c r="R2" s="453"/>
      <c r="S2" s="453"/>
      <c r="T2" s="453"/>
      <c r="U2" s="453"/>
      <c r="V2" s="453"/>
    </row>
    <row r="3" spans="1:23" x14ac:dyDescent="0.25">
      <c r="A3" s="39" t="s">
        <v>80</v>
      </c>
      <c r="E3" s="33" t="s">
        <v>90</v>
      </c>
      <c r="F3" s="162" t="str">
        <f>+Facilities!G3</f>
        <v>Site 2</v>
      </c>
      <c r="G3" s="158"/>
      <c r="H3" s="158"/>
      <c r="I3" s="158"/>
      <c r="J3" s="158"/>
      <c r="K3" s="195"/>
      <c r="L3" s="462"/>
      <c r="M3" s="453"/>
      <c r="N3" s="453"/>
      <c r="O3" s="453"/>
      <c r="P3" s="453"/>
      <c r="Q3" s="453"/>
      <c r="R3" s="453"/>
      <c r="S3" s="453"/>
      <c r="T3" s="453"/>
      <c r="U3" s="453"/>
      <c r="V3" s="453"/>
    </row>
    <row r="4" spans="1:23" x14ac:dyDescent="0.25">
      <c r="A4" s="40" t="s">
        <v>81</v>
      </c>
      <c r="F4" s="80" t="s">
        <v>294</v>
      </c>
      <c r="L4" s="343"/>
      <c r="M4" s="453"/>
      <c r="N4" s="453"/>
      <c r="O4" s="453"/>
      <c r="P4" s="453"/>
      <c r="Q4" s="453"/>
      <c r="R4" s="453"/>
      <c r="S4" s="453"/>
      <c r="T4" s="453"/>
      <c r="U4" s="453"/>
      <c r="V4" s="453"/>
    </row>
    <row r="5" spans="1:23" x14ac:dyDescent="0.25">
      <c r="A5" s="30" t="str">
        <f ca="1">CELL("filename")</f>
        <v>\\lvraiders\users\sguthrie\Documents\Charter\Change of Sponsorship\[240126-SPCSA-Odyssey Charter School Application Workbook-AS-IS-Original Version.xlsx]Instructions</v>
      </c>
      <c r="L5" s="343"/>
      <c r="M5" s="453"/>
      <c r="N5" s="453"/>
      <c r="O5" s="453"/>
      <c r="P5" s="453"/>
      <c r="Q5" s="453"/>
      <c r="R5" s="453"/>
      <c r="S5" s="453"/>
      <c r="T5" s="453"/>
      <c r="U5" s="453"/>
      <c r="V5" s="453"/>
    </row>
    <row r="6" spans="1:23" x14ac:dyDescent="0.25">
      <c r="A6" s="64"/>
      <c r="B6" s="94"/>
      <c r="C6" s="94"/>
      <c r="D6" s="94"/>
      <c r="E6" s="32"/>
      <c r="L6" s="343"/>
      <c r="M6" s="453"/>
      <c r="N6" s="453"/>
      <c r="O6" s="453"/>
      <c r="P6" s="453"/>
      <c r="Q6" s="453"/>
      <c r="R6" s="453"/>
      <c r="S6" s="453"/>
      <c r="T6" s="453"/>
      <c r="U6" s="453"/>
      <c r="V6" s="453"/>
    </row>
    <row r="7" spans="1:23" x14ac:dyDescent="0.25">
      <c r="A7" s="346"/>
      <c r="D7" s="859" t="s">
        <v>239</v>
      </c>
      <c r="E7" s="860">
        <v>1</v>
      </c>
      <c r="F7" s="860">
        <v>2</v>
      </c>
      <c r="G7" s="860">
        <v>3</v>
      </c>
      <c r="H7" s="860">
        <v>4</v>
      </c>
      <c r="I7" s="860">
        <v>5</v>
      </c>
      <c r="J7" s="861">
        <v>6</v>
      </c>
      <c r="K7" s="32"/>
      <c r="L7" s="343" t="s">
        <v>295</v>
      </c>
      <c r="M7" s="453"/>
      <c r="N7" s="453"/>
      <c r="O7" s="453"/>
      <c r="P7" s="453"/>
      <c r="Q7" s="453"/>
      <c r="R7" s="453"/>
      <c r="S7" s="453"/>
      <c r="T7" s="453"/>
      <c r="U7" s="453"/>
      <c r="V7" s="453"/>
    </row>
    <row r="8" spans="1:23" ht="15.75" x14ac:dyDescent="0.25">
      <c r="A8" s="346"/>
      <c r="D8" s="859">
        <f>' Enrol &amp; Rev'!F10</f>
        <v>2024</v>
      </c>
      <c r="E8" s="862">
        <f>' Enrol &amp; Rev'!G10</f>
        <v>2025</v>
      </c>
      <c r="F8" s="862">
        <f>+E9</f>
        <v>2026</v>
      </c>
      <c r="G8" s="862">
        <f>+F9</f>
        <v>2027</v>
      </c>
      <c r="H8" s="862">
        <f>+G9</f>
        <v>2028</v>
      </c>
      <c r="I8" s="862">
        <f>+H9</f>
        <v>2029</v>
      </c>
      <c r="J8" s="863">
        <f>+I9</f>
        <v>2030</v>
      </c>
      <c r="K8" s="292"/>
      <c r="L8" s="343"/>
      <c r="M8" s="453"/>
      <c r="N8" s="453"/>
      <c r="O8" s="453"/>
      <c r="P8" s="453"/>
      <c r="Q8" s="453"/>
      <c r="R8" s="453"/>
      <c r="S8" s="453"/>
      <c r="T8" s="453"/>
      <c r="U8" s="453"/>
      <c r="V8" s="453"/>
    </row>
    <row r="9" spans="1:23" ht="15.75" x14ac:dyDescent="0.25">
      <c r="A9" s="346"/>
      <c r="D9" s="722">
        <f>+D8+1</f>
        <v>2025</v>
      </c>
      <c r="E9" s="723">
        <f t="shared" ref="E9:J9" si="0">+E8+1</f>
        <v>2026</v>
      </c>
      <c r="F9" s="723">
        <f t="shared" si="0"/>
        <v>2027</v>
      </c>
      <c r="G9" s="723">
        <f t="shared" si="0"/>
        <v>2028</v>
      </c>
      <c r="H9" s="723">
        <f t="shared" si="0"/>
        <v>2029</v>
      </c>
      <c r="I9" s="723">
        <f t="shared" si="0"/>
        <v>2030</v>
      </c>
      <c r="J9" s="724">
        <f t="shared" si="0"/>
        <v>2031</v>
      </c>
      <c r="K9" s="293"/>
      <c r="L9" s="343"/>
      <c r="M9" s="453"/>
      <c r="N9" s="453"/>
      <c r="O9" s="453"/>
      <c r="P9" s="453"/>
      <c r="Q9" s="453"/>
      <c r="R9" s="453"/>
      <c r="S9" s="453"/>
      <c r="T9" s="453"/>
      <c r="U9" s="453"/>
      <c r="V9" s="453"/>
    </row>
    <row r="10" spans="1:23" ht="15.75" x14ac:dyDescent="0.25">
      <c r="A10" s="346">
        <f>ROW()</f>
        <v>10</v>
      </c>
      <c r="B10" s="31" t="s">
        <v>296</v>
      </c>
      <c r="C10" s="31"/>
      <c r="D10" s="31"/>
      <c r="E10" s="246"/>
      <c r="F10" s="246"/>
      <c r="G10" s="246"/>
      <c r="H10" s="246"/>
      <c r="I10" s="246"/>
      <c r="J10" s="246"/>
      <c r="K10" s="292"/>
      <c r="L10" s="343"/>
      <c r="M10" s="453"/>
      <c r="N10" s="453"/>
      <c r="O10" s="453"/>
      <c r="P10" s="453"/>
      <c r="Q10" s="453"/>
      <c r="R10" s="453"/>
      <c r="S10" s="453"/>
      <c r="T10" s="453"/>
      <c r="U10" s="453"/>
      <c r="V10" s="453"/>
    </row>
    <row r="11" spans="1:23" x14ac:dyDescent="0.25">
      <c r="A11" s="346">
        <f>ROW()</f>
        <v>11</v>
      </c>
      <c r="B11" s="716" t="s">
        <v>297</v>
      </c>
      <c r="C11" s="716"/>
      <c r="D11" s="290">
        <f t="shared" ref="D11:J11" si="1">COUNTIF(D14:D26,"&gt;0")</f>
        <v>13</v>
      </c>
      <c r="E11" s="290">
        <f t="shared" si="1"/>
        <v>13</v>
      </c>
      <c r="F11" s="284">
        <f t="shared" si="1"/>
        <v>13</v>
      </c>
      <c r="G11" s="284">
        <f t="shared" si="1"/>
        <v>13</v>
      </c>
      <c r="H11" s="284">
        <f t="shared" si="1"/>
        <v>13</v>
      </c>
      <c r="I11" s="284">
        <f t="shared" si="1"/>
        <v>13</v>
      </c>
      <c r="J11" s="285">
        <f t="shared" si="1"/>
        <v>13</v>
      </c>
      <c r="K11" s="294"/>
      <c r="L11" s="343"/>
      <c r="M11" s="453"/>
      <c r="N11" s="453"/>
      <c r="O11" s="453"/>
      <c r="P11" s="453"/>
      <c r="Q11" s="453"/>
      <c r="R11" s="453"/>
      <c r="S11" s="453"/>
      <c r="T11" s="453"/>
      <c r="U11" s="453"/>
      <c r="V11" s="453"/>
    </row>
    <row r="12" spans="1:23" x14ac:dyDescent="0.25">
      <c r="A12" s="346">
        <f>ROW()</f>
        <v>12</v>
      </c>
      <c r="B12" s="62" t="s">
        <v>298</v>
      </c>
      <c r="C12" s="62"/>
      <c r="D12" s="291">
        <f>+' Enrol &amp; Rev'!F19</f>
        <v>0</v>
      </c>
      <c r="E12" s="295">
        <f>+' Enrol &amp; Rev'!G19</f>
        <v>0</v>
      </c>
      <c r="F12" s="296">
        <f>+' Enrol &amp; Rev'!H19</f>
        <v>0</v>
      </c>
      <c r="G12" s="296">
        <f>+' Enrol &amp; Rev'!I19</f>
        <v>0</v>
      </c>
      <c r="H12" s="296">
        <f>+' Enrol &amp; Rev'!J19</f>
        <v>0</v>
      </c>
      <c r="I12" s="296">
        <f>+' Enrol &amp; Rev'!K19</f>
        <v>0</v>
      </c>
      <c r="J12" s="297">
        <f>+' Enrol &amp; Rev'!L19</f>
        <v>0</v>
      </c>
      <c r="K12" s="294"/>
      <c r="L12" s="343"/>
      <c r="M12" s="453"/>
      <c r="N12" s="453"/>
      <c r="O12" s="453"/>
      <c r="P12" s="453"/>
      <c r="Q12" s="453"/>
      <c r="R12" s="453"/>
      <c r="S12" s="453"/>
      <c r="T12" s="453"/>
      <c r="U12" s="453"/>
      <c r="V12" s="453"/>
    </row>
    <row r="13" spans="1:23" x14ac:dyDescent="0.25">
      <c r="A13" s="346">
        <f>ROW()</f>
        <v>13</v>
      </c>
      <c r="B13" s="41"/>
      <c r="C13" s="41"/>
      <c r="D13" s="599"/>
      <c r="E13" s="599"/>
      <c r="F13" s="599"/>
      <c r="G13" s="599"/>
      <c r="H13" s="599"/>
      <c r="I13" s="599"/>
      <c r="J13" s="599"/>
      <c r="K13" s="250"/>
      <c r="L13" s="343"/>
      <c r="M13" s="453"/>
      <c r="N13" s="453"/>
      <c r="O13" s="453"/>
      <c r="P13" s="453"/>
      <c r="Q13" s="453"/>
      <c r="R13" s="453"/>
      <c r="S13" s="453"/>
      <c r="T13" s="453"/>
      <c r="U13" s="453"/>
      <c r="V13" s="453"/>
      <c r="W13" s="453"/>
    </row>
    <row r="14" spans="1:23" x14ac:dyDescent="0.25">
      <c r="A14" s="346">
        <f>ROW()</f>
        <v>14</v>
      </c>
      <c r="B14" s="656" t="s">
        <v>299</v>
      </c>
      <c r="C14" s="845"/>
      <c r="D14" s="601">
        <f>' Enrol &amp; Rev'!F23</f>
        <v>48.12</v>
      </c>
      <c r="E14" s="601">
        <f>' Enrol &amp; Rev'!G23</f>
        <v>48.12</v>
      </c>
      <c r="F14" s="601">
        <f>' Enrol &amp; Rev'!H23</f>
        <v>48.12</v>
      </c>
      <c r="G14" s="601">
        <f>' Enrol &amp; Rev'!I23</f>
        <v>48.12</v>
      </c>
      <c r="H14" s="601">
        <f>' Enrol &amp; Rev'!J23</f>
        <v>48.12</v>
      </c>
      <c r="I14" s="601">
        <f>' Enrol &amp; Rev'!K23</f>
        <v>48.12</v>
      </c>
      <c r="J14" s="601">
        <f>' Enrol &amp; Rev'!L23</f>
        <v>48.12</v>
      </c>
      <c r="K14" s="54"/>
      <c r="L14" s="343"/>
      <c r="M14" s="453"/>
      <c r="N14" s="453"/>
      <c r="O14" s="453"/>
      <c r="P14" s="453"/>
      <c r="Q14" s="453"/>
      <c r="R14" s="453"/>
      <c r="S14" s="453"/>
      <c r="T14" s="453"/>
      <c r="U14" s="453"/>
      <c r="V14" s="453"/>
      <c r="W14" s="453"/>
    </row>
    <row r="15" spans="1:23" x14ac:dyDescent="0.25">
      <c r="A15" s="346">
        <f>ROW()</f>
        <v>15</v>
      </c>
      <c r="B15" s="70" t="s">
        <v>300</v>
      </c>
      <c r="C15" s="329"/>
      <c r="D15" s="600">
        <f>' Enrol &amp; Rev'!F24</f>
        <v>43.88</v>
      </c>
      <c r="E15" s="600">
        <f>' Enrol &amp; Rev'!G24</f>
        <v>43.88</v>
      </c>
      <c r="F15" s="600">
        <f>' Enrol &amp; Rev'!H24</f>
        <v>43.88</v>
      </c>
      <c r="G15" s="600">
        <f>' Enrol &amp; Rev'!I24</f>
        <v>43.88</v>
      </c>
      <c r="H15" s="600">
        <f>' Enrol &amp; Rev'!J24</f>
        <v>43.88</v>
      </c>
      <c r="I15" s="600">
        <f>' Enrol &amp; Rev'!K24</f>
        <v>43.88</v>
      </c>
      <c r="J15" s="600">
        <f>' Enrol &amp; Rev'!L24</f>
        <v>43.88</v>
      </c>
      <c r="K15" s="54"/>
      <c r="L15" s="343"/>
      <c r="M15" s="453"/>
      <c r="N15" s="453"/>
      <c r="O15" s="453"/>
      <c r="P15" s="453"/>
      <c r="Q15" s="453"/>
      <c r="R15" s="453"/>
      <c r="S15" s="453"/>
      <c r="T15" s="453"/>
      <c r="U15" s="453"/>
      <c r="V15" s="453"/>
      <c r="W15" s="453"/>
    </row>
    <row r="16" spans="1:23" x14ac:dyDescent="0.25">
      <c r="A16" s="346">
        <f>ROW()</f>
        <v>16</v>
      </c>
      <c r="B16" s="70" t="s">
        <v>301</v>
      </c>
      <c r="C16" s="329"/>
      <c r="D16" s="600">
        <f>' Enrol &amp; Rev'!F25</f>
        <v>53.08</v>
      </c>
      <c r="E16" s="600">
        <f>' Enrol &amp; Rev'!G25</f>
        <v>53.08</v>
      </c>
      <c r="F16" s="600">
        <f>' Enrol &amp; Rev'!H25</f>
        <v>53.08</v>
      </c>
      <c r="G16" s="600">
        <f>' Enrol &amp; Rev'!I25</f>
        <v>53.08</v>
      </c>
      <c r="H16" s="600">
        <f>' Enrol &amp; Rev'!J25</f>
        <v>53.08</v>
      </c>
      <c r="I16" s="600">
        <f>' Enrol &amp; Rev'!K25</f>
        <v>53.08</v>
      </c>
      <c r="J16" s="600">
        <f>' Enrol &amp; Rev'!L25</f>
        <v>53.08</v>
      </c>
      <c r="K16" s="54"/>
      <c r="L16" s="343"/>
      <c r="M16" s="453"/>
      <c r="N16" s="453"/>
      <c r="O16" s="453"/>
      <c r="P16" s="453"/>
      <c r="Q16" s="453"/>
      <c r="R16" s="453"/>
      <c r="S16" s="453"/>
      <c r="T16" s="453"/>
      <c r="U16" s="453"/>
      <c r="V16" s="453"/>
      <c r="W16" s="453"/>
    </row>
    <row r="17" spans="1:23" x14ac:dyDescent="0.25">
      <c r="A17" s="346">
        <f>ROW()</f>
        <v>17</v>
      </c>
      <c r="B17" s="70" t="s">
        <v>302</v>
      </c>
      <c r="C17" s="329"/>
      <c r="D17" s="600">
        <f>' Enrol &amp; Rev'!F26</f>
        <v>60.61</v>
      </c>
      <c r="E17" s="600">
        <f>' Enrol &amp; Rev'!G26</f>
        <v>60.61</v>
      </c>
      <c r="F17" s="600">
        <f>' Enrol &amp; Rev'!H26</f>
        <v>60.61</v>
      </c>
      <c r="G17" s="600">
        <f>' Enrol &amp; Rev'!I26</f>
        <v>60.61</v>
      </c>
      <c r="H17" s="600">
        <f>' Enrol &amp; Rev'!J26</f>
        <v>60.61</v>
      </c>
      <c r="I17" s="600">
        <f>' Enrol &amp; Rev'!K26</f>
        <v>60.61</v>
      </c>
      <c r="J17" s="600">
        <f>' Enrol &amp; Rev'!L26</f>
        <v>60.61</v>
      </c>
      <c r="K17" s="54"/>
      <c r="L17" s="343"/>
      <c r="M17" s="453"/>
      <c r="N17" s="453"/>
      <c r="O17" s="453"/>
      <c r="P17" s="453"/>
      <c r="Q17" s="453"/>
      <c r="R17" s="453"/>
      <c r="S17" s="453"/>
      <c r="T17" s="453"/>
      <c r="U17" s="453"/>
      <c r="V17" s="453"/>
      <c r="W17" s="453"/>
    </row>
    <row r="18" spans="1:23" x14ac:dyDescent="0.25">
      <c r="A18" s="346">
        <f>ROW()</f>
        <v>18</v>
      </c>
      <c r="B18" s="70" t="s">
        <v>303</v>
      </c>
      <c r="C18" s="329"/>
      <c r="D18" s="600">
        <f>' Enrol &amp; Rev'!F27</f>
        <v>72.260000000000005</v>
      </c>
      <c r="E18" s="600">
        <f>' Enrol &amp; Rev'!G27</f>
        <v>72.260000000000005</v>
      </c>
      <c r="F18" s="600">
        <f>' Enrol &amp; Rev'!H27</f>
        <v>72.260000000000005</v>
      </c>
      <c r="G18" s="600">
        <f>' Enrol &amp; Rev'!I27</f>
        <v>72.260000000000005</v>
      </c>
      <c r="H18" s="600">
        <f>' Enrol &amp; Rev'!J27</f>
        <v>72.260000000000005</v>
      </c>
      <c r="I18" s="600">
        <f>' Enrol &amp; Rev'!K27</f>
        <v>72.260000000000005</v>
      </c>
      <c r="J18" s="600">
        <f>' Enrol &amp; Rev'!L27</f>
        <v>72.260000000000005</v>
      </c>
      <c r="K18" s="54"/>
      <c r="L18" s="343"/>
      <c r="M18" s="453"/>
      <c r="N18" s="453"/>
      <c r="O18" s="453"/>
      <c r="P18" s="453"/>
      <c r="Q18" s="453"/>
      <c r="R18" s="453"/>
      <c r="S18" s="453"/>
      <c r="T18" s="453"/>
      <c r="U18" s="453"/>
      <c r="V18" s="453"/>
      <c r="W18" s="453"/>
    </row>
    <row r="19" spans="1:23" x14ac:dyDescent="0.25">
      <c r="A19" s="346">
        <f>ROW()</f>
        <v>19</v>
      </c>
      <c r="B19" s="70" t="s">
        <v>304</v>
      </c>
      <c r="C19" s="329"/>
      <c r="D19" s="600">
        <f>' Enrol &amp; Rev'!F28</f>
        <v>75.150000000000006</v>
      </c>
      <c r="E19" s="600">
        <f>' Enrol &amp; Rev'!G28</f>
        <v>75.150000000000006</v>
      </c>
      <c r="F19" s="600">
        <f>' Enrol &amp; Rev'!H28</f>
        <v>75.150000000000006</v>
      </c>
      <c r="G19" s="600">
        <f>' Enrol &amp; Rev'!I28</f>
        <v>75.150000000000006</v>
      </c>
      <c r="H19" s="600">
        <f>' Enrol &amp; Rev'!J28</f>
        <v>75.150000000000006</v>
      </c>
      <c r="I19" s="600">
        <f>' Enrol &amp; Rev'!K28</f>
        <v>75.150000000000006</v>
      </c>
      <c r="J19" s="600">
        <f>' Enrol &amp; Rev'!L28</f>
        <v>75.150000000000006</v>
      </c>
      <c r="K19" s="54"/>
      <c r="L19" s="343"/>
      <c r="M19" s="453"/>
      <c r="N19" s="453"/>
      <c r="O19" s="453"/>
      <c r="P19" s="453"/>
      <c r="Q19" s="453"/>
      <c r="R19" s="453"/>
      <c r="S19" s="453"/>
      <c r="T19" s="453"/>
      <c r="U19" s="453"/>
      <c r="V19" s="453"/>
      <c r="W19" s="453"/>
    </row>
    <row r="20" spans="1:23" x14ac:dyDescent="0.25">
      <c r="A20" s="346">
        <f>ROW()</f>
        <v>20</v>
      </c>
      <c r="B20" s="70" t="s">
        <v>305</v>
      </c>
      <c r="C20" s="329"/>
      <c r="D20" s="600">
        <f>' Enrol &amp; Rev'!F29</f>
        <v>164.84</v>
      </c>
      <c r="E20" s="600">
        <f>' Enrol &amp; Rev'!G29</f>
        <v>164.84</v>
      </c>
      <c r="F20" s="600">
        <f>' Enrol &amp; Rev'!H29</f>
        <v>164.84</v>
      </c>
      <c r="G20" s="600">
        <f>' Enrol &amp; Rev'!I29</f>
        <v>164.84</v>
      </c>
      <c r="H20" s="600">
        <f>' Enrol &amp; Rev'!J29</f>
        <v>164.84</v>
      </c>
      <c r="I20" s="600">
        <f>' Enrol &amp; Rev'!K29</f>
        <v>164.84</v>
      </c>
      <c r="J20" s="600">
        <f>' Enrol &amp; Rev'!L29</f>
        <v>164.84</v>
      </c>
      <c r="K20" s="54"/>
      <c r="L20" s="343"/>
      <c r="M20" s="453"/>
      <c r="N20" s="453"/>
      <c r="O20" s="453"/>
      <c r="P20" s="453"/>
      <c r="Q20" s="453"/>
      <c r="R20" s="453"/>
      <c r="S20" s="453"/>
      <c r="T20" s="453"/>
      <c r="U20" s="453"/>
      <c r="V20" s="453"/>
      <c r="W20" s="453"/>
    </row>
    <row r="21" spans="1:23" x14ac:dyDescent="0.25">
      <c r="A21" s="346">
        <f>ROW()</f>
        <v>21</v>
      </c>
      <c r="B21" s="70" t="s">
        <v>306</v>
      </c>
      <c r="C21" s="329"/>
      <c r="D21" s="600">
        <f>' Enrol &amp; Rev'!F30</f>
        <v>218.49</v>
      </c>
      <c r="E21" s="600">
        <f>' Enrol &amp; Rev'!G30</f>
        <v>218.49</v>
      </c>
      <c r="F21" s="600">
        <f>' Enrol &amp; Rev'!H30</f>
        <v>218.49</v>
      </c>
      <c r="G21" s="600">
        <f>' Enrol &amp; Rev'!I30</f>
        <v>218.49</v>
      </c>
      <c r="H21" s="600">
        <f>' Enrol &amp; Rev'!J30</f>
        <v>218.49</v>
      </c>
      <c r="I21" s="600">
        <f>' Enrol &amp; Rev'!K30</f>
        <v>218.49</v>
      </c>
      <c r="J21" s="600">
        <f>' Enrol &amp; Rev'!L30</f>
        <v>218.49</v>
      </c>
      <c r="K21" s="54"/>
      <c r="L21" s="343"/>
      <c r="M21" s="453"/>
      <c r="N21" s="453"/>
      <c r="O21" s="453"/>
      <c r="P21" s="453"/>
      <c r="Q21" s="453"/>
      <c r="R21" s="453"/>
      <c r="S21" s="453"/>
      <c r="T21" s="453"/>
      <c r="U21" s="453"/>
      <c r="V21" s="453"/>
    </row>
    <row r="22" spans="1:23" x14ac:dyDescent="0.25">
      <c r="A22" s="346">
        <f>ROW()</f>
        <v>22</v>
      </c>
      <c r="B22" s="70" t="s">
        <v>307</v>
      </c>
      <c r="C22" s="329"/>
      <c r="D22" s="600">
        <f>' Enrol &amp; Rev'!F31</f>
        <v>220.76</v>
      </c>
      <c r="E22" s="600">
        <f>' Enrol &amp; Rev'!G31</f>
        <v>220.76</v>
      </c>
      <c r="F22" s="600">
        <f>' Enrol &amp; Rev'!H31</f>
        <v>220.76</v>
      </c>
      <c r="G22" s="600">
        <f>' Enrol &amp; Rev'!I31</f>
        <v>220.76</v>
      </c>
      <c r="H22" s="600">
        <f>' Enrol &amp; Rev'!J31</f>
        <v>220.76</v>
      </c>
      <c r="I22" s="600">
        <f>' Enrol &amp; Rev'!K31</f>
        <v>220.76</v>
      </c>
      <c r="J22" s="600">
        <f>' Enrol &amp; Rev'!L31</f>
        <v>220.76</v>
      </c>
      <c r="K22" s="54"/>
      <c r="L22" s="343"/>
      <c r="M22" s="453"/>
      <c r="N22" s="453"/>
      <c r="O22" s="453"/>
      <c r="P22" s="453"/>
      <c r="Q22" s="453"/>
      <c r="R22" s="453"/>
      <c r="S22" s="453"/>
      <c r="T22" s="453"/>
      <c r="U22" s="453"/>
      <c r="V22" s="453"/>
    </row>
    <row r="23" spans="1:23" x14ac:dyDescent="0.25">
      <c r="A23" s="346">
        <f>ROW()</f>
        <v>23</v>
      </c>
      <c r="B23" s="70" t="s">
        <v>308</v>
      </c>
      <c r="C23" s="329"/>
      <c r="D23" s="600">
        <f>' Enrol &amp; Rev'!F32</f>
        <v>273.95999999999998</v>
      </c>
      <c r="E23" s="600">
        <f>' Enrol &amp; Rev'!G32</f>
        <v>273.95999999999998</v>
      </c>
      <c r="F23" s="600">
        <f>' Enrol &amp; Rev'!H32</f>
        <v>273.95999999999998</v>
      </c>
      <c r="G23" s="600">
        <f>' Enrol &amp; Rev'!I32</f>
        <v>273.95999999999998</v>
      </c>
      <c r="H23" s="600">
        <f>' Enrol &amp; Rev'!J32</f>
        <v>273.95999999999998</v>
      </c>
      <c r="I23" s="600">
        <f>' Enrol &amp; Rev'!K32</f>
        <v>273.95999999999998</v>
      </c>
      <c r="J23" s="600">
        <f>' Enrol &amp; Rev'!L32</f>
        <v>273.95999999999998</v>
      </c>
      <c r="K23" s="54"/>
      <c r="L23" s="343"/>
      <c r="M23" s="453"/>
      <c r="N23" s="453"/>
      <c r="O23" s="453"/>
      <c r="P23" s="453"/>
      <c r="Q23" s="453"/>
      <c r="R23" s="453"/>
      <c r="S23" s="453"/>
      <c r="T23" s="453"/>
      <c r="U23" s="453"/>
      <c r="V23" s="453"/>
    </row>
    <row r="24" spans="1:23" x14ac:dyDescent="0.25">
      <c r="A24" s="346">
        <f>ROW()</f>
        <v>24</v>
      </c>
      <c r="B24" s="70" t="s">
        <v>309</v>
      </c>
      <c r="C24" s="329"/>
      <c r="D24" s="600">
        <f>' Enrol &amp; Rev'!F33</f>
        <v>302.51</v>
      </c>
      <c r="E24" s="600">
        <f>' Enrol &amp; Rev'!G33</f>
        <v>302.51</v>
      </c>
      <c r="F24" s="600">
        <f>' Enrol &amp; Rev'!H33</f>
        <v>302.51</v>
      </c>
      <c r="G24" s="600">
        <f>' Enrol &amp; Rev'!I33</f>
        <v>302.51</v>
      </c>
      <c r="H24" s="600">
        <f>' Enrol &amp; Rev'!J33</f>
        <v>302.51</v>
      </c>
      <c r="I24" s="600">
        <f>' Enrol &amp; Rev'!K33</f>
        <v>302.51</v>
      </c>
      <c r="J24" s="600">
        <f>' Enrol &amp; Rev'!L33</f>
        <v>302.51</v>
      </c>
      <c r="K24" s="54"/>
      <c r="L24" s="343"/>
      <c r="M24" s="453"/>
      <c r="N24" s="453"/>
      <c r="O24" s="453"/>
      <c r="P24" s="453"/>
      <c r="Q24" s="453"/>
      <c r="R24" s="453"/>
      <c r="S24" s="453"/>
      <c r="T24" s="453"/>
      <c r="U24" s="453"/>
      <c r="V24" s="453"/>
    </row>
    <row r="25" spans="1:23" x14ac:dyDescent="0.25">
      <c r="A25" s="346">
        <f>ROW()</f>
        <v>25</v>
      </c>
      <c r="B25" s="70" t="s">
        <v>310</v>
      </c>
      <c r="C25" s="329"/>
      <c r="D25" s="600">
        <f>' Enrol &amp; Rev'!F34</f>
        <v>390.51</v>
      </c>
      <c r="E25" s="600">
        <f>' Enrol &amp; Rev'!G34</f>
        <v>390.51</v>
      </c>
      <c r="F25" s="600">
        <f>' Enrol &amp; Rev'!H34</f>
        <v>390.51</v>
      </c>
      <c r="G25" s="600">
        <f>' Enrol &amp; Rev'!I34</f>
        <v>390.51</v>
      </c>
      <c r="H25" s="600">
        <f>' Enrol &amp; Rev'!J34</f>
        <v>390.51</v>
      </c>
      <c r="I25" s="600">
        <f>' Enrol &amp; Rev'!K34</f>
        <v>390.51</v>
      </c>
      <c r="J25" s="600">
        <f>' Enrol &amp; Rev'!L34</f>
        <v>390.51</v>
      </c>
      <c r="K25" s="54"/>
      <c r="L25" s="343"/>
      <c r="M25" s="453"/>
      <c r="N25" s="453"/>
      <c r="O25" s="453"/>
      <c r="P25" s="453"/>
      <c r="Q25" s="453"/>
      <c r="R25" s="453"/>
      <c r="S25" s="453"/>
      <c r="T25" s="453"/>
      <c r="U25" s="453"/>
      <c r="V25" s="453"/>
    </row>
    <row r="26" spans="1:23" x14ac:dyDescent="0.25">
      <c r="A26" s="346">
        <f>ROW()</f>
        <v>26</v>
      </c>
      <c r="B26" s="655" t="s">
        <v>311</v>
      </c>
      <c r="C26" s="846"/>
      <c r="D26" s="602">
        <f>' Enrol &amp; Rev'!F35</f>
        <v>395.85</v>
      </c>
      <c r="E26" s="602">
        <f>' Enrol &amp; Rev'!G35</f>
        <v>395.85</v>
      </c>
      <c r="F26" s="602">
        <f>' Enrol &amp; Rev'!H35</f>
        <v>395.85</v>
      </c>
      <c r="G26" s="602">
        <f>' Enrol &amp; Rev'!I35</f>
        <v>395.85</v>
      </c>
      <c r="H26" s="602">
        <f>' Enrol &amp; Rev'!J35</f>
        <v>395.85</v>
      </c>
      <c r="I26" s="602">
        <f>' Enrol &amp; Rev'!K35</f>
        <v>395.85</v>
      </c>
      <c r="J26" s="602">
        <f>' Enrol &amp; Rev'!L35</f>
        <v>395.85</v>
      </c>
      <c r="K26" s="54"/>
      <c r="L26" s="343"/>
      <c r="M26" s="453"/>
      <c r="N26" s="453"/>
      <c r="O26" s="453"/>
      <c r="P26" s="453"/>
      <c r="Q26" s="453"/>
      <c r="R26" s="453"/>
      <c r="S26" s="453"/>
      <c r="T26" s="453"/>
      <c r="U26" s="453"/>
      <c r="V26" s="453"/>
    </row>
    <row r="27" spans="1:23" x14ac:dyDescent="0.25">
      <c r="A27" s="346">
        <f>ROW()</f>
        <v>27</v>
      </c>
      <c r="B27" s="170" t="s">
        <v>312</v>
      </c>
      <c r="C27" s="170"/>
      <c r="D27" s="181">
        <f t="shared" ref="D27:J27" si="2">SUM(D14:D26)</f>
        <v>2320.02</v>
      </c>
      <c r="E27" s="181">
        <f t="shared" si="2"/>
        <v>2320.02</v>
      </c>
      <c r="F27" s="181">
        <f t="shared" si="2"/>
        <v>2320.02</v>
      </c>
      <c r="G27" s="181">
        <f t="shared" si="2"/>
        <v>2320.02</v>
      </c>
      <c r="H27" s="181">
        <f t="shared" si="2"/>
        <v>2320.02</v>
      </c>
      <c r="I27" s="181">
        <f t="shared" si="2"/>
        <v>2320.02</v>
      </c>
      <c r="J27" s="181">
        <f t="shared" si="2"/>
        <v>2320.02</v>
      </c>
      <c r="K27" s="181"/>
      <c r="L27" s="343"/>
      <c r="M27" s="453"/>
      <c r="N27" s="453"/>
      <c r="O27" s="453"/>
      <c r="P27" s="453"/>
      <c r="Q27" s="453"/>
      <c r="R27" s="453"/>
      <c r="S27" s="453"/>
      <c r="T27" s="453"/>
      <c r="U27" s="453"/>
      <c r="V27" s="453"/>
    </row>
    <row r="28" spans="1:23" x14ac:dyDescent="0.25">
      <c r="A28" s="346">
        <f>ROW()</f>
        <v>28</v>
      </c>
      <c r="B28" s="41" t="s">
        <v>313</v>
      </c>
      <c r="C28" s="41"/>
      <c r="D28" s="124"/>
      <c r="E28" s="124">
        <f>IFERROR(E27/E12,0)</f>
        <v>0</v>
      </c>
      <c r="F28" s="124">
        <f t="shared" ref="F28:J28" si="3">IFERROR(F27/F12,0)</f>
        <v>0</v>
      </c>
      <c r="G28" s="124">
        <f t="shared" si="3"/>
        <v>0</v>
      </c>
      <c r="H28" s="124">
        <f t="shared" si="3"/>
        <v>0</v>
      </c>
      <c r="I28" s="124">
        <f t="shared" si="3"/>
        <v>0</v>
      </c>
      <c r="J28" s="124">
        <f t="shared" si="3"/>
        <v>0</v>
      </c>
      <c r="K28" s="124"/>
      <c r="L28" s="343"/>
      <c r="M28" s="453"/>
      <c r="N28" s="453"/>
      <c r="O28" s="453"/>
      <c r="P28" s="453"/>
      <c r="Q28" s="453"/>
      <c r="R28" s="453"/>
      <c r="S28" s="453"/>
      <c r="T28" s="453"/>
      <c r="U28" s="453"/>
      <c r="V28" s="453"/>
    </row>
    <row r="29" spans="1:23" x14ac:dyDescent="0.25">
      <c r="A29" s="346">
        <f>ROW()</f>
        <v>29</v>
      </c>
      <c r="B29" s="41" t="s">
        <v>314</v>
      </c>
      <c r="C29" s="41"/>
      <c r="D29" s="124"/>
      <c r="E29" s="369">
        <f>IFERROR(IF(AND(E27,$H$57)&gt;0,E27/$H57,0),0)</f>
        <v>1.0000086206896552</v>
      </c>
      <c r="F29" s="370">
        <f t="shared" ref="F29:J29" si="4">IFERROR(IF(AND(F27,$H$57)&gt;0,F27/$H57,0),0)</f>
        <v>1.0000086206896552</v>
      </c>
      <c r="G29" s="370">
        <f t="shared" si="4"/>
        <v>1.0000086206896552</v>
      </c>
      <c r="H29" s="370">
        <f t="shared" si="4"/>
        <v>1.0000086206896552</v>
      </c>
      <c r="I29" s="370">
        <f t="shared" si="4"/>
        <v>1.0000086206896552</v>
      </c>
      <c r="J29" s="370">
        <f t="shared" si="4"/>
        <v>1.0000086206896552</v>
      </c>
      <c r="K29" s="124"/>
      <c r="L29" s="343"/>
      <c r="M29" s="453"/>
      <c r="N29" s="453"/>
      <c r="O29" s="453"/>
      <c r="P29" s="453"/>
      <c r="Q29" s="453"/>
      <c r="R29" s="453"/>
      <c r="S29" s="453"/>
      <c r="T29" s="453"/>
      <c r="U29" s="453"/>
      <c r="V29" s="453"/>
    </row>
    <row r="30" spans="1:23" x14ac:dyDescent="0.25">
      <c r="A30" s="346">
        <f>ROW()</f>
        <v>30</v>
      </c>
      <c r="B30" s="41" t="s">
        <v>315</v>
      </c>
      <c r="C30" s="41"/>
      <c r="D30" s="124"/>
      <c r="E30" s="369">
        <f t="shared" ref="E30:J30" si="5">IFERROR(IF(AND(E27,$H$87)&gt;0,E27/$H87,0),0)</f>
        <v>1.0000086206896552</v>
      </c>
      <c r="F30" s="369">
        <f t="shared" si="5"/>
        <v>1.0000086206896552</v>
      </c>
      <c r="G30" s="369">
        <f t="shared" si="5"/>
        <v>1.0000086206896552</v>
      </c>
      <c r="H30" s="369">
        <f t="shared" si="5"/>
        <v>1.0000086206896552</v>
      </c>
      <c r="I30" s="369">
        <f t="shared" si="5"/>
        <v>1.0000086206896552</v>
      </c>
      <c r="J30" s="369">
        <f t="shared" si="5"/>
        <v>1.0000086206896552</v>
      </c>
      <c r="K30" s="124"/>
      <c r="L30" s="343"/>
      <c r="M30" s="453"/>
      <c r="N30" s="453"/>
      <c r="O30" s="453"/>
      <c r="P30" s="453"/>
      <c r="Q30" s="453"/>
      <c r="R30" s="453"/>
      <c r="S30" s="453"/>
      <c r="T30" s="453"/>
      <c r="U30" s="453"/>
      <c r="V30" s="453"/>
    </row>
    <row r="31" spans="1:23" x14ac:dyDescent="0.25">
      <c r="A31" s="346">
        <f>ROW()</f>
        <v>31</v>
      </c>
      <c r="B31" s="160" t="s">
        <v>316</v>
      </c>
      <c r="C31" s="41"/>
      <c r="D31" s="124"/>
      <c r="E31" s="369"/>
      <c r="F31" s="370"/>
      <c r="G31" s="370"/>
      <c r="H31" s="370"/>
      <c r="I31" s="370"/>
      <c r="J31" s="370"/>
      <c r="K31" s="124"/>
      <c r="L31" s="343"/>
      <c r="M31" s="453"/>
      <c r="N31" s="453"/>
      <c r="O31" s="453"/>
      <c r="P31" s="453"/>
      <c r="Q31" s="453"/>
      <c r="R31" s="453"/>
      <c r="S31" s="453"/>
      <c r="T31" s="453"/>
      <c r="U31" s="453"/>
      <c r="V31" s="453"/>
    </row>
    <row r="32" spans="1:23" x14ac:dyDescent="0.25">
      <c r="A32" s="346"/>
      <c r="B32" s="46"/>
      <c r="C32" s="46"/>
      <c r="D32" s="46"/>
      <c r="E32" s="41"/>
      <c r="F32" s="73"/>
      <c r="G32" s="74"/>
      <c r="H32" s="74"/>
      <c r="I32" s="74"/>
      <c r="J32" s="74"/>
      <c r="K32" s="74"/>
      <c r="L32" s="343"/>
      <c r="M32" s="453"/>
      <c r="N32" s="453"/>
      <c r="O32" s="453"/>
      <c r="P32" s="453"/>
      <c r="Q32" s="453"/>
      <c r="R32" s="453"/>
      <c r="S32" s="453"/>
      <c r="T32" s="453"/>
      <c r="U32" s="453"/>
      <c r="V32" s="453"/>
    </row>
    <row r="33" spans="1:22" ht="15.75" x14ac:dyDescent="0.25">
      <c r="A33" s="196" t="s">
        <v>317</v>
      </c>
      <c r="B33" s="46"/>
      <c r="C33" s="46"/>
      <c r="D33" s="46"/>
      <c r="F33" s="73"/>
      <c r="G33" s="74"/>
      <c r="H33" s="74"/>
      <c r="L33" s="343"/>
      <c r="M33" s="453"/>
      <c r="N33" s="453"/>
      <c r="O33" s="453"/>
      <c r="P33" s="453"/>
      <c r="Q33" s="453"/>
      <c r="R33" s="453"/>
      <c r="S33" s="453"/>
      <c r="T33" s="453"/>
      <c r="U33" s="453"/>
      <c r="V33" s="453"/>
    </row>
    <row r="34" spans="1:22" ht="46.5" customHeight="1" x14ac:dyDescent="0.25">
      <c r="A34" s="847"/>
      <c r="B34" s="1780" t="s">
        <v>318</v>
      </c>
      <c r="C34" s="1780"/>
      <c r="D34" s="1655"/>
      <c r="E34" s="849" t="s">
        <v>319</v>
      </c>
      <c r="F34" s="848" t="s">
        <v>320</v>
      </c>
      <c r="G34" s="1587" t="s">
        <v>321</v>
      </c>
      <c r="H34" s="849" t="s">
        <v>322</v>
      </c>
      <c r="I34" s="714" t="s">
        <v>323</v>
      </c>
      <c r="K34" s="48"/>
      <c r="L34" s="922" t="s">
        <v>324</v>
      </c>
      <c r="M34" s="453"/>
      <c r="N34" s="453"/>
      <c r="O34" s="453"/>
      <c r="P34" s="453"/>
      <c r="Q34" s="453"/>
      <c r="R34" s="453"/>
      <c r="S34" s="453"/>
      <c r="T34" s="453"/>
      <c r="U34" s="453"/>
      <c r="V34" s="453"/>
    </row>
    <row r="35" spans="1:22" x14ac:dyDescent="0.25">
      <c r="A35" s="850">
        <f>ROW()</f>
        <v>35</v>
      </c>
      <c r="B35" s="1778" t="s">
        <v>325</v>
      </c>
      <c r="C35" s="1778"/>
      <c r="D35" s="1778"/>
      <c r="E35" s="1594"/>
      <c r="F35" s="1594"/>
      <c r="G35" s="1595"/>
      <c r="H35" s="1596"/>
      <c r="I35" s="1597"/>
      <c r="K35" s="48"/>
      <c r="L35" s="343" t="s">
        <v>326</v>
      </c>
      <c r="M35" s="453"/>
      <c r="N35" s="453"/>
      <c r="O35" s="453"/>
      <c r="P35" s="453"/>
      <c r="Q35" s="453"/>
      <c r="R35" s="453"/>
      <c r="S35" s="453"/>
      <c r="T35" s="453"/>
      <c r="U35" s="453"/>
      <c r="V35" s="453"/>
    </row>
    <row r="36" spans="1:22" x14ac:dyDescent="0.25">
      <c r="A36" s="603">
        <f>ROW()</f>
        <v>36</v>
      </c>
      <c r="B36" s="1779" t="s">
        <v>327</v>
      </c>
      <c r="C36" s="1779"/>
      <c r="D36" s="1779"/>
      <c r="E36" s="298"/>
      <c r="F36" s="298"/>
      <c r="G36" s="299"/>
      <c r="H36" s="256">
        <v>2320</v>
      </c>
      <c r="I36" s="851">
        <v>4</v>
      </c>
      <c r="K36" s="48"/>
      <c r="L36" s="343"/>
      <c r="M36" s="453"/>
      <c r="N36" s="453"/>
      <c r="O36" s="453"/>
      <c r="P36" s="453"/>
      <c r="Q36" s="453"/>
      <c r="R36" s="453"/>
      <c r="S36" s="453"/>
      <c r="T36" s="453"/>
      <c r="U36" s="453"/>
      <c r="V36" s="453"/>
    </row>
    <row r="37" spans="1:22" x14ac:dyDescent="0.25">
      <c r="A37" s="603">
        <f>ROW()</f>
        <v>37</v>
      </c>
      <c r="B37" s="1779"/>
      <c r="C37" s="1779"/>
      <c r="D37" s="1779"/>
      <c r="E37" s="298"/>
      <c r="F37" s="298"/>
      <c r="G37" s="299"/>
      <c r="H37" s="256"/>
      <c r="I37" s="851"/>
      <c r="K37" s="48"/>
      <c r="L37" s="343"/>
      <c r="M37" s="453"/>
      <c r="N37" s="453"/>
      <c r="O37" s="453"/>
      <c r="P37" s="453"/>
      <c r="Q37" s="453"/>
      <c r="R37" s="453"/>
      <c r="S37" s="453"/>
      <c r="T37" s="453"/>
      <c r="U37" s="453"/>
      <c r="V37" s="453"/>
    </row>
    <row r="38" spans="1:22" x14ac:dyDescent="0.25">
      <c r="A38" s="603">
        <f>ROW()</f>
        <v>38</v>
      </c>
      <c r="B38" s="1653"/>
      <c r="C38" s="1653"/>
      <c r="D38" s="1653"/>
      <c r="E38" s="298"/>
      <c r="F38" s="298"/>
      <c r="G38" s="299"/>
      <c r="H38" s="256"/>
      <c r="I38" s="851"/>
      <c r="K38" s="48"/>
      <c r="L38" s="343"/>
      <c r="M38" s="453"/>
      <c r="N38" s="453"/>
      <c r="O38" s="453"/>
      <c r="P38" s="453"/>
      <c r="Q38" s="453"/>
      <c r="R38" s="453"/>
      <c r="S38" s="453"/>
      <c r="T38" s="453"/>
      <c r="U38" s="453"/>
      <c r="V38" s="453"/>
    </row>
    <row r="39" spans="1:22" x14ac:dyDescent="0.25">
      <c r="A39" s="603">
        <f>ROW()</f>
        <v>39</v>
      </c>
      <c r="B39" s="1779"/>
      <c r="C39" s="1779"/>
      <c r="D39" s="1779"/>
      <c r="E39" s="298"/>
      <c r="F39" s="298"/>
      <c r="G39" s="299"/>
      <c r="H39" s="256"/>
      <c r="I39" s="851"/>
      <c r="K39" s="48"/>
      <c r="L39" s="343"/>
      <c r="M39" s="453"/>
      <c r="N39" s="453"/>
      <c r="O39" s="453"/>
      <c r="P39" s="453"/>
      <c r="Q39" s="453"/>
      <c r="R39" s="453"/>
      <c r="S39" s="453"/>
      <c r="T39" s="453"/>
      <c r="U39" s="453"/>
      <c r="V39" s="453"/>
    </row>
    <row r="40" spans="1:22" x14ac:dyDescent="0.25">
      <c r="A40" s="603">
        <f>ROW()</f>
        <v>40</v>
      </c>
      <c r="B40" s="1779"/>
      <c r="C40" s="1779"/>
      <c r="D40" s="1779"/>
      <c r="E40" s="298"/>
      <c r="F40" s="298"/>
      <c r="G40" s="299"/>
      <c r="H40" s="256">
        <v>0</v>
      </c>
      <c r="I40" s="851">
        <v>0</v>
      </c>
      <c r="K40" s="48"/>
      <c r="L40" s="343"/>
      <c r="M40" s="453"/>
      <c r="N40" s="453"/>
      <c r="O40" s="453"/>
      <c r="P40" s="453"/>
      <c r="Q40" s="453"/>
      <c r="R40" s="453"/>
      <c r="S40" s="453"/>
      <c r="T40" s="453"/>
      <c r="U40" s="453"/>
      <c r="V40" s="453"/>
    </row>
    <row r="41" spans="1:22" x14ac:dyDescent="0.25">
      <c r="A41" s="603">
        <f>ROW()</f>
        <v>41</v>
      </c>
      <c r="B41" s="1653"/>
      <c r="C41" s="1653"/>
      <c r="D41" s="1653"/>
      <c r="E41" s="298"/>
      <c r="F41" s="298"/>
      <c r="G41" s="299"/>
      <c r="H41" s="256">
        <v>0</v>
      </c>
      <c r="I41" s="851">
        <v>0</v>
      </c>
      <c r="K41" s="48"/>
      <c r="L41" s="343"/>
      <c r="M41" s="453"/>
      <c r="N41" s="453"/>
      <c r="O41" s="453"/>
      <c r="P41" s="453"/>
      <c r="Q41" s="453"/>
      <c r="R41" s="453"/>
      <c r="S41" s="453"/>
      <c r="T41" s="453"/>
      <c r="U41" s="453"/>
      <c r="V41" s="453"/>
    </row>
    <row r="42" spans="1:22" x14ac:dyDescent="0.25">
      <c r="A42" s="603">
        <f>ROW()</f>
        <v>42</v>
      </c>
      <c r="B42" s="1653"/>
      <c r="C42" s="1653"/>
      <c r="D42" s="1653"/>
      <c r="E42" s="298"/>
      <c r="F42" s="298"/>
      <c r="G42" s="299"/>
      <c r="H42" s="256">
        <v>0</v>
      </c>
      <c r="I42" s="851">
        <v>0</v>
      </c>
      <c r="K42" s="48"/>
      <c r="L42" s="343"/>
      <c r="M42" s="453"/>
      <c r="N42" s="453"/>
      <c r="O42" s="453"/>
      <c r="P42" s="453"/>
      <c r="Q42" s="453"/>
      <c r="R42" s="453"/>
      <c r="S42" s="453"/>
      <c r="T42" s="453"/>
      <c r="U42" s="453"/>
      <c r="V42" s="453"/>
    </row>
    <row r="43" spans="1:22" x14ac:dyDescent="0.25">
      <c r="A43" s="603">
        <f>ROW()</f>
        <v>43</v>
      </c>
      <c r="B43" s="1653"/>
      <c r="C43" s="1653"/>
      <c r="D43" s="1653"/>
      <c r="E43" s="298"/>
      <c r="F43" s="298"/>
      <c r="G43" s="299"/>
      <c r="H43" s="256">
        <v>0</v>
      </c>
      <c r="I43" s="851">
        <v>0</v>
      </c>
      <c r="K43" s="48"/>
      <c r="L43" s="343"/>
      <c r="M43" s="453"/>
      <c r="N43" s="453"/>
      <c r="O43" s="453"/>
      <c r="P43" s="453"/>
      <c r="Q43" s="453"/>
      <c r="R43" s="453"/>
      <c r="S43" s="453"/>
      <c r="T43" s="453"/>
      <c r="U43" s="453"/>
      <c r="V43" s="453"/>
    </row>
    <row r="44" spans="1:22" x14ac:dyDescent="0.25">
      <c r="A44" s="603">
        <f>ROW()</f>
        <v>44</v>
      </c>
      <c r="B44" s="1779"/>
      <c r="C44" s="1779"/>
      <c r="D44" s="1779"/>
      <c r="E44" s="298"/>
      <c r="F44" s="298"/>
      <c r="G44" s="299"/>
      <c r="H44" s="256">
        <v>0</v>
      </c>
      <c r="I44" s="851">
        <v>0</v>
      </c>
      <c r="K44" s="48"/>
      <c r="L44" s="343"/>
      <c r="M44" s="453"/>
      <c r="N44" s="453"/>
      <c r="O44" s="453"/>
      <c r="P44" s="453"/>
      <c r="Q44" s="453"/>
      <c r="R44" s="453"/>
      <c r="S44" s="453"/>
      <c r="T44" s="453"/>
      <c r="U44" s="453"/>
      <c r="V44" s="453"/>
    </row>
    <row r="45" spans="1:22" x14ac:dyDescent="0.25">
      <c r="A45" s="603">
        <f>ROW()</f>
        <v>45</v>
      </c>
      <c r="B45" s="1779"/>
      <c r="C45" s="1779"/>
      <c r="D45" s="1779"/>
      <c r="E45" s="298"/>
      <c r="F45" s="298"/>
      <c r="G45" s="299"/>
      <c r="H45" s="256">
        <v>0</v>
      </c>
      <c r="I45" s="851">
        <v>0</v>
      </c>
      <c r="K45" s="48"/>
      <c r="L45" s="343"/>
      <c r="M45" s="453"/>
      <c r="N45" s="453"/>
      <c r="O45" s="453"/>
      <c r="P45" s="453"/>
      <c r="Q45" s="453"/>
      <c r="R45" s="453"/>
      <c r="S45" s="453"/>
      <c r="T45" s="453"/>
      <c r="U45" s="453"/>
      <c r="V45" s="453"/>
    </row>
    <row r="46" spans="1:22" x14ac:dyDescent="0.25">
      <c r="A46" s="603">
        <f>ROW()</f>
        <v>46</v>
      </c>
      <c r="B46" s="1588" t="s">
        <v>330</v>
      </c>
      <c r="C46" s="1589"/>
      <c r="D46" s="1589"/>
      <c r="E46" s="1590"/>
      <c r="F46" s="1590"/>
      <c r="G46" s="1591"/>
      <c r="H46" s="1592"/>
      <c r="I46" s="1593"/>
      <c r="K46" s="48"/>
      <c r="L46" s="343"/>
      <c r="M46" s="453"/>
      <c r="N46" s="453"/>
      <c r="O46" s="453"/>
      <c r="P46" s="453"/>
      <c r="Q46" s="453"/>
      <c r="R46" s="453"/>
      <c r="S46" s="453"/>
      <c r="T46" s="453"/>
      <c r="U46" s="453"/>
      <c r="V46" s="453"/>
    </row>
    <row r="47" spans="1:22" x14ac:dyDescent="0.25">
      <c r="A47" s="603">
        <f>ROW()</f>
        <v>47</v>
      </c>
      <c r="B47" s="1653" t="s">
        <v>1576</v>
      </c>
      <c r="C47" s="1653"/>
      <c r="D47" s="1653"/>
      <c r="E47" s="298"/>
      <c r="F47" s="298"/>
      <c r="G47" s="299"/>
      <c r="H47" s="256">
        <v>0</v>
      </c>
      <c r="I47" s="851">
        <v>0</v>
      </c>
      <c r="K47" s="48"/>
      <c r="L47" s="343" t="s">
        <v>1575</v>
      </c>
      <c r="M47" s="453"/>
      <c r="N47" s="453"/>
      <c r="O47" s="453"/>
      <c r="P47" s="453"/>
      <c r="Q47" s="453"/>
      <c r="R47" s="453"/>
      <c r="S47" s="453"/>
      <c r="T47" s="453"/>
      <c r="U47" s="453"/>
      <c r="V47" s="453"/>
    </row>
    <row r="48" spans="1:22" x14ac:dyDescent="0.25">
      <c r="A48" s="603">
        <f>ROW()</f>
        <v>48</v>
      </c>
      <c r="B48" s="1779"/>
      <c r="C48" s="1779"/>
      <c r="D48" s="1779"/>
      <c r="E48" s="298"/>
      <c r="F48" s="298"/>
      <c r="G48" s="299"/>
      <c r="H48" s="256">
        <v>0</v>
      </c>
      <c r="I48" s="851">
        <v>0</v>
      </c>
      <c r="K48" s="48"/>
      <c r="L48" s="343"/>
      <c r="M48" s="453"/>
      <c r="N48" s="453"/>
      <c r="O48" s="453"/>
      <c r="P48" s="453"/>
      <c r="Q48" s="453"/>
      <c r="R48" s="453"/>
      <c r="S48" s="453"/>
      <c r="T48" s="453"/>
      <c r="U48" s="453"/>
      <c r="V48" s="453"/>
    </row>
    <row r="49" spans="1:22" x14ac:dyDescent="0.25">
      <c r="A49" s="995">
        <f>ROW()</f>
        <v>49</v>
      </c>
      <c r="B49" s="1652"/>
      <c r="C49" s="1652"/>
      <c r="D49" s="1652"/>
      <c r="E49" s="916"/>
      <c r="F49" s="916"/>
      <c r="G49" s="917"/>
      <c r="H49" s="258">
        <v>0</v>
      </c>
      <c r="I49" s="918">
        <v>0</v>
      </c>
      <c r="K49" s="48"/>
      <c r="L49" s="343"/>
      <c r="M49" s="453"/>
      <c r="N49" s="453"/>
      <c r="O49" s="453"/>
      <c r="P49" s="453"/>
      <c r="Q49" s="453"/>
      <c r="R49" s="453"/>
      <c r="S49" s="453"/>
      <c r="T49" s="453"/>
      <c r="U49" s="453"/>
      <c r="V49" s="453"/>
    </row>
    <row r="50" spans="1:22" x14ac:dyDescent="0.25">
      <c r="A50" s="995">
        <f>ROW()</f>
        <v>50</v>
      </c>
      <c r="B50" s="1652"/>
      <c r="C50" s="1652"/>
      <c r="D50" s="1652"/>
      <c r="E50" s="916"/>
      <c r="F50" s="916"/>
      <c r="G50" s="917"/>
      <c r="H50" s="258">
        <v>0</v>
      </c>
      <c r="I50" s="918">
        <v>0</v>
      </c>
      <c r="K50" s="48"/>
      <c r="L50" s="343"/>
      <c r="M50" s="453"/>
      <c r="N50" s="453"/>
      <c r="O50" s="453"/>
      <c r="P50" s="453"/>
      <c r="Q50" s="453"/>
      <c r="R50" s="453"/>
      <c r="S50" s="453"/>
      <c r="T50" s="453"/>
      <c r="U50" s="453"/>
      <c r="V50" s="453"/>
    </row>
    <row r="51" spans="1:22" x14ac:dyDescent="0.25">
      <c r="A51" s="995">
        <f>ROW()</f>
        <v>51</v>
      </c>
      <c r="B51" s="1652"/>
      <c r="C51" s="1652"/>
      <c r="D51" s="1652"/>
      <c r="E51" s="916"/>
      <c r="F51" s="916"/>
      <c r="G51" s="917"/>
      <c r="H51" s="258">
        <v>0</v>
      </c>
      <c r="I51" s="918">
        <v>0</v>
      </c>
      <c r="K51" s="48"/>
      <c r="L51" s="343"/>
      <c r="M51" s="453"/>
      <c r="N51" s="453"/>
      <c r="O51" s="453"/>
      <c r="P51" s="453"/>
      <c r="Q51" s="453"/>
      <c r="R51" s="453"/>
      <c r="S51" s="453"/>
      <c r="T51" s="453"/>
      <c r="U51" s="453"/>
      <c r="V51" s="453"/>
    </row>
    <row r="52" spans="1:22" x14ac:dyDescent="0.25">
      <c r="A52" s="995">
        <f>ROW()</f>
        <v>52</v>
      </c>
      <c r="B52" s="1652"/>
      <c r="C52" s="1652"/>
      <c r="D52" s="1652"/>
      <c r="E52" s="916"/>
      <c r="F52" s="916"/>
      <c r="G52" s="917"/>
      <c r="H52" s="258">
        <v>0</v>
      </c>
      <c r="I52" s="918">
        <v>0</v>
      </c>
      <c r="K52" s="48"/>
      <c r="L52" s="343"/>
      <c r="M52" s="453"/>
      <c r="N52" s="453"/>
      <c r="O52" s="453"/>
      <c r="P52" s="453"/>
      <c r="Q52" s="453"/>
      <c r="R52" s="453"/>
      <c r="S52" s="453"/>
      <c r="T52" s="453"/>
      <c r="U52" s="453"/>
      <c r="V52" s="453"/>
    </row>
    <row r="53" spans="1:22" x14ac:dyDescent="0.25">
      <c r="A53" s="995">
        <f>ROW()</f>
        <v>53</v>
      </c>
      <c r="B53" s="1652"/>
      <c r="C53" s="1652"/>
      <c r="D53" s="1652"/>
      <c r="E53" s="916"/>
      <c r="F53" s="916"/>
      <c r="G53" s="917"/>
      <c r="H53" s="258">
        <v>0</v>
      </c>
      <c r="I53" s="918">
        <v>0</v>
      </c>
      <c r="K53" s="48"/>
      <c r="L53" s="343"/>
      <c r="M53" s="453"/>
      <c r="N53" s="453"/>
      <c r="O53" s="453"/>
      <c r="P53" s="453"/>
      <c r="Q53" s="453"/>
      <c r="R53" s="453"/>
      <c r="S53" s="453"/>
      <c r="T53" s="453"/>
      <c r="U53" s="453"/>
      <c r="V53" s="453"/>
    </row>
    <row r="54" spans="1:22" x14ac:dyDescent="0.25">
      <c r="A54" s="995">
        <f>ROW()</f>
        <v>54</v>
      </c>
      <c r="B54" s="1652"/>
      <c r="C54" s="1652"/>
      <c r="D54" s="1652"/>
      <c r="E54" s="916"/>
      <c r="F54" s="916"/>
      <c r="G54" s="917"/>
      <c r="H54" s="258">
        <v>0</v>
      </c>
      <c r="I54" s="918">
        <v>0</v>
      </c>
      <c r="K54" s="48"/>
      <c r="L54" s="343"/>
      <c r="M54" s="453"/>
      <c r="N54" s="453"/>
      <c r="O54" s="453"/>
      <c r="P54" s="453"/>
      <c r="Q54" s="453"/>
      <c r="R54" s="453"/>
      <c r="S54" s="453"/>
      <c r="T54" s="453"/>
      <c r="U54" s="453"/>
      <c r="V54" s="453"/>
    </row>
    <row r="55" spans="1:22" x14ac:dyDescent="0.25">
      <c r="A55" s="995">
        <f>ROW()</f>
        <v>55</v>
      </c>
      <c r="B55" s="1652"/>
      <c r="C55" s="1652"/>
      <c r="D55" s="1652"/>
      <c r="E55" s="916"/>
      <c r="F55" s="916"/>
      <c r="G55" s="917"/>
      <c r="H55" s="258">
        <v>0</v>
      </c>
      <c r="I55" s="918">
        <v>0</v>
      </c>
      <c r="K55" s="48"/>
      <c r="L55" s="343"/>
      <c r="M55" s="453"/>
      <c r="N55" s="453"/>
      <c r="O55" s="453"/>
      <c r="P55" s="453"/>
      <c r="Q55" s="453"/>
      <c r="R55" s="453"/>
      <c r="S55" s="453"/>
      <c r="T55" s="453"/>
      <c r="U55" s="453"/>
      <c r="V55" s="453"/>
    </row>
    <row r="56" spans="1:22" x14ac:dyDescent="0.25">
      <c r="A56" s="921">
        <f>ROW()</f>
        <v>56</v>
      </c>
      <c r="B56" s="1652"/>
      <c r="C56" s="1652"/>
      <c r="D56" s="1652"/>
      <c r="E56" s="916"/>
      <c r="F56" s="916"/>
      <c r="G56" s="917"/>
      <c r="H56" s="258">
        <v>0</v>
      </c>
      <c r="I56" s="1350">
        <v>0</v>
      </c>
      <c r="K56" s="48"/>
      <c r="L56" s="343"/>
      <c r="M56" s="453"/>
      <c r="N56" s="453"/>
      <c r="O56" s="453"/>
      <c r="P56" s="453"/>
      <c r="Q56" s="453"/>
      <c r="R56" s="453"/>
      <c r="S56" s="453"/>
      <c r="T56" s="453"/>
      <c r="U56" s="453"/>
      <c r="V56" s="453"/>
    </row>
    <row r="57" spans="1:22" x14ac:dyDescent="0.25">
      <c r="A57" s="603">
        <f>ROW()</f>
        <v>57</v>
      </c>
      <c r="B57" s="1372"/>
      <c r="C57" s="1372"/>
      <c r="D57" s="1372"/>
      <c r="E57" s="1372"/>
      <c r="F57" s="1373"/>
      <c r="G57" s="125"/>
      <c r="H57" s="1373">
        <f>SUM(H35:H56)</f>
        <v>2320</v>
      </c>
      <c r="I57" s="1374">
        <f>IFERROR(SUMPRODUCT(H35:H56,I35:I56)/H57,0)</f>
        <v>4</v>
      </c>
      <c r="K57" s="317"/>
      <c r="L57" s="343"/>
      <c r="M57" s="453"/>
      <c r="N57" s="453"/>
      <c r="O57" s="453"/>
      <c r="P57" s="453"/>
      <c r="Q57" s="453"/>
      <c r="R57" s="453"/>
      <c r="S57" s="453"/>
      <c r="T57" s="453"/>
      <c r="U57" s="453"/>
      <c r="V57" s="453"/>
    </row>
    <row r="58" spans="1:22" x14ac:dyDescent="0.25">
      <c r="A58" s="603">
        <f>ROW()</f>
        <v>58</v>
      </c>
      <c r="B58" s="1376" t="s">
        <v>331</v>
      </c>
      <c r="C58" s="1377"/>
      <c r="D58" s="1377"/>
      <c r="E58" s="1378"/>
      <c r="F58" s="1379"/>
      <c r="G58" s="1379"/>
      <c r="H58" s="1380"/>
      <c r="I58" s="1375"/>
      <c r="K58" s="317"/>
      <c r="L58" s="343"/>
      <c r="M58" s="453"/>
      <c r="N58" s="453"/>
      <c r="O58" s="453"/>
      <c r="P58" s="453"/>
      <c r="Q58" s="453"/>
      <c r="R58" s="453"/>
      <c r="S58" s="453"/>
      <c r="T58" s="453"/>
      <c r="U58" s="453"/>
      <c r="V58" s="453"/>
    </row>
    <row r="59" spans="1:22" x14ac:dyDescent="0.25">
      <c r="A59" s="603">
        <f>ROW()</f>
        <v>59</v>
      </c>
      <c r="B59" s="160" t="s">
        <v>332</v>
      </c>
      <c r="C59" s="41"/>
      <c r="D59" s="41"/>
      <c r="E59" s="41"/>
      <c r="F59" s="156"/>
      <c r="G59" s="156"/>
      <c r="H59" s="318"/>
      <c r="I59" s="50"/>
      <c r="K59" s="317"/>
      <c r="L59" s="343"/>
      <c r="M59" s="453"/>
      <c r="N59" s="453"/>
      <c r="O59" s="453"/>
      <c r="P59" s="453"/>
      <c r="Q59" s="453"/>
      <c r="R59" s="453"/>
      <c r="S59" s="453"/>
      <c r="T59" s="453"/>
      <c r="U59" s="453"/>
      <c r="V59" s="453"/>
    </row>
    <row r="60" spans="1:22" ht="15.75" x14ac:dyDescent="0.25">
      <c r="A60" s="603">
        <f>ROW()</f>
        <v>60</v>
      </c>
      <c r="B60" s="1619" t="s">
        <v>333</v>
      </c>
      <c r="C60" s="41"/>
      <c r="D60" s="41"/>
      <c r="E60" s="41"/>
      <c r="F60" s="156"/>
      <c r="G60" s="156"/>
      <c r="H60" s="318"/>
      <c r="I60" s="50"/>
      <c r="K60" s="317"/>
      <c r="L60" s="343"/>
      <c r="M60" s="453"/>
      <c r="N60" s="453"/>
      <c r="O60" s="453"/>
      <c r="P60" s="453"/>
      <c r="Q60" s="453"/>
      <c r="R60" s="453"/>
      <c r="S60" s="453"/>
      <c r="T60" s="453"/>
      <c r="U60" s="453"/>
      <c r="V60" s="453"/>
    </row>
    <row r="61" spans="1:22" ht="15.75" x14ac:dyDescent="0.25">
      <c r="A61" s="603">
        <f>ROW()</f>
        <v>61</v>
      </c>
      <c r="B61" s="1619" t="s">
        <v>334</v>
      </c>
      <c r="C61" s="41"/>
      <c r="D61" s="41"/>
      <c r="E61" s="41"/>
      <c r="F61" s="156"/>
      <c r="G61" s="156"/>
      <c r="H61" s="318"/>
      <c r="I61" s="50"/>
      <c r="K61" s="317"/>
      <c r="L61" s="343"/>
      <c r="M61" s="453"/>
      <c r="N61" s="453"/>
      <c r="O61" s="453"/>
      <c r="P61" s="453"/>
      <c r="Q61" s="453"/>
      <c r="R61" s="453"/>
      <c r="S61" s="453"/>
      <c r="T61" s="453"/>
      <c r="U61" s="453"/>
      <c r="V61" s="453"/>
    </row>
    <row r="62" spans="1:22" x14ac:dyDescent="0.25">
      <c r="A62" s="603">
        <f>ROW()</f>
        <v>62</v>
      </c>
      <c r="B62" s="41" t="s">
        <v>335</v>
      </c>
      <c r="C62" s="41"/>
      <c r="D62" s="41"/>
      <c r="E62" s="41"/>
      <c r="F62" s="156"/>
      <c r="G62" s="156"/>
      <c r="H62" s="318"/>
      <c r="I62" s="50"/>
      <c r="K62" s="317"/>
      <c r="L62" s="343"/>
      <c r="M62" s="453"/>
      <c r="N62" s="453"/>
      <c r="O62" s="453"/>
      <c r="P62" s="453"/>
      <c r="Q62" s="453"/>
      <c r="R62" s="453"/>
      <c r="S62" s="453"/>
      <c r="T62" s="453"/>
      <c r="U62" s="453"/>
      <c r="V62" s="453"/>
    </row>
    <row r="63" spans="1:22" x14ac:dyDescent="0.25">
      <c r="A63" s="603">
        <f>ROW()</f>
        <v>63</v>
      </c>
      <c r="B63" s="160" t="s">
        <v>336</v>
      </c>
      <c r="C63" s="41"/>
      <c r="D63" s="41"/>
      <c r="E63" s="41"/>
      <c r="F63" s="156"/>
      <c r="G63" s="156"/>
      <c r="H63" s="318"/>
      <c r="I63" s="50"/>
      <c r="K63" s="317"/>
      <c r="L63" s="343"/>
      <c r="M63" s="453"/>
      <c r="N63" s="453"/>
      <c r="O63" s="453"/>
      <c r="P63" s="453"/>
      <c r="Q63" s="453"/>
      <c r="R63" s="453"/>
      <c r="S63" s="453"/>
      <c r="T63" s="453"/>
      <c r="U63" s="453"/>
      <c r="V63" s="453"/>
    </row>
    <row r="64" spans="1:22" x14ac:dyDescent="0.25">
      <c r="A64" s="921">
        <f>ROW()</f>
        <v>64</v>
      </c>
      <c r="B64" s="41"/>
      <c r="C64" s="41"/>
      <c r="D64" s="41"/>
      <c r="E64" s="41"/>
      <c r="F64" s="156"/>
      <c r="G64" s="156"/>
      <c r="H64" s="318"/>
      <c r="I64" s="50"/>
      <c r="K64" s="317"/>
      <c r="L64" s="343"/>
      <c r="M64" s="453"/>
      <c r="N64" s="453"/>
      <c r="O64" s="453"/>
      <c r="P64" s="453"/>
      <c r="Q64" s="453"/>
      <c r="R64" s="453"/>
      <c r="S64" s="453"/>
      <c r="T64" s="453"/>
      <c r="U64" s="453"/>
      <c r="V64" s="453"/>
    </row>
    <row r="65" spans="1:22" ht="15.75" x14ac:dyDescent="0.25">
      <c r="A65" s="196" t="s">
        <v>337</v>
      </c>
      <c r="B65" s="464"/>
      <c r="C65" s="464"/>
      <c r="D65" s="464"/>
      <c r="E65" s="69"/>
      <c r="F65" s="701"/>
      <c r="G65" s="702"/>
      <c r="H65" s="702"/>
      <c r="I65" s="50"/>
      <c r="L65" s="343"/>
      <c r="M65" s="453"/>
      <c r="N65" s="453"/>
      <c r="O65" s="453"/>
      <c r="P65" s="453"/>
      <c r="Q65" s="453"/>
      <c r="R65" s="453"/>
      <c r="S65" s="453"/>
      <c r="T65" s="453"/>
      <c r="U65" s="453"/>
      <c r="V65" s="453"/>
    </row>
    <row r="66" spans="1:22" ht="51" customHeight="1" x14ac:dyDescent="0.25">
      <c r="A66" s="921">
        <f>ROW()</f>
        <v>66</v>
      </c>
      <c r="B66" s="1780" t="s">
        <v>318</v>
      </c>
      <c r="C66" s="1780"/>
      <c r="D66" s="1579"/>
      <c r="E66" s="1370" t="s">
        <v>319</v>
      </c>
      <c r="F66" s="712" t="s">
        <v>320</v>
      </c>
      <c r="G66" s="713" t="s">
        <v>338</v>
      </c>
      <c r="H66" s="713" t="s">
        <v>339</v>
      </c>
      <c r="I66" s="714" t="s">
        <v>323</v>
      </c>
      <c r="L66" s="922" t="s">
        <v>340</v>
      </c>
      <c r="M66" s="453"/>
      <c r="N66" s="453"/>
      <c r="O66" s="453"/>
      <c r="P66" s="453"/>
      <c r="Q66" s="453"/>
      <c r="R66" s="453"/>
      <c r="S66" s="453"/>
      <c r="T66" s="453"/>
      <c r="U66" s="453"/>
      <c r="V66" s="453"/>
    </row>
    <row r="67" spans="1:22" x14ac:dyDescent="0.25">
      <c r="A67" s="604">
        <f>ROW()</f>
        <v>67</v>
      </c>
      <c r="B67" s="1778" t="s">
        <v>325</v>
      </c>
      <c r="C67" s="1778"/>
      <c r="D67" s="1778"/>
      <c r="E67" s="1594"/>
      <c r="F67" s="1594"/>
      <c r="G67" s="1595"/>
      <c r="H67" s="1596"/>
      <c r="I67" s="1597"/>
      <c r="L67" s="343"/>
      <c r="M67" s="453"/>
      <c r="N67" s="453"/>
      <c r="O67" s="453"/>
      <c r="P67" s="453"/>
      <c r="Q67" s="453"/>
      <c r="R67" s="453"/>
      <c r="S67" s="453"/>
      <c r="T67" s="453"/>
      <c r="U67" s="453"/>
      <c r="V67" s="453"/>
    </row>
    <row r="68" spans="1:22" x14ac:dyDescent="0.25">
      <c r="A68" s="603">
        <f>ROW()</f>
        <v>68</v>
      </c>
      <c r="B68" s="1779" t="s">
        <v>327</v>
      </c>
      <c r="C68" s="1779"/>
      <c r="D68" s="1779"/>
      <c r="E68" s="298"/>
      <c r="F68" s="298"/>
      <c r="G68" s="299"/>
      <c r="H68" s="256">
        <v>2320</v>
      </c>
      <c r="I68" s="851">
        <v>0</v>
      </c>
      <c r="L68" s="343"/>
      <c r="M68" s="453"/>
      <c r="N68" s="453"/>
      <c r="O68" s="453"/>
      <c r="P68" s="453"/>
      <c r="Q68" s="453"/>
      <c r="R68" s="453"/>
      <c r="S68" s="453"/>
      <c r="T68" s="453"/>
      <c r="U68" s="453"/>
      <c r="V68" s="453"/>
    </row>
    <row r="69" spans="1:22" x14ac:dyDescent="0.25">
      <c r="A69" s="603">
        <f>ROW()</f>
        <v>69</v>
      </c>
      <c r="B69" s="1653" t="s">
        <v>328</v>
      </c>
      <c r="C69" s="1653"/>
      <c r="D69" s="1653"/>
      <c r="E69" s="298"/>
      <c r="F69" s="298"/>
      <c r="G69" s="299"/>
      <c r="H69" s="256">
        <v>0</v>
      </c>
      <c r="I69" s="851">
        <v>0</v>
      </c>
      <c r="L69" s="343"/>
      <c r="M69" s="453"/>
      <c r="N69" s="453"/>
      <c r="O69" s="453"/>
      <c r="P69" s="453"/>
      <c r="Q69" s="453"/>
      <c r="R69" s="453"/>
      <c r="S69" s="453"/>
      <c r="T69" s="453"/>
      <c r="U69" s="453"/>
      <c r="V69" s="453"/>
    </row>
    <row r="70" spans="1:22" x14ac:dyDescent="0.25">
      <c r="A70" s="603">
        <f>ROW()</f>
        <v>70</v>
      </c>
      <c r="B70" s="1653" t="s">
        <v>329</v>
      </c>
      <c r="C70" s="1653"/>
      <c r="D70" s="1653"/>
      <c r="E70" s="298"/>
      <c r="F70" s="298"/>
      <c r="G70" s="299"/>
      <c r="H70" s="256">
        <v>0</v>
      </c>
      <c r="I70" s="851">
        <v>0</v>
      </c>
      <c r="L70" s="343"/>
      <c r="M70" s="453"/>
      <c r="N70" s="453"/>
      <c r="O70" s="453"/>
      <c r="P70" s="453"/>
      <c r="Q70" s="453"/>
      <c r="R70" s="453"/>
      <c r="S70" s="453"/>
      <c r="T70" s="453"/>
      <c r="U70" s="453"/>
      <c r="V70" s="453"/>
    </row>
    <row r="71" spans="1:22" x14ac:dyDescent="0.25">
      <c r="A71" s="603">
        <f>ROW()</f>
        <v>71</v>
      </c>
      <c r="B71" s="1653"/>
      <c r="C71" s="1653"/>
      <c r="D71" s="1653"/>
      <c r="E71" s="298"/>
      <c r="F71" s="298"/>
      <c r="G71" s="299"/>
      <c r="H71" s="256">
        <v>0</v>
      </c>
      <c r="I71" s="851">
        <v>0</v>
      </c>
      <c r="L71" s="343"/>
      <c r="M71" s="453"/>
      <c r="N71" s="453"/>
      <c r="O71" s="453"/>
      <c r="P71" s="453"/>
      <c r="Q71" s="453"/>
      <c r="R71" s="453"/>
      <c r="S71" s="453"/>
      <c r="T71" s="453"/>
      <c r="U71" s="453"/>
      <c r="V71" s="453"/>
    </row>
    <row r="72" spans="1:22" x14ac:dyDescent="0.25">
      <c r="A72" s="603">
        <f>ROW()</f>
        <v>72</v>
      </c>
      <c r="B72" s="1653"/>
      <c r="C72" s="1653"/>
      <c r="D72" s="1653"/>
      <c r="E72" s="298"/>
      <c r="F72" s="298"/>
      <c r="G72" s="299"/>
      <c r="H72" s="256">
        <v>0</v>
      </c>
      <c r="I72" s="851">
        <v>0</v>
      </c>
      <c r="L72" s="343"/>
      <c r="M72" s="453"/>
      <c r="N72" s="453"/>
      <c r="O72" s="453"/>
      <c r="P72" s="453"/>
      <c r="Q72" s="453"/>
      <c r="R72" s="453"/>
      <c r="S72" s="453"/>
      <c r="T72" s="453"/>
      <c r="U72" s="453"/>
      <c r="V72" s="453"/>
    </row>
    <row r="73" spans="1:22" x14ac:dyDescent="0.25">
      <c r="A73" s="603">
        <f>ROW()</f>
        <v>73</v>
      </c>
      <c r="B73" s="1653"/>
      <c r="C73" s="1653"/>
      <c r="D73" s="1653"/>
      <c r="E73" s="298"/>
      <c r="F73" s="298"/>
      <c r="G73" s="299"/>
      <c r="H73" s="256">
        <v>0</v>
      </c>
      <c r="I73" s="851">
        <v>0</v>
      </c>
      <c r="L73" s="343"/>
      <c r="M73" s="453"/>
      <c r="N73" s="453"/>
      <c r="O73" s="453"/>
      <c r="P73" s="453"/>
      <c r="Q73" s="453"/>
      <c r="R73" s="453"/>
      <c r="S73" s="453"/>
      <c r="T73" s="453"/>
      <c r="U73" s="453"/>
      <c r="V73" s="453"/>
    </row>
    <row r="74" spans="1:22" x14ac:dyDescent="0.25">
      <c r="A74" s="603">
        <f>ROW()</f>
        <v>74</v>
      </c>
      <c r="B74" s="1653"/>
      <c r="C74" s="1653"/>
      <c r="D74" s="1653"/>
      <c r="E74" s="298"/>
      <c r="F74" s="298"/>
      <c r="G74" s="299"/>
      <c r="H74" s="256">
        <v>0</v>
      </c>
      <c r="I74" s="851">
        <v>0</v>
      </c>
      <c r="L74" s="343"/>
      <c r="M74" s="453"/>
      <c r="N74" s="453"/>
      <c r="O74" s="453"/>
      <c r="P74" s="453"/>
      <c r="Q74" s="453"/>
      <c r="R74" s="453"/>
      <c r="S74" s="453"/>
      <c r="T74" s="453"/>
      <c r="U74" s="453"/>
      <c r="V74" s="453"/>
    </row>
    <row r="75" spans="1:22" x14ac:dyDescent="0.25">
      <c r="A75" s="603">
        <f>ROW()</f>
        <v>75</v>
      </c>
      <c r="B75" s="1779"/>
      <c r="C75" s="1779"/>
      <c r="D75" s="1779"/>
      <c r="E75" s="298"/>
      <c r="F75" s="298"/>
      <c r="G75" s="299"/>
      <c r="H75" s="256">
        <v>0</v>
      </c>
      <c r="I75" s="851">
        <v>0</v>
      </c>
      <c r="L75" s="343"/>
      <c r="M75" s="453"/>
      <c r="N75" s="453"/>
      <c r="O75" s="453"/>
      <c r="P75" s="453"/>
      <c r="Q75" s="453"/>
      <c r="R75" s="453"/>
      <c r="S75" s="453"/>
      <c r="T75" s="453"/>
      <c r="U75" s="453"/>
      <c r="V75" s="453"/>
    </row>
    <row r="76" spans="1:22" x14ac:dyDescent="0.25">
      <c r="A76" s="603">
        <f>ROW()</f>
        <v>76</v>
      </c>
      <c r="B76" s="1653"/>
      <c r="C76" s="1653"/>
      <c r="D76" s="1653"/>
      <c r="E76" s="298"/>
      <c r="F76" s="298"/>
      <c r="G76" s="299"/>
      <c r="H76" s="256">
        <v>0</v>
      </c>
      <c r="I76" s="851">
        <v>0</v>
      </c>
      <c r="L76" s="343"/>
      <c r="M76" s="453"/>
      <c r="N76" s="453"/>
      <c r="O76" s="453"/>
      <c r="P76" s="453"/>
      <c r="Q76" s="453"/>
      <c r="R76" s="453"/>
      <c r="S76" s="453"/>
      <c r="T76" s="453"/>
      <c r="U76" s="453"/>
      <c r="V76" s="453"/>
    </row>
    <row r="77" spans="1:22" x14ac:dyDescent="0.25">
      <c r="A77" s="603">
        <f>ROW()</f>
        <v>77</v>
      </c>
      <c r="B77" s="1588" t="s">
        <v>330</v>
      </c>
      <c r="C77" s="1589"/>
      <c r="D77" s="1589"/>
      <c r="E77" s="1590"/>
      <c r="F77" s="1590"/>
      <c r="G77" s="1591"/>
      <c r="H77" s="1592"/>
      <c r="I77" s="1593"/>
      <c r="L77" s="343"/>
      <c r="M77" s="453"/>
      <c r="N77" s="453"/>
      <c r="O77" s="453"/>
      <c r="P77" s="453"/>
      <c r="Q77" s="453"/>
      <c r="R77" s="453"/>
      <c r="S77" s="453"/>
      <c r="T77" s="453"/>
      <c r="U77" s="453"/>
      <c r="V77" s="453"/>
    </row>
    <row r="78" spans="1:22" x14ac:dyDescent="0.25">
      <c r="A78" s="603">
        <f>ROW()</f>
        <v>78</v>
      </c>
      <c r="B78" s="1653"/>
      <c r="C78" s="1653"/>
      <c r="D78" s="1653"/>
      <c r="E78" s="298"/>
      <c r="F78" s="298"/>
      <c r="G78" s="299"/>
      <c r="H78" s="256">
        <v>0</v>
      </c>
      <c r="I78" s="851">
        <v>0</v>
      </c>
      <c r="L78" s="343"/>
      <c r="M78" s="453"/>
      <c r="N78" s="453"/>
      <c r="O78" s="453"/>
      <c r="P78" s="453"/>
      <c r="Q78" s="453"/>
      <c r="R78" s="453"/>
      <c r="S78" s="453"/>
      <c r="T78" s="453"/>
      <c r="U78" s="453"/>
      <c r="V78" s="453"/>
    </row>
    <row r="79" spans="1:22" x14ac:dyDescent="0.25">
      <c r="A79" s="603">
        <f>ROW()</f>
        <v>79</v>
      </c>
      <c r="B79" s="1653"/>
      <c r="C79" s="1653"/>
      <c r="D79" s="1653"/>
      <c r="E79" s="298"/>
      <c r="F79" s="298"/>
      <c r="G79" s="299"/>
      <c r="H79" s="256">
        <v>0</v>
      </c>
      <c r="I79" s="851">
        <v>0</v>
      </c>
      <c r="L79" s="343"/>
      <c r="M79" s="453"/>
      <c r="N79" s="453"/>
      <c r="O79" s="453"/>
      <c r="P79" s="453"/>
      <c r="Q79" s="453"/>
      <c r="R79" s="453"/>
      <c r="S79" s="453"/>
      <c r="T79" s="453"/>
      <c r="U79" s="453"/>
      <c r="V79" s="453"/>
    </row>
    <row r="80" spans="1:22" x14ac:dyDescent="0.25">
      <c r="A80" s="603">
        <f>ROW()</f>
        <v>80</v>
      </c>
      <c r="B80" s="1653"/>
      <c r="C80" s="1653"/>
      <c r="D80" s="1653"/>
      <c r="E80" s="298"/>
      <c r="F80" s="298"/>
      <c r="G80" s="299"/>
      <c r="H80" s="256">
        <v>0</v>
      </c>
      <c r="I80" s="851">
        <v>0</v>
      </c>
      <c r="L80" s="343"/>
      <c r="M80" s="453"/>
      <c r="N80" s="453"/>
      <c r="O80" s="453"/>
      <c r="P80" s="453"/>
      <c r="Q80" s="453"/>
      <c r="R80" s="453"/>
      <c r="S80" s="453"/>
      <c r="T80" s="453"/>
      <c r="U80" s="453"/>
      <c r="V80" s="453"/>
    </row>
    <row r="81" spans="1:22" x14ac:dyDescent="0.25">
      <c r="A81" s="603">
        <f>ROW()</f>
        <v>81</v>
      </c>
      <c r="B81" s="1653"/>
      <c r="C81" s="1653"/>
      <c r="D81" s="1653"/>
      <c r="E81" s="298"/>
      <c r="F81" s="298"/>
      <c r="G81" s="299"/>
      <c r="H81" s="256">
        <v>0</v>
      </c>
      <c r="I81" s="851">
        <v>0</v>
      </c>
      <c r="L81" s="343"/>
      <c r="M81" s="453"/>
      <c r="N81" s="453"/>
      <c r="O81" s="453"/>
      <c r="P81" s="453"/>
      <c r="Q81" s="453"/>
      <c r="R81" s="453"/>
      <c r="S81" s="453"/>
      <c r="T81" s="453"/>
      <c r="U81" s="453"/>
      <c r="V81" s="453"/>
    </row>
    <row r="82" spans="1:22" x14ac:dyDescent="0.25">
      <c r="A82" s="603">
        <f>ROW()</f>
        <v>82</v>
      </c>
      <c r="B82" s="1653"/>
      <c r="C82" s="1653"/>
      <c r="D82" s="1653"/>
      <c r="E82" s="298"/>
      <c r="F82" s="298"/>
      <c r="G82" s="299"/>
      <c r="H82" s="256">
        <v>0</v>
      </c>
      <c r="I82" s="851">
        <v>0</v>
      </c>
      <c r="L82" s="343"/>
      <c r="M82" s="453"/>
      <c r="N82" s="453"/>
      <c r="O82" s="453"/>
      <c r="P82" s="453"/>
      <c r="Q82" s="453"/>
      <c r="R82" s="453"/>
      <c r="S82" s="453"/>
      <c r="T82" s="453"/>
      <c r="U82" s="453"/>
      <c r="V82" s="453"/>
    </row>
    <row r="83" spans="1:22" x14ac:dyDescent="0.25">
      <c r="A83" s="603">
        <f>ROW()</f>
        <v>83</v>
      </c>
      <c r="B83" s="1653"/>
      <c r="C83" s="1653"/>
      <c r="D83" s="1653"/>
      <c r="E83" s="298"/>
      <c r="F83" s="298"/>
      <c r="G83" s="299"/>
      <c r="H83" s="256">
        <v>0</v>
      </c>
      <c r="I83" s="851">
        <v>0</v>
      </c>
      <c r="L83" s="343"/>
      <c r="M83" s="453"/>
      <c r="N83" s="453"/>
      <c r="O83" s="453"/>
      <c r="P83" s="453"/>
      <c r="Q83" s="453"/>
      <c r="R83" s="453"/>
      <c r="S83" s="453"/>
      <c r="T83" s="453"/>
      <c r="U83" s="453"/>
      <c r="V83" s="453"/>
    </row>
    <row r="84" spans="1:22" x14ac:dyDescent="0.25">
      <c r="A84" s="603">
        <f>ROW()</f>
        <v>84</v>
      </c>
      <c r="B84" s="1653"/>
      <c r="C84" s="1653"/>
      <c r="D84" s="1653"/>
      <c r="E84" s="298"/>
      <c r="F84" s="298"/>
      <c r="G84" s="299"/>
      <c r="H84" s="256">
        <v>0</v>
      </c>
      <c r="I84" s="851">
        <v>0</v>
      </c>
      <c r="L84" s="343"/>
      <c r="M84" s="453"/>
      <c r="N84" s="453"/>
      <c r="O84" s="453"/>
      <c r="P84" s="453"/>
      <c r="Q84" s="453"/>
      <c r="R84" s="453"/>
      <c r="S84" s="453"/>
      <c r="T84" s="453"/>
      <c r="U84" s="453"/>
      <c r="V84" s="453"/>
    </row>
    <row r="85" spans="1:22" x14ac:dyDescent="0.25">
      <c r="A85" s="603">
        <f>ROW()</f>
        <v>85</v>
      </c>
      <c r="B85" s="1653"/>
      <c r="C85" s="1653"/>
      <c r="D85" s="1653"/>
      <c r="E85" s="298"/>
      <c r="F85" s="298"/>
      <c r="G85" s="299"/>
      <c r="H85" s="256">
        <v>0</v>
      </c>
      <c r="I85" s="851">
        <v>0</v>
      </c>
      <c r="L85" s="343"/>
      <c r="M85" s="453"/>
      <c r="N85" s="453"/>
      <c r="O85" s="453"/>
      <c r="P85" s="453"/>
      <c r="Q85" s="453"/>
      <c r="R85" s="453"/>
      <c r="S85" s="453"/>
      <c r="T85" s="453"/>
      <c r="U85" s="453"/>
      <c r="V85" s="453"/>
    </row>
    <row r="86" spans="1:22" x14ac:dyDescent="0.25">
      <c r="A86" s="921">
        <f>ROW()</f>
        <v>86</v>
      </c>
      <c r="B86" s="1777"/>
      <c r="C86" s="1777"/>
      <c r="D86" s="1777"/>
      <c r="E86" s="916"/>
      <c r="F86" s="916"/>
      <c r="G86" s="917"/>
      <c r="H86" s="258">
        <v>0</v>
      </c>
      <c r="I86" s="918">
        <v>0</v>
      </c>
      <c r="L86" s="343"/>
      <c r="M86" s="453"/>
      <c r="N86" s="453"/>
      <c r="O86" s="453"/>
      <c r="P86" s="453"/>
      <c r="Q86" s="453"/>
      <c r="R86" s="453"/>
      <c r="S86" s="453"/>
      <c r="T86" s="453"/>
      <c r="U86" s="453"/>
      <c r="V86" s="453"/>
    </row>
    <row r="87" spans="1:22" ht="13.5" customHeight="1" x14ac:dyDescent="0.25">
      <c r="A87" s="64"/>
      <c r="B87" s="143"/>
      <c r="C87" s="143"/>
      <c r="D87" s="143"/>
      <c r="E87" s="143"/>
      <c r="F87" s="143"/>
      <c r="G87" s="919"/>
      <c r="H87" s="919">
        <f>SUM(H67:H86)</f>
        <v>2320</v>
      </c>
      <c r="I87" s="920">
        <f>IFERROR(SUMPRODUCT(H67:H86,I67:I86)/H87,0)</f>
        <v>0</v>
      </c>
      <c r="K87" s="156"/>
      <c r="L87" s="343"/>
      <c r="M87" s="453"/>
      <c r="N87" s="453"/>
      <c r="O87" s="453"/>
      <c r="P87" s="453"/>
      <c r="Q87" s="453"/>
      <c r="R87" s="453"/>
      <c r="S87" s="453"/>
      <c r="T87" s="453"/>
      <c r="U87" s="453"/>
      <c r="V87" s="453"/>
    </row>
    <row r="88" spans="1:22" x14ac:dyDescent="0.25">
      <c r="A88" s="64"/>
      <c r="B88" s="46"/>
      <c r="C88" s="46"/>
      <c r="D88" s="46"/>
      <c r="E88" s="41"/>
      <c r="F88" s="73"/>
      <c r="G88" s="74"/>
      <c r="H88" s="74"/>
      <c r="I88" s="50"/>
      <c r="K88" s="156"/>
      <c r="L88" s="343"/>
      <c r="M88" s="453"/>
      <c r="N88" s="453"/>
      <c r="O88" s="453"/>
      <c r="P88" s="453"/>
      <c r="Q88" s="453"/>
      <c r="R88" s="453"/>
      <c r="S88" s="453"/>
      <c r="T88" s="453"/>
      <c r="U88" s="453"/>
      <c r="V88" s="453"/>
    </row>
    <row r="89" spans="1:22" x14ac:dyDescent="0.25">
      <c r="I89" s="50"/>
      <c r="M89" s="453"/>
      <c r="N89" s="453"/>
      <c r="O89" s="453"/>
      <c r="P89" s="453"/>
      <c r="Q89" s="453"/>
      <c r="R89" s="453"/>
      <c r="S89" s="453"/>
      <c r="T89" s="453"/>
      <c r="U89" s="453"/>
      <c r="V89" s="453"/>
    </row>
    <row r="90" spans="1:22" x14ac:dyDescent="0.25">
      <c r="M90" s="453"/>
      <c r="N90" s="453"/>
      <c r="O90" s="453"/>
      <c r="P90" s="453"/>
      <c r="Q90" s="453"/>
      <c r="R90" s="453"/>
      <c r="S90" s="453"/>
      <c r="T90" s="453"/>
      <c r="U90" s="453"/>
      <c r="V90" s="453"/>
    </row>
    <row r="91" spans="1:22" x14ac:dyDescent="0.25">
      <c r="M91" s="453"/>
      <c r="N91" s="453"/>
      <c r="O91" s="453"/>
      <c r="P91" s="453"/>
      <c r="Q91" s="453"/>
      <c r="R91" s="453"/>
      <c r="S91" s="453"/>
      <c r="T91" s="453"/>
      <c r="U91" s="453"/>
      <c r="V91" s="453"/>
    </row>
    <row r="92" spans="1:22" x14ac:dyDescent="0.25">
      <c r="M92" s="453"/>
      <c r="N92" s="453"/>
      <c r="O92" s="453"/>
      <c r="P92" s="453"/>
      <c r="Q92" s="453"/>
      <c r="R92" s="453"/>
      <c r="S92" s="453"/>
      <c r="T92" s="453"/>
      <c r="U92" s="453"/>
      <c r="V92" s="453"/>
    </row>
    <row r="93" spans="1:22" x14ac:dyDescent="0.25">
      <c r="M93" s="453"/>
      <c r="N93" s="453"/>
      <c r="O93" s="453"/>
      <c r="P93" s="453"/>
      <c r="Q93" s="453"/>
      <c r="R93" s="453"/>
      <c r="S93" s="453"/>
      <c r="T93" s="453"/>
      <c r="U93" s="453"/>
      <c r="V93" s="453"/>
    </row>
    <row r="94" spans="1:22" x14ac:dyDescent="0.25">
      <c r="M94" s="453"/>
      <c r="N94" s="453"/>
      <c r="O94" s="453"/>
      <c r="P94" s="453"/>
      <c r="Q94" s="453"/>
      <c r="R94" s="453"/>
      <c r="S94" s="453"/>
      <c r="T94" s="453"/>
      <c r="U94" s="453"/>
      <c r="V94" s="453"/>
    </row>
    <row r="95" spans="1:22" x14ac:dyDescent="0.25">
      <c r="M95" s="453"/>
      <c r="N95" s="453"/>
      <c r="O95" s="453"/>
      <c r="P95" s="453"/>
      <c r="Q95" s="453"/>
      <c r="R95" s="453"/>
      <c r="S95" s="453"/>
      <c r="T95" s="453"/>
      <c r="U95" s="453"/>
      <c r="V95" s="453"/>
    </row>
    <row r="96" spans="1:22" x14ac:dyDescent="0.25">
      <c r="M96" s="453"/>
      <c r="N96" s="453"/>
      <c r="O96" s="453"/>
      <c r="P96" s="453"/>
      <c r="Q96" s="453"/>
      <c r="R96" s="453"/>
      <c r="S96" s="453"/>
      <c r="T96" s="453"/>
      <c r="U96" s="453"/>
      <c r="V96" s="453"/>
    </row>
    <row r="97" spans="13:22" x14ac:dyDescent="0.25">
      <c r="M97" s="453"/>
      <c r="N97" s="453"/>
      <c r="O97" s="453"/>
      <c r="P97" s="453"/>
      <c r="Q97" s="453"/>
      <c r="R97" s="453"/>
      <c r="S97" s="453"/>
      <c r="T97" s="453"/>
      <c r="U97" s="453"/>
      <c r="V97" s="453"/>
    </row>
    <row r="98" spans="13:22" x14ac:dyDescent="0.25">
      <c r="M98" s="453"/>
      <c r="N98" s="453"/>
      <c r="O98" s="453"/>
      <c r="P98" s="453"/>
      <c r="Q98" s="453"/>
      <c r="R98" s="453"/>
      <c r="S98" s="453"/>
      <c r="T98" s="453"/>
      <c r="U98" s="453"/>
      <c r="V98" s="453"/>
    </row>
    <row r="99" spans="13:22" x14ac:dyDescent="0.25">
      <c r="M99" s="453"/>
      <c r="N99" s="453"/>
      <c r="O99" s="453"/>
      <c r="P99" s="453"/>
      <c r="Q99" s="453"/>
      <c r="R99" s="453"/>
      <c r="S99" s="453"/>
      <c r="T99" s="453"/>
      <c r="U99" s="453"/>
      <c r="V99" s="453"/>
    </row>
    <row r="100" spans="13:22" x14ac:dyDescent="0.25">
      <c r="M100" s="453"/>
      <c r="N100" s="453"/>
      <c r="O100" s="453"/>
      <c r="P100" s="453"/>
      <c r="Q100" s="453"/>
      <c r="R100" s="453"/>
      <c r="S100" s="453"/>
      <c r="T100" s="453"/>
      <c r="U100" s="453"/>
      <c r="V100" s="453"/>
    </row>
    <row r="101" spans="13:22" x14ac:dyDescent="0.25">
      <c r="M101" s="453"/>
      <c r="N101" s="453"/>
      <c r="O101" s="453"/>
      <c r="P101" s="453"/>
      <c r="Q101" s="453"/>
      <c r="R101" s="453"/>
      <c r="S101" s="453"/>
      <c r="T101" s="453"/>
      <c r="U101" s="453"/>
      <c r="V101" s="453"/>
    </row>
  </sheetData>
  <sheetProtection algorithmName="SHA-512" hashValue="Tw1fBU5KptirmWALBf0y16SsEe/GChy/0YevLlv0s6QHYUWdXTrROHheN40+f1iJ0Xng5JDvMw0yET4TKF/4dA==" saltValue="9lQ52qjD3TQCJCLmQEIxpA==" spinCount="100000" sheet="1" objects="1" scenarios="1"/>
  <mergeCells count="14">
    <mergeCell ref="B86:D86"/>
    <mergeCell ref="B67:D67"/>
    <mergeCell ref="B68:D68"/>
    <mergeCell ref="B75:D75"/>
    <mergeCell ref="B34:C34"/>
    <mergeCell ref="B66:C66"/>
    <mergeCell ref="B35:D35"/>
    <mergeCell ref="B36:D36"/>
    <mergeCell ref="B37:D37"/>
    <mergeCell ref="B39:D39"/>
    <mergeCell ref="B40:D40"/>
    <mergeCell ref="B44:D44"/>
    <mergeCell ref="B45:D45"/>
    <mergeCell ref="B48:D48"/>
  </mergeCells>
  <conditionalFormatting sqref="B14:C26">
    <cfRule type="expression" dxfId="63" priority="66" stopIfTrue="1">
      <formula>MOD(ROW(),2)=0</formula>
    </cfRule>
  </conditionalFormatting>
  <conditionalFormatting sqref="D1">
    <cfRule type="expression" dxfId="62" priority="7" stopIfTrue="1">
      <formula>MOD(ROW(),2)=0</formula>
    </cfRule>
  </conditionalFormatting>
  <conditionalFormatting sqref="D11:J12">
    <cfRule type="cellIs" dxfId="61" priority="68" stopIfTrue="1" operator="equal">
      <formula>0</formula>
    </cfRule>
  </conditionalFormatting>
  <conditionalFormatting sqref="D14:J26">
    <cfRule type="cellIs" dxfId="60" priority="67" stopIfTrue="1" operator="equal">
      <formula>0</formula>
    </cfRule>
  </conditionalFormatting>
  <hyperlinks>
    <hyperlink ref="D1" location="HypLink1" display="HypLink1" xr:uid="{A10A35EE-80B5-4044-9D6A-1FACE9E32D18}"/>
    <hyperlink ref="B60" r:id="rId1" xr:uid="{5972D6D0-B6EE-4197-9891-7624A1286B9D}"/>
    <hyperlink ref="B61" r:id="rId2" xr:uid="{5C994A5B-0C69-4919-82CC-7640E9A40F4C}"/>
  </hyperlinks>
  <pageMargins left="0.25" right="0.25" top="0.5" bottom="0.45" header="0.25" footer="0.25"/>
  <pageSetup fitToHeight="3" orientation="landscape" r:id="rId3"/>
  <headerFooter>
    <oddHeader xml:space="preserve">&amp;L &amp;C &amp;R </oddHeader>
    <oddFooter>&amp;L&amp;7&amp;D  at &amp;T Mike 702.854.0691&amp;C&amp;7&amp;F  &amp;A&amp;R&amp;7Page &amp;P of &amp;N</oddFooter>
  </headerFooter>
  <rowBreaks count="2" manualBreakCount="2">
    <brk id="32" max="10" man="1"/>
    <brk id="64" max="10" man="1"/>
  </rowBreaks>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B050"/>
  </sheetPr>
  <dimension ref="A1:N149"/>
  <sheetViews>
    <sheetView zoomScaleNormal="100" workbookViewId="0"/>
  </sheetViews>
  <sheetFormatPr defaultColWidth="8.7109375" defaultRowHeight="15" x14ac:dyDescent="0.25"/>
  <cols>
    <col min="1" max="1" width="5.5703125" style="33" customWidth="1"/>
    <col min="2" max="2" width="44.28515625" style="33" customWidth="1"/>
    <col min="3" max="3" width="17.7109375" style="33" customWidth="1"/>
    <col min="4" max="4" width="10.42578125" style="33" customWidth="1"/>
    <col min="5" max="5" width="11" style="33" customWidth="1"/>
    <col min="6" max="6" width="15.28515625" style="33" customWidth="1"/>
    <col min="7" max="7" width="16.28515625" style="33" customWidth="1"/>
    <col min="8" max="9" width="21" style="33" customWidth="1"/>
    <col min="10" max="12" width="17" style="33" customWidth="1"/>
    <col min="13" max="13" width="1.28515625" style="33" customWidth="1"/>
    <col min="14" max="14" width="88.5703125" style="307" customWidth="1"/>
    <col min="15" max="15" width="12.28515625" style="33" customWidth="1"/>
    <col min="16" max="16384" width="8.7109375" style="33"/>
  </cols>
  <sheetData>
    <row r="1" spans="1:14" ht="18" x14ac:dyDescent="0.25">
      <c r="A1" s="123" t="s">
        <v>116</v>
      </c>
      <c r="B1" s="35"/>
      <c r="D1" s="408" t="s">
        <v>3</v>
      </c>
      <c r="E1" s="408"/>
    </row>
    <row r="2" spans="1:14" ht="15.75" x14ac:dyDescent="0.25">
      <c r="A2" s="114" t="str">
        <f>SchoolName</f>
        <v>Odyssey Charter School</v>
      </c>
      <c r="B2" s="38"/>
    </row>
    <row r="3" spans="1:14" x14ac:dyDescent="0.25">
      <c r="A3" s="39" t="s">
        <v>80</v>
      </c>
      <c r="K3" s="31"/>
    </row>
    <row r="4" spans="1:14" x14ac:dyDescent="0.25">
      <c r="A4" s="40" t="s">
        <v>81</v>
      </c>
    </row>
    <row r="5" spans="1:14" x14ac:dyDescent="0.25">
      <c r="A5" s="30" t="str">
        <f ca="1">CELL("filename")</f>
        <v>\\lvraiders\users\sguthrie\Documents\Charter\Change of Sponsorship\[240126-SPCSA-Odyssey Charter School Application Workbook-AS-IS-Original Version.xlsx]Instructions</v>
      </c>
    </row>
    <row r="6" spans="1:14" ht="15.75" x14ac:dyDescent="0.25">
      <c r="A6" s="64"/>
      <c r="D6" s="65" t="s">
        <v>341</v>
      </c>
      <c r="E6" s="65"/>
      <c r="G6" s="260"/>
      <c r="J6" s="65"/>
    </row>
    <row r="7" spans="1:14" x14ac:dyDescent="0.25">
      <c r="A7" s="64"/>
      <c r="D7" s="32" t="s">
        <v>342</v>
      </c>
      <c r="E7" s="32"/>
      <c r="G7" s="32"/>
      <c r="J7" s="32"/>
    </row>
    <row r="8" spans="1:14" x14ac:dyDescent="0.25">
      <c r="A8" s="64"/>
      <c r="F8" s="32"/>
      <c r="G8" s="31"/>
    </row>
    <row r="9" spans="1:14" x14ac:dyDescent="0.25">
      <c r="A9" s="64"/>
      <c r="B9" s="31"/>
      <c r="F9" s="1639">
        <v>0</v>
      </c>
      <c r="G9" s="718">
        <v>1</v>
      </c>
      <c r="H9" s="718">
        <f>1+G9</f>
        <v>2</v>
      </c>
      <c r="I9" s="718">
        <f>1+H9</f>
        <v>3</v>
      </c>
      <c r="J9" s="718">
        <f>1+I9</f>
        <v>4</v>
      </c>
      <c r="K9" s="718">
        <f>1+J9</f>
        <v>5</v>
      </c>
      <c r="L9" s="1188">
        <f>1+K9</f>
        <v>6</v>
      </c>
    </row>
    <row r="10" spans="1:14" x14ac:dyDescent="0.25">
      <c r="A10" s="346"/>
      <c r="B10" s="66"/>
      <c r="F10" s="719">
        <f>+G10-1</f>
        <v>2024</v>
      </c>
      <c r="G10" s="720">
        <f>Cover!E11</f>
        <v>2025</v>
      </c>
      <c r="H10" s="720">
        <f>+G11</f>
        <v>2026</v>
      </c>
      <c r="I10" s="720">
        <f>+H11</f>
        <v>2027</v>
      </c>
      <c r="J10" s="720">
        <f>+I11</f>
        <v>2028</v>
      </c>
      <c r="K10" s="720">
        <f>+J11</f>
        <v>2029</v>
      </c>
      <c r="L10" s="721">
        <f>+K11</f>
        <v>2030</v>
      </c>
    </row>
    <row r="11" spans="1:14" ht="18.75" x14ac:dyDescent="0.3">
      <c r="A11" s="346">
        <f>ROW()</f>
        <v>11</v>
      </c>
      <c r="B11" s="1662" t="s">
        <v>116</v>
      </c>
      <c r="C11" s="1199" t="s">
        <v>343</v>
      </c>
      <c r="D11" s="245"/>
      <c r="E11" s="1663"/>
      <c r="F11" s="722">
        <f>+G11-1</f>
        <v>2025</v>
      </c>
      <c r="G11" s="723">
        <f t="shared" ref="G11:L11" si="0">+G10+1</f>
        <v>2026</v>
      </c>
      <c r="H11" s="723">
        <f t="shared" si="0"/>
        <v>2027</v>
      </c>
      <c r="I11" s="723">
        <f t="shared" si="0"/>
        <v>2028</v>
      </c>
      <c r="J11" s="723">
        <f t="shared" si="0"/>
        <v>2029</v>
      </c>
      <c r="K11" s="723">
        <f t="shared" si="0"/>
        <v>2030</v>
      </c>
      <c r="L11" s="724">
        <f t="shared" si="0"/>
        <v>2031</v>
      </c>
    </row>
    <row r="12" spans="1:14" ht="15.75" x14ac:dyDescent="0.25">
      <c r="A12" s="346">
        <f>ROW()</f>
        <v>12</v>
      </c>
      <c r="B12" s="1664" t="s">
        <v>1471</v>
      </c>
      <c r="C12" s="1665"/>
      <c r="D12" s="595"/>
      <c r="E12" s="595"/>
      <c r="F12" s="245"/>
      <c r="G12" s="1578">
        <f>+G36</f>
        <v>2320.02</v>
      </c>
      <c r="H12" s="1578">
        <f t="shared" ref="H12:L12" si="1">+H36</f>
        <v>2320.02</v>
      </c>
      <c r="I12" s="1578">
        <f t="shared" si="1"/>
        <v>2320.02</v>
      </c>
      <c r="J12" s="1578">
        <f t="shared" si="1"/>
        <v>2320.02</v>
      </c>
      <c r="K12" s="1578">
        <f t="shared" si="1"/>
        <v>2320.02</v>
      </c>
      <c r="L12" s="1578">
        <f t="shared" si="1"/>
        <v>2320.02</v>
      </c>
    </row>
    <row r="13" spans="1:14" ht="15.75" x14ac:dyDescent="0.25">
      <c r="A13" s="346">
        <f>ROW()</f>
        <v>13</v>
      </c>
      <c r="B13" s="80"/>
      <c r="D13" s="283"/>
      <c r="E13" s="283"/>
      <c r="F13" s="245"/>
      <c r="G13" s="1199"/>
      <c r="H13" s="1199"/>
      <c r="I13" s="1199"/>
      <c r="J13" s="1199"/>
      <c r="K13" s="1199"/>
      <c r="L13" s="1199"/>
    </row>
    <row r="14" spans="1:14" ht="15.75" x14ac:dyDescent="0.25">
      <c r="A14" s="346">
        <f>ROW()</f>
        <v>14</v>
      </c>
      <c r="B14" s="852" t="s">
        <v>275</v>
      </c>
      <c r="C14" s="853"/>
      <c r="D14" s="853"/>
      <c r="E14" s="853"/>
      <c r="F14" s="726"/>
      <c r="G14" s="725"/>
      <c r="H14" s="725"/>
      <c r="I14" s="725"/>
      <c r="J14" s="725"/>
      <c r="K14" s="725"/>
      <c r="L14" s="725"/>
      <c r="N14" s="1365" t="s">
        <v>103</v>
      </c>
    </row>
    <row r="15" spans="1:14" ht="15.75" x14ac:dyDescent="0.25">
      <c r="A15" s="346">
        <f>ROW()</f>
        <v>15</v>
      </c>
      <c r="B15" s="31"/>
      <c r="F15" s="283"/>
      <c r="G15" s="292"/>
      <c r="H15" s="292"/>
      <c r="I15" s="292"/>
      <c r="J15" s="292"/>
      <c r="K15" s="292"/>
      <c r="L15" s="292"/>
      <c r="N15" s="1278"/>
    </row>
    <row r="16" spans="1:14" ht="15.75" x14ac:dyDescent="0.25">
      <c r="A16" s="346">
        <f>ROW()</f>
        <v>16</v>
      </c>
      <c r="B16" s="715" t="s">
        <v>344</v>
      </c>
      <c r="C16" s="716"/>
      <c r="D16" s="716"/>
      <c r="E16" s="716"/>
      <c r="F16" s="1283"/>
      <c r="G16" s="1284"/>
      <c r="H16" s="1284"/>
      <c r="I16" s="1284"/>
      <c r="J16" s="1284"/>
      <c r="K16" s="1284"/>
      <c r="L16" s="1284"/>
      <c r="N16" s="462"/>
    </row>
    <row r="17" spans="1:14" x14ac:dyDescent="0.25">
      <c r="A17" s="346">
        <f>ROW()</f>
        <v>17</v>
      </c>
      <c r="B17" s="656" t="s">
        <v>297</v>
      </c>
      <c r="C17" s="524"/>
      <c r="D17" s="524"/>
      <c r="E17" s="524"/>
      <c r="F17" s="657"/>
      <c r="G17" s="809">
        <f t="shared" ref="G17:L17" si="2">COUNTIF(G23:G35,"&gt;0")</f>
        <v>13</v>
      </c>
      <c r="H17" s="809">
        <f t="shared" si="2"/>
        <v>13</v>
      </c>
      <c r="I17" s="809">
        <f t="shared" si="2"/>
        <v>13</v>
      </c>
      <c r="J17" s="809">
        <f t="shared" si="2"/>
        <v>13</v>
      </c>
      <c r="K17" s="809">
        <f t="shared" si="2"/>
        <v>13</v>
      </c>
      <c r="L17" s="809">
        <f t="shared" si="2"/>
        <v>13</v>
      </c>
      <c r="N17" s="343"/>
    </row>
    <row r="18" spans="1:14" x14ac:dyDescent="0.25">
      <c r="A18" s="346">
        <f>ROW()</f>
        <v>18</v>
      </c>
      <c r="B18" s="70" t="s">
        <v>345</v>
      </c>
      <c r="C18" s="72"/>
      <c r="D18" s="72"/>
      <c r="E18" s="72"/>
      <c r="F18" s="493"/>
      <c r="G18" s="622">
        <v>0</v>
      </c>
      <c r="H18" s="622">
        <v>0</v>
      </c>
      <c r="I18" s="622">
        <v>0</v>
      </c>
      <c r="J18" s="622">
        <v>0</v>
      </c>
      <c r="K18" s="622">
        <v>0</v>
      </c>
      <c r="L18" s="622">
        <v>0</v>
      </c>
      <c r="N18" s="343"/>
    </row>
    <row r="19" spans="1:14" x14ac:dyDescent="0.25">
      <c r="A19" s="346">
        <f>ROW()</f>
        <v>19</v>
      </c>
      <c r="B19" s="70" t="s">
        <v>346</v>
      </c>
      <c r="C19" s="72"/>
      <c r="D19" s="72"/>
      <c r="E19" s="72"/>
      <c r="F19" s="493"/>
      <c r="G19" s="810">
        <f>IFERROR(+G36/G18,0)</f>
        <v>0</v>
      </c>
      <c r="H19" s="810">
        <f t="shared" ref="H19:L19" si="3">IFERROR(+H36/H18,0)</f>
        <v>0</v>
      </c>
      <c r="I19" s="810">
        <f t="shared" si="3"/>
        <v>0</v>
      </c>
      <c r="J19" s="810">
        <f t="shared" si="3"/>
        <v>0</v>
      </c>
      <c r="K19" s="810">
        <f t="shared" si="3"/>
        <v>0</v>
      </c>
      <c r="L19" s="810">
        <f t="shared" si="3"/>
        <v>0</v>
      </c>
      <c r="N19" s="343"/>
    </row>
    <row r="20" spans="1:14" x14ac:dyDescent="0.25">
      <c r="A20" s="346">
        <f>ROW()</f>
        <v>20</v>
      </c>
      <c r="B20" s="70" t="s">
        <v>347</v>
      </c>
      <c r="C20" s="72"/>
      <c r="D20" s="72"/>
      <c r="E20" s="72"/>
      <c r="F20" s="493"/>
      <c r="G20" s="811">
        <v>0</v>
      </c>
      <c r="H20" s="812">
        <v>0</v>
      </c>
      <c r="I20" s="812">
        <v>0</v>
      </c>
      <c r="J20" s="812">
        <v>0</v>
      </c>
      <c r="K20" s="812">
        <v>0</v>
      </c>
      <c r="L20" s="812"/>
      <c r="N20" s="343"/>
    </row>
    <row r="21" spans="1:14" x14ac:dyDescent="0.25">
      <c r="A21" s="346">
        <f>ROW()</f>
        <v>21</v>
      </c>
      <c r="B21" s="655" t="s">
        <v>348</v>
      </c>
      <c r="C21" s="671"/>
      <c r="D21" s="671"/>
      <c r="E21" s="671"/>
      <c r="F21" s="672"/>
      <c r="G21" s="813">
        <f>IFERROR(G36/G20,0)</f>
        <v>0</v>
      </c>
      <c r="H21" s="813">
        <f t="shared" ref="H21:L21" si="4">IFERROR(H36/H20,0)</f>
        <v>0</v>
      </c>
      <c r="I21" s="813">
        <f t="shared" si="4"/>
        <v>0</v>
      </c>
      <c r="J21" s="813">
        <f t="shared" si="4"/>
        <v>0</v>
      </c>
      <c r="K21" s="813">
        <f t="shared" si="4"/>
        <v>0</v>
      </c>
      <c r="L21" s="813">
        <f t="shared" si="4"/>
        <v>0</v>
      </c>
      <c r="N21" s="343"/>
    </row>
    <row r="22" spans="1:14" x14ac:dyDescent="0.25">
      <c r="A22" s="346">
        <f>ROW()</f>
        <v>22</v>
      </c>
      <c r="B22" s="41"/>
      <c r="C22" s="41"/>
      <c r="D22" s="41"/>
      <c r="E22" s="41"/>
      <c r="F22" s="250"/>
      <c r="G22" s="250"/>
      <c r="H22" s="250"/>
      <c r="I22" s="250"/>
      <c r="J22" s="250"/>
      <c r="K22" s="250"/>
      <c r="L22" s="250"/>
      <c r="N22" s="343"/>
    </row>
    <row r="23" spans="1:14" x14ac:dyDescent="0.25">
      <c r="A23" s="346">
        <f>ROW()</f>
        <v>23</v>
      </c>
      <c r="B23" s="143" t="s">
        <v>299</v>
      </c>
      <c r="C23" s="125"/>
      <c r="D23" s="125"/>
      <c r="E23" s="125"/>
      <c r="F23" s="670">
        <v>48.12</v>
      </c>
      <c r="G23" s="814">
        <v>48.12</v>
      </c>
      <c r="H23" s="814">
        <v>48.12</v>
      </c>
      <c r="I23" s="814">
        <v>48.12</v>
      </c>
      <c r="J23" s="814">
        <v>48.12</v>
      </c>
      <c r="K23" s="814">
        <v>48.12</v>
      </c>
      <c r="L23" s="814">
        <v>48.12</v>
      </c>
      <c r="N23" s="343"/>
    </row>
    <row r="24" spans="1:14" x14ac:dyDescent="0.25">
      <c r="A24" s="346">
        <f>ROW()</f>
        <v>24</v>
      </c>
      <c r="B24" s="70" t="s">
        <v>300</v>
      </c>
      <c r="C24" s="72"/>
      <c r="D24" s="72"/>
      <c r="E24" s="72"/>
      <c r="F24" s="491">
        <v>43.88</v>
      </c>
      <c r="G24" s="623">
        <v>43.88</v>
      </c>
      <c r="H24" s="623">
        <v>43.88</v>
      </c>
      <c r="I24" s="623">
        <v>43.88</v>
      </c>
      <c r="J24" s="623">
        <v>43.88</v>
      </c>
      <c r="K24" s="623">
        <v>43.88</v>
      </c>
      <c r="L24" s="623">
        <v>43.88</v>
      </c>
      <c r="N24" s="343"/>
    </row>
    <row r="25" spans="1:14" x14ac:dyDescent="0.25">
      <c r="A25" s="346">
        <f>ROW()</f>
        <v>25</v>
      </c>
      <c r="B25" s="70" t="s">
        <v>301</v>
      </c>
      <c r="C25" s="72"/>
      <c r="D25" s="72"/>
      <c r="E25" s="72"/>
      <c r="F25" s="491">
        <v>53.08</v>
      </c>
      <c r="G25" s="623">
        <v>53.08</v>
      </c>
      <c r="H25" s="623">
        <v>53.08</v>
      </c>
      <c r="I25" s="623">
        <v>53.08</v>
      </c>
      <c r="J25" s="623">
        <v>53.08</v>
      </c>
      <c r="K25" s="623">
        <v>53.08</v>
      </c>
      <c r="L25" s="623">
        <v>53.08</v>
      </c>
      <c r="N25" s="343"/>
    </row>
    <row r="26" spans="1:14" x14ac:dyDescent="0.25">
      <c r="A26" s="346">
        <f>ROW()</f>
        <v>26</v>
      </c>
      <c r="B26" s="70" t="s">
        <v>302</v>
      </c>
      <c r="C26" s="72"/>
      <c r="D26" s="72"/>
      <c r="E26" s="72"/>
      <c r="F26" s="491">
        <v>60.61</v>
      </c>
      <c r="G26" s="623">
        <v>60.61</v>
      </c>
      <c r="H26" s="623">
        <v>60.61</v>
      </c>
      <c r="I26" s="623">
        <v>60.61</v>
      </c>
      <c r="J26" s="623">
        <v>60.61</v>
      </c>
      <c r="K26" s="623">
        <v>60.61</v>
      </c>
      <c r="L26" s="623">
        <v>60.61</v>
      </c>
      <c r="N26" s="343"/>
    </row>
    <row r="27" spans="1:14" x14ac:dyDescent="0.25">
      <c r="A27" s="346">
        <f>ROW()</f>
        <v>27</v>
      </c>
      <c r="B27" s="70" t="s">
        <v>303</v>
      </c>
      <c r="C27" s="72"/>
      <c r="D27" s="72"/>
      <c r="E27" s="72"/>
      <c r="F27" s="491">
        <v>72.260000000000005</v>
      </c>
      <c r="G27" s="623">
        <v>72.260000000000005</v>
      </c>
      <c r="H27" s="623">
        <v>72.260000000000005</v>
      </c>
      <c r="I27" s="623">
        <v>72.260000000000005</v>
      </c>
      <c r="J27" s="623">
        <v>72.260000000000005</v>
      </c>
      <c r="K27" s="623">
        <v>72.260000000000005</v>
      </c>
      <c r="L27" s="623">
        <v>72.260000000000005</v>
      </c>
      <c r="N27" s="343"/>
    </row>
    <row r="28" spans="1:14" x14ac:dyDescent="0.25">
      <c r="A28" s="346">
        <f>ROW()</f>
        <v>28</v>
      </c>
      <c r="B28" s="1275" t="s">
        <v>304</v>
      </c>
      <c r="C28" s="519"/>
      <c r="D28" s="519"/>
      <c r="E28" s="519"/>
      <c r="F28" s="1628">
        <v>75.150000000000006</v>
      </c>
      <c r="G28" s="1629">
        <v>75.150000000000006</v>
      </c>
      <c r="H28" s="1629">
        <v>75.150000000000006</v>
      </c>
      <c r="I28" s="1629">
        <v>75.150000000000006</v>
      </c>
      <c r="J28" s="1629">
        <v>75.150000000000006</v>
      </c>
      <c r="K28" s="1629">
        <v>75.150000000000006</v>
      </c>
      <c r="L28" s="1629">
        <v>75.150000000000006</v>
      </c>
      <c r="N28" s="343"/>
    </row>
    <row r="29" spans="1:14" x14ac:dyDescent="0.25">
      <c r="A29" s="346">
        <f>ROW()</f>
        <v>29</v>
      </c>
      <c r="B29" s="656" t="s">
        <v>305</v>
      </c>
      <c r="C29" s="524"/>
      <c r="D29" s="524"/>
      <c r="E29" s="524"/>
      <c r="F29" s="1630">
        <v>164.84</v>
      </c>
      <c r="G29" s="814">
        <v>164.84</v>
      </c>
      <c r="H29" s="814">
        <v>164.84</v>
      </c>
      <c r="I29" s="814">
        <v>164.84</v>
      </c>
      <c r="J29" s="814">
        <v>164.84</v>
      </c>
      <c r="K29" s="814">
        <v>164.84</v>
      </c>
      <c r="L29" s="814">
        <v>164.84</v>
      </c>
      <c r="N29" s="343"/>
    </row>
    <row r="30" spans="1:14" x14ac:dyDescent="0.25">
      <c r="A30" s="346">
        <f>ROW()</f>
        <v>30</v>
      </c>
      <c r="B30" s="70" t="s">
        <v>306</v>
      </c>
      <c r="C30" s="72"/>
      <c r="D30" s="72"/>
      <c r="E30" s="72"/>
      <c r="F30" s="492">
        <v>218.49</v>
      </c>
      <c r="G30" s="623">
        <v>218.49</v>
      </c>
      <c r="H30" s="623">
        <v>218.49</v>
      </c>
      <c r="I30" s="623">
        <v>218.49</v>
      </c>
      <c r="J30" s="623">
        <v>218.49</v>
      </c>
      <c r="K30" s="623">
        <v>218.49</v>
      </c>
      <c r="L30" s="623">
        <v>218.49</v>
      </c>
      <c r="N30" s="343"/>
    </row>
    <row r="31" spans="1:14" x14ac:dyDescent="0.25">
      <c r="A31" s="346">
        <f>ROW()</f>
        <v>31</v>
      </c>
      <c r="B31" s="1275" t="s">
        <v>307</v>
      </c>
      <c r="C31" s="519"/>
      <c r="D31" s="519"/>
      <c r="E31" s="519"/>
      <c r="F31" s="1628">
        <v>220.76</v>
      </c>
      <c r="G31" s="1629">
        <v>220.76</v>
      </c>
      <c r="H31" s="1629">
        <v>220.76</v>
      </c>
      <c r="I31" s="1629">
        <v>220.76</v>
      </c>
      <c r="J31" s="1629">
        <v>220.76</v>
      </c>
      <c r="K31" s="1629">
        <v>220.76</v>
      </c>
      <c r="L31" s="1629">
        <v>220.76</v>
      </c>
      <c r="N31" s="343"/>
    </row>
    <row r="32" spans="1:14" x14ac:dyDescent="0.25">
      <c r="A32" s="346">
        <f>ROW()</f>
        <v>32</v>
      </c>
      <c r="B32" s="656" t="s">
        <v>308</v>
      </c>
      <c r="C32" s="524"/>
      <c r="D32" s="524"/>
      <c r="E32" s="524"/>
      <c r="F32" s="1630">
        <v>273.95999999999998</v>
      </c>
      <c r="G32" s="814">
        <v>273.95999999999998</v>
      </c>
      <c r="H32" s="814">
        <v>273.95999999999998</v>
      </c>
      <c r="I32" s="814">
        <v>273.95999999999998</v>
      </c>
      <c r="J32" s="814">
        <v>273.95999999999998</v>
      </c>
      <c r="K32" s="814">
        <v>273.95999999999998</v>
      </c>
      <c r="L32" s="814">
        <v>273.95999999999998</v>
      </c>
      <c r="N32" s="343"/>
    </row>
    <row r="33" spans="1:14" x14ac:dyDescent="0.25">
      <c r="A33" s="346">
        <f>ROW()</f>
        <v>33</v>
      </c>
      <c r="B33" s="70" t="s">
        <v>309</v>
      </c>
      <c r="C33" s="72"/>
      <c r="D33" s="72"/>
      <c r="E33" s="72"/>
      <c r="F33" s="492">
        <v>302.51</v>
      </c>
      <c r="G33" s="623">
        <v>302.51</v>
      </c>
      <c r="H33" s="623">
        <v>302.51</v>
      </c>
      <c r="I33" s="623">
        <v>302.51</v>
      </c>
      <c r="J33" s="623">
        <v>302.51</v>
      </c>
      <c r="K33" s="623">
        <v>302.51</v>
      </c>
      <c r="L33" s="623">
        <v>302.51</v>
      </c>
      <c r="N33" s="343"/>
    </row>
    <row r="34" spans="1:14" x14ac:dyDescent="0.25">
      <c r="A34" s="346">
        <f>ROW()</f>
        <v>34</v>
      </c>
      <c r="B34" s="70" t="s">
        <v>310</v>
      </c>
      <c r="C34" s="72"/>
      <c r="D34" s="72"/>
      <c r="E34" s="72"/>
      <c r="F34" s="492">
        <v>390.51</v>
      </c>
      <c r="G34" s="623">
        <v>390.51</v>
      </c>
      <c r="H34" s="623">
        <v>390.51</v>
      </c>
      <c r="I34" s="623">
        <v>390.51</v>
      </c>
      <c r="J34" s="623">
        <v>390.51</v>
      </c>
      <c r="K34" s="623">
        <v>390.51</v>
      </c>
      <c r="L34" s="623">
        <v>390.51</v>
      </c>
      <c r="N34" s="343"/>
    </row>
    <row r="35" spans="1:14" x14ac:dyDescent="0.25">
      <c r="A35" s="346">
        <f>ROW()</f>
        <v>35</v>
      </c>
      <c r="B35" s="70" t="s">
        <v>311</v>
      </c>
      <c r="F35" s="817">
        <v>395.85</v>
      </c>
      <c r="G35" s="624">
        <v>395.85</v>
      </c>
      <c r="H35" s="624">
        <v>395.85</v>
      </c>
      <c r="I35" s="624">
        <v>395.85</v>
      </c>
      <c r="J35" s="624">
        <v>395.85</v>
      </c>
      <c r="K35" s="624">
        <v>395.85</v>
      </c>
      <c r="L35" s="624">
        <v>395.85</v>
      </c>
      <c r="N35" s="343"/>
    </row>
    <row r="36" spans="1:14" x14ac:dyDescent="0.25">
      <c r="A36" s="346">
        <f>ROW()</f>
        <v>36</v>
      </c>
      <c r="B36" s="143" t="s">
        <v>312</v>
      </c>
      <c r="C36" s="125"/>
      <c r="D36" s="125"/>
      <c r="E36" s="125"/>
      <c r="F36" s="126"/>
      <c r="G36" s="1200">
        <f t="shared" ref="G36:L36" si="5">SUM(G23:G35)</f>
        <v>2320.02</v>
      </c>
      <c r="H36" s="1200">
        <f t="shared" si="5"/>
        <v>2320.02</v>
      </c>
      <c r="I36" s="1200">
        <f t="shared" si="5"/>
        <v>2320.02</v>
      </c>
      <c r="J36" s="1200">
        <f t="shared" si="5"/>
        <v>2320.02</v>
      </c>
      <c r="K36" s="1200">
        <f t="shared" si="5"/>
        <v>2320.02</v>
      </c>
      <c r="L36" s="1200">
        <f t="shared" si="5"/>
        <v>2320.02</v>
      </c>
      <c r="N36" s="343"/>
    </row>
    <row r="37" spans="1:14" x14ac:dyDescent="0.25">
      <c r="A37" s="346">
        <f>ROW()</f>
        <v>37</v>
      </c>
      <c r="B37" s="143" t="s">
        <v>349</v>
      </c>
      <c r="C37" s="125"/>
      <c r="D37" s="125"/>
      <c r="E37" s="125"/>
      <c r="F37" s="126"/>
      <c r="G37" s="1694">
        <v>2320</v>
      </c>
      <c r="H37" s="1694">
        <f t="shared" ref="H37:L37" si="6">+G37</f>
        <v>2320</v>
      </c>
      <c r="I37" s="1694">
        <f t="shared" si="6"/>
        <v>2320</v>
      </c>
      <c r="J37" s="1694">
        <f t="shared" si="6"/>
        <v>2320</v>
      </c>
      <c r="K37" s="1694">
        <f t="shared" si="6"/>
        <v>2320</v>
      </c>
      <c r="L37" s="1694">
        <f t="shared" si="6"/>
        <v>2320</v>
      </c>
      <c r="N37" s="343"/>
    </row>
    <row r="38" spans="1:14" x14ac:dyDescent="0.25">
      <c r="A38" s="346">
        <f>ROW()</f>
        <v>38</v>
      </c>
      <c r="B38" s="1574" t="s">
        <v>350</v>
      </c>
      <c r="F38" s="181"/>
      <c r="G38" s="1575">
        <f>+G36/G37</f>
        <v>1.0000086206896552</v>
      </c>
      <c r="H38" s="1575">
        <f t="shared" ref="H38:L38" si="7">+H36/H37</f>
        <v>1.0000086206896552</v>
      </c>
      <c r="I38" s="1575">
        <f t="shared" si="7"/>
        <v>1.0000086206896552</v>
      </c>
      <c r="J38" s="1575">
        <f t="shared" si="7"/>
        <v>1.0000086206896552</v>
      </c>
      <c r="K38" s="1575">
        <f t="shared" si="7"/>
        <v>1.0000086206896552</v>
      </c>
      <c r="L38" s="1575">
        <f t="shared" si="7"/>
        <v>1.0000086206896552</v>
      </c>
      <c r="N38" s="343"/>
    </row>
    <row r="39" spans="1:14" x14ac:dyDescent="0.25">
      <c r="A39" s="346">
        <f>ROW()</f>
        <v>39</v>
      </c>
      <c r="B39" s="1574" t="s">
        <v>351</v>
      </c>
      <c r="F39" s="181"/>
      <c r="G39" s="1575"/>
      <c r="H39" s="1576">
        <f>(H36/G36)-1</f>
        <v>0</v>
      </c>
      <c r="I39" s="1576">
        <f t="shared" ref="I39:L39" si="8">(I36/H36)-1</f>
        <v>0</v>
      </c>
      <c r="J39" s="1576">
        <f t="shared" si="8"/>
        <v>0</v>
      </c>
      <c r="K39" s="1576">
        <f t="shared" si="8"/>
        <v>0</v>
      </c>
      <c r="L39" s="1576">
        <f t="shared" si="8"/>
        <v>0</v>
      </c>
      <c r="N39" s="343"/>
    </row>
    <row r="40" spans="1:14" x14ac:dyDescent="0.25">
      <c r="A40" s="346">
        <f>ROW()</f>
        <v>40</v>
      </c>
      <c r="B40" s="143" t="s">
        <v>352</v>
      </c>
      <c r="C40" s="125"/>
      <c r="D40" s="125"/>
      <c r="E40" s="125"/>
      <c r="F40" s="126"/>
      <c r="G40" s="1620">
        <f>+'Mkt Res'!E29</f>
        <v>1.0000086206896552</v>
      </c>
      <c r="H40" s="1620">
        <f>+'Mkt Res'!F29</f>
        <v>1.0000086206896552</v>
      </c>
      <c r="I40" s="1620">
        <f>+'Mkt Res'!G29</f>
        <v>1.0000086206896552</v>
      </c>
      <c r="J40" s="1620">
        <f>+'Mkt Res'!H29</f>
        <v>1.0000086206896552</v>
      </c>
      <c r="K40" s="1620">
        <f>+'Mkt Res'!I29</f>
        <v>1.0000086206896552</v>
      </c>
      <c r="L40" s="1620">
        <f>+'Mkt Res'!J29</f>
        <v>1.0000086206896552</v>
      </c>
      <c r="N40" s="343"/>
    </row>
    <row r="41" spans="1:14" x14ac:dyDescent="0.25">
      <c r="A41" s="346">
        <f>ROW()</f>
        <v>41</v>
      </c>
      <c r="B41" s="69" t="s">
        <v>353</v>
      </c>
      <c r="C41" s="63"/>
      <c r="D41" s="63"/>
      <c r="E41" s="63"/>
      <c r="F41" s="1621"/>
      <c r="G41" s="1622">
        <f>+'Mkt Res'!E30</f>
        <v>1.0000086206896552</v>
      </c>
      <c r="H41" s="1622">
        <f>+'Mkt Res'!F30</f>
        <v>1.0000086206896552</v>
      </c>
      <c r="I41" s="1622">
        <f>+'Mkt Res'!G30</f>
        <v>1.0000086206896552</v>
      </c>
      <c r="J41" s="1622">
        <f>+'Mkt Res'!H30</f>
        <v>1.0000086206896552</v>
      </c>
      <c r="K41" s="1622">
        <f>+'Mkt Res'!I30</f>
        <v>1.0000086206896552</v>
      </c>
      <c r="L41" s="1622">
        <f>+'Mkt Res'!J30</f>
        <v>1.0000086206896552</v>
      </c>
      <c r="N41" s="343"/>
    </row>
    <row r="42" spans="1:14" x14ac:dyDescent="0.25">
      <c r="A42" s="346">
        <f>ROW()</f>
        <v>42</v>
      </c>
      <c r="B42" s="1574"/>
      <c r="F42" s="181"/>
      <c r="G42" s="1575"/>
      <c r="H42" s="1576"/>
      <c r="I42" s="1576"/>
      <c r="J42" s="1576"/>
      <c r="K42" s="1576"/>
      <c r="L42" s="1576"/>
      <c r="N42" s="343"/>
    </row>
    <row r="43" spans="1:14" x14ac:dyDescent="0.25">
      <c r="A43" s="346">
        <f>ROW()</f>
        <v>43</v>
      </c>
      <c r="B43" s="80" t="s">
        <v>354</v>
      </c>
      <c r="G43" s="1342">
        <v>0</v>
      </c>
      <c r="N43" s="343"/>
    </row>
    <row r="44" spans="1:14" x14ac:dyDescent="0.25">
      <c r="A44" s="346">
        <f>ROW()</f>
        <v>44</v>
      </c>
      <c r="B44" s="122" t="s">
        <v>355</v>
      </c>
      <c r="F44" s="1679"/>
      <c r="G44" s="815">
        <v>1</v>
      </c>
      <c r="H44" s="815">
        <v>1</v>
      </c>
      <c r="I44" s="815">
        <v>1</v>
      </c>
      <c r="J44" s="815">
        <v>1</v>
      </c>
      <c r="K44" s="815">
        <v>1</v>
      </c>
      <c r="L44" s="815">
        <v>1</v>
      </c>
      <c r="N44" s="343"/>
    </row>
    <row r="45" spans="1:14" x14ac:dyDescent="0.25">
      <c r="A45" s="346">
        <f>ROW()</f>
        <v>45</v>
      </c>
      <c r="B45" s="122" t="s">
        <v>356</v>
      </c>
      <c r="F45" s="74"/>
      <c r="G45" s="1567">
        <f t="shared" ref="G45:L45" si="9">+G36*(1-G44)</f>
        <v>0</v>
      </c>
      <c r="H45" s="1567">
        <f t="shared" si="9"/>
        <v>0</v>
      </c>
      <c r="I45" s="1567">
        <f t="shared" si="9"/>
        <v>0</v>
      </c>
      <c r="J45" s="1567">
        <f t="shared" si="9"/>
        <v>0</v>
      </c>
      <c r="K45" s="1567">
        <f t="shared" si="9"/>
        <v>0</v>
      </c>
      <c r="L45" s="1567">
        <f t="shared" si="9"/>
        <v>0</v>
      </c>
      <c r="N45" s="343"/>
    </row>
    <row r="46" spans="1:14" x14ac:dyDescent="0.25">
      <c r="A46" s="346">
        <f>ROW()</f>
        <v>46</v>
      </c>
      <c r="B46" s="122"/>
      <c r="F46" s="74"/>
      <c r="G46" s="816"/>
      <c r="H46" s="816"/>
      <c r="I46" s="816"/>
      <c r="J46" s="816"/>
      <c r="K46" s="816"/>
      <c r="L46" s="816"/>
      <c r="N46" s="343"/>
    </row>
    <row r="47" spans="1:14" x14ac:dyDescent="0.25">
      <c r="A47" s="346">
        <f>ROW()</f>
        <v>47</v>
      </c>
      <c r="B47" s="1680" t="s">
        <v>357</v>
      </c>
      <c r="C47" s="1681"/>
      <c r="D47" s="1681"/>
      <c r="E47" s="1681"/>
      <c r="F47" s="62"/>
      <c r="G47" s="1281"/>
      <c r="H47" s="62"/>
      <c r="I47" s="62"/>
      <c r="J47" s="62"/>
      <c r="K47" s="62"/>
      <c r="L47" s="62"/>
      <c r="N47" s="343"/>
    </row>
    <row r="48" spans="1:14" x14ac:dyDescent="0.25">
      <c r="A48" s="346">
        <f>ROW()</f>
        <v>48</v>
      </c>
      <c r="B48" s="31"/>
      <c r="C48" s="1674"/>
      <c r="D48" s="42" t="s">
        <v>358</v>
      </c>
      <c r="E48" s="42"/>
      <c r="N48" s="343"/>
    </row>
    <row r="49" spans="1:14" x14ac:dyDescent="0.25">
      <c r="A49" s="346">
        <f>ROW()</f>
        <v>49</v>
      </c>
      <c r="C49" s="42"/>
      <c r="D49" s="42" t="s">
        <v>359</v>
      </c>
      <c r="E49" s="42"/>
      <c r="N49" s="343"/>
    </row>
    <row r="50" spans="1:14" x14ac:dyDescent="0.25">
      <c r="A50" s="346">
        <f>ROW()</f>
        <v>50</v>
      </c>
      <c r="B50" s="1675" t="s">
        <v>1469</v>
      </c>
      <c r="C50" s="1676"/>
      <c r="D50" s="524"/>
      <c r="E50" s="1682"/>
      <c r="F50" s="1670"/>
      <c r="G50" s="1670"/>
      <c r="H50" s="1670"/>
      <c r="I50" s="1670"/>
      <c r="J50" s="1670"/>
      <c r="K50" s="1670"/>
      <c r="L50" s="1670"/>
      <c r="N50" s="343"/>
    </row>
    <row r="51" spans="1:14" x14ac:dyDescent="0.25">
      <c r="A51" s="346">
        <f>ROW()</f>
        <v>51</v>
      </c>
      <c r="B51" s="72" t="s">
        <v>360</v>
      </c>
      <c r="C51" s="1677"/>
      <c r="D51" s="1285">
        <v>0.13700000000000001</v>
      </c>
      <c r="E51" s="1677"/>
      <c r="F51" s="1683"/>
      <c r="G51" s="1671">
        <f t="shared" ref="G51:L54" si="10">+$D51*G$36</f>
        <v>317.84274000000005</v>
      </c>
      <c r="H51" s="1671">
        <f t="shared" si="10"/>
        <v>317.84274000000005</v>
      </c>
      <c r="I51" s="1671">
        <f t="shared" si="10"/>
        <v>317.84274000000005</v>
      </c>
      <c r="J51" s="1671">
        <f t="shared" si="10"/>
        <v>317.84274000000005</v>
      </c>
      <c r="K51" s="1671">
        <f t="shared" si="10"/>
        <v>317.84274000000005</v>
      </c>
      <c r="L51" s="1671">
        <f t="shared" si="10"/>
        <v>317.84274000000005</v>
      </c>
      <c r="N51" s="343" t="s">
        <v>1537</v>
      </c>
    </row>
    <row r="52" spans="1:14" x14ac:dyDescent="0.25">
      <c r="A52" s="346">
        <f>ROW()</f>
        <v>52</v>
      </c>
      <c r="B52" s="70" t="s">
        <v>361</v>
      </c>
      <c r="C52" s="1677"/>
      <c r="D52" s="1285">
        <v>9.8000000000000004E-2</v>
      </c>
      <c r="E52" s="1677"/>
      <c r="F52" s="1684"/>
      <c r="G52" s="1671">
        <f t="shared" si="10"/>
        <v>227.36196000000001</v>
      </c>
      <c r="H52" s="1671">
        <f t="shared" si="10"/>
        <v>227.36196000000001</v>
      </c>
      <c r="I52" s="1671">
        <f t="shared" si="10"/>
        <v>227.36196000000001</v>
      </c>
      <c r="J52" s="1671">
        <f t="shared" si="10"/>
        <v>227.36196000000001</v>
      </c>
      <c r="K52" s="1671">
        <f t="shared" si="10"/>
        <v>227.36196000000001</v>
      </c>
      <c r="L52" s="1671">
        <f t="shared" si="10"/>
        <v>227.36196000000001</v>
      </c>
      <c r="N52" s="343" t="s">
        <v>1538</v>
      </c>
    </row>
    <row r="53" spans="1:14" x14ac:dyDescent="0.25">
      <c r="A53" s="346">
        <f>ROW()</f>
        <v>53</v>
      </c>
      <c r="B53" s="70" t="s">
        <v>362</v>
      </c>
      <c r="C53" s="1677"/>
      <c r="D53" s="1285">
        <v>0</v>
      </c>
      <c r="E53" s="1685"/>
      <c r="F53" s="1686"/>
      <c r="G53" s="1671">
        <f t="shared" si="10"/>
        <v>0</v>
      </c>
      <c r="H53" s="1671">
        <f t="shared" si="10"/>
        <v>0</v>
      </c>
      <c r="I53" s="1671">
        <f t="shared" si="10"/>
        <v>0</v>
      </c>
      <c r="J53" s="1671">
        <f t="shared" si="10"/>
        <v>0</v>
      </c>
      <c r="K53" s="1671">
        <f t="shared" si="10"/>
        <v>0</v>
      </c>
      <c r="L53" s="1671">
        <f t="shared" si="10"/>
        <v>0</v>
      </c>
      <c r="N53" s="343"/>
    </row>
    <row r="54" spans="1:14" x14ac:dyDescent="0.25">
      <c r="A54" s="346">
        <f>ROW()</f>
        <v>54</v>
      </c>
      <c r="B54" s="72" t="s">
        <v>1466</v>
      </c>
      <c r="C54" s="1677"/>
      <c r="D54" s="1695"/>
      <c r="E54" s="1677"/>
      <c r="F54" s="1686"/>
      <c r="G54" s="1671">
        <f t="shared" si="10"/>
        <v>0</v>
      </c>
      <c r="H54" s="1671">
        <f t="shared" si="10"/>
        <v>0</v>
      </c>
      <c r="I54" s="1671">
        <f t="shared" si="10"/>
        <v>0</v>
      </c>
      <c r="J54" s="1671">
        <f t="shared" si="10"/>
        <v>0</v>
      </c>
      <c r="K54" s="1671">
        <f t="shared" si="10"/>
        <v>0</v>
      </c>
      <c r="L54" s="1671">
        <f t="shared" si="10"/>
        <v>0</v>
      </c>
      <c r="N54" s="343"/>
    </row>
    <row r="55" spans="1:14" x14ac:dyDescent="0.25">
      <c r="A55" s="346">
        <f>ROW()</f>
        <v>55</v>
      </c>
      <c r="B55" s="655"/>
      <c r="C55" s="1678"/>
      <c r="D55" s="1687"/>
      <c r="E55" s="1687"/>
      <c r="F55" s="1688"/>
      <c r="G55" s="1672"/>
      <c r="H55" s="1672"/>
      <c r="I55" s="1672"/>
      <c r="J55" s="1672"/>
      <c r="K55" s="1672"/>
      <c r="L55" s="1672"/>
      <c r="N55" s="343"/>
    </row>
    <row r="56" spans="1:14" x14ac:dyDescent="0.25">
      <c r="A56" s="346">
        <f>ROW()</f>
        <v>56</v>
      </c>
      <c r="B56" s="80" t="s">
        <v>363</v>
      </c>
      <c r="D56" s="1691">
        <f>SUM(D51:D55)</f>
        <v>0.23500000000000001</v>
      </c>
      <c r="E56" s="1689"/>
      <c r="F56" s="1690" t="s">
        <v>364</v>
      </c>
      <c r="G56" s="1673">
        <f>SUM(G51:G55)</f>
        <v>545.2047</v>
      </c>
      <c r="H56" s="1673">
        <f t="shared" ref="H56:L56" si="11">SUM(H51:H55)</f>
        <v>545.2047</v>
      </c>
      <c r="I56" s="1673">
        <f t="shared" si="11"/>
        <v>545.2047</v>
      </c>
      <c r="J56" s="1673">
        <f t="shared" si="11"/>
        <v>545.2047</v>
      </c>
      <c r="K56" s="1673">
        <f t="shared" si="11"/>
        <v>545.2047</v>
      </c>
      <c r="L56" s="1673">
        <f t="shared" si="11"/>
        <v>545.2047</v>
      </c>
      <c r="N56" s="343"/>
    </row>
    <row r="57" spans="1:14" x14ac:dyDescent="0.25">
      <c r="A57" s="346">
        <f>ROW()</f>
        <v>57</v>
      </c>
      <c r="B57" s="80"/>
      <c r="F57" s="1692"/>
      <c r="G57" s="1693"/>
      <c r="H57" s="1693"/>
      <c r="I57" s="1693"/>
      <c r="J57" s="1693"/>
      <c r="K57" s="1693"/>
      <c r="L57" s="1693"/>
      <c r="N57" s="343"/>
    </row>
    <row r="58" spans="1:14" x14ac:dyDescent="0.25">
      <c r="A58" s="346">
        <f>ROW()</f>
        <v>58</v>
      </c>
      <c r="B58" s="183"/>
      <c r="F58" s="74"/>
      <c r="G58" s="816"/>
      <c r="H58" s="816"/>
      <c r="I58" s="816"/>
      <c r="J58" s="816"/>
      <c r="K58" s="816"/>
      <c r="L58" s="816"/>
      <c r="N58" s="343"/>
    </row>
    <row r="59" spans="1:14" x14ac:dyDescent="0.25">
      <c r="A59" s="346">
        <f>ROW()</f>
        <v>59</v>
      </c>
      <c r="B59" s="434" t="s">
        <v>365</v>
      </c>
      <c r="C59" s="1681"/>
      <c r="D59" s="1681"/>
      <c r="E59" s="1681"/>
      <c r="F59" s="62"/>
      <c r="G59" s="1281"/>
      <c r="H59" s="62"/>
      <c r="I59" s="62"/>
      <c r="J59" s="62"/>
      <c r="K59" s="62"/>
      <c r="L59" s="62"/>
      <c r="N59" s="343"/>
    </row>
    <row r="60" spans="1:14" x14ac:dyDescent="0.25">
      <c r="A60" s="346">
        <f>ROW()</f>
        <v>60</v>
      </c>
      <c r="B60" s="1696" t="s">
        <v>366</v>
      </c>
      <c r="C60" s="97"/>
      <c r="D60" s="97"/>
      <c r="E60" s="97"/>
      <c r="F60" s="97"/>
      <c r="G60" s="97"/>
      <c r="H60" s="97"/>
      <c r="I60" s="97"/>
      <c r="J60" s="97"/>
      <c r="K60" s="97"/>
      <c r="L60" s="97"/>
      <c r="N60" s="343"/>
    </row>
    <row r="61" spans="1:14" x14ac:dyDescent="0.25">
      <c r="A61" s="346">
        <f>ROW()</f>
        <v>61</v>
      </c>
      <c r="B61" s="1696" t="s">
        <v>367</v>
      </c>
      <c r="C61" s="97"/>
      <c r="D61" s="1696"/>
      <c r="E61" s="97"/>
      <c r="F61" s="97"/>
      <c r="G61" s="97"/>
      <c r="H61" s="97"/>
      <c r="I61" s="97"/>
      <c r="J61" s="97"/>
      <c r="K61" s="97"/>
      <c r="L61" s="97"/>
      <c r="N61" s="343"/>
    </row>
    <row r="62" spans="1:14" x14ac:dyDescent="0.25">
      <c r="A62" s="346">
        <f>ROW()</f>
        <v>62</v>
      </c>
      <c r="B62" s="1696" t="s">
        <v>368</v>
      </c>
      <c r="C62" s="97"/>
      <c r="D62" s="1696"/>
      <c r="E62" s="97"/>
      <c r="F62" s="97"/>
      <c r="G62" s="97"/>
      <c r="H62" s="97"/>
      <c r="I62" s="97"/>
      <c r="J62" s="97"/>
      <c r="K62" s="97"/>
      <c r="L62" s="97"/>
      <c r="N62" s="343"/>
    </row>
    <row r="63" spans="1:14" x14ac:dyDescent="0.25">
      <c r="A63" s="346">
        <f>ROW()</f>
        <v>63</v>
      </c>
      <c r="B63" s="1696" t="s">
        <v>369</v>
      </c>
      <c r="C63" s="97"/>
      <c r="D63" s="1696"/>
      <c r="E63" s="97"/>
      <c r="F63" s="97"/>
      <c r="G63" s="97"/>
      <c r="H63" s="97"/>
      <c r="I63" s="97"/>
      <c r="J63" s="97"/>
      <c r="K63" s="97"/>
      <c r="L63" s="97"/>
      <c r="N63" s="343"/>
    </row>
    <row r="64" spans="1:14" x14ac:dyDescent="0.25">
      <c r="A64" s="346">
        <f>ROW()</f>
        <v>64</v>
      </c>
      <c r="B64" s="1696"/>
      <c r="C64" s="97"/>
      <c r="D64" s="1696"/>
      <c r="E64" s="97"/>
      <c r="F64" s="97"/>
      <c r="G64" s="97"/>
      <c r="H64" s="97"/>
      <c r="I64" s="97"/>
      <c r="J64" s="97"/>
      <c r="K64" s="97"/>
      <c r="L64" s="97"/>
      <c r="N64" s="343"/>
    </row>
    <row r="65" spans="1:14" x14ac:dyDescent="0.25">
      <c r="A65" s="346">
        <f>ROW()</f>
        <v>65</v>
      </c>
      <c r="B65" s="1674"/>
      <c r="C65" s="42" t="s">
        <v>370</v>
      </c>
      <c r="D65" s="1674" t="s">
        <v>371</v>
      </c>
      <c r="E65" s="42" t="s">
        <v>372</v>
      </c>
      <c r="N65" s="343"/>
    </row>
    <row r="66" spans="1:14" x14ac:dyDescent="0.25">
      <c r="A66" s="346">
        <f>ROW()</f>
        <v>66</v>
      </c>
      <c r="C66" s="42" t="s">
        <v>373</v>
      </c>
      <c r="D66" s="42" t="s">
        <v>374</v>
      </c>
      <c r="E66" s="42" t="s">
        <v>373</v>
      </c>
      <c r="N66" s="343"/>
    </row>
    <row r="67" spans="1:14" x14ac:dyDescent="0.25">
      <c r="A67" s="346">
        <f>ROW()</f>
        <v>67</v>
      </c>
      <c r="B67" s="524"/>
      <c r="C67" s="524"/>
      <c r="D67" s="524"/>
      <c r="E67" s="1682"/>
      <c r="F67" s="1181"/>
      <c r="G67" s="1181"/>
      <c r="H67" s="1181"/>
      <c r="I67" s="1181"/>
      <c r="J67" s="1181"/>
      <c r="K67" s="1181"/>
      <c r="L67" s="1181"/>
      <c r="N67" s="343"/>
    </row>
    <row r="68" spans="1:14" x14ac:dyDescent="0.25">
      <c r="A68" s="346">
        <f>ROW()</f>
        <v>68</v>
      </c>
      <c r="B68" s="72" t="s">
        <v>360</v>
      </c>
      <c r="C68" s="1697">
        <f>+D51</f>
        <v>0.13700000000000001</v>
      </c>
      <c r="D68" s="1698">
        <v>1</v>
      </c>
      <c r="E68" s="1698">
        <f>+C68</f>
        <v>0.13700000000000001</v>
      </c>
      <c r="F68" s="1167">
        <v>318</v>
      </c>
      <c r="G68" s="1168">
        <f t="shared" ref="G68:L68" si="12">+$E68*G$36</f>
        <v>317.84274000000005</v>
      </c>
      <c r="H68" s="1168">
        <f t="shared" si="12"/>
        <v>317.84274000000005</v>
      </c>
      <c r="I68" s="1168">
        <f t="shared" si="12"/>
        <v>317.84274000000005</v>
      </c>
      <c r="J68" s="1168">
        <f t="shared" si="12"/>
        <v>317.84274000000005</v>
      </c>
      <c r="K68" s="1168">
        <f t="shared" si="12"/>
        <v>317.84274000000005</v>
      </c>
      <c r="L68" s="1168">
        <f t="shared" si="12"/>
        <v>317.84274000000005</v>
      </c>
      <c r="N68" s="343"/>
    </row>
    <row r="69" spans="1:14" x14ac:dyDescent="0.25">
      <c r="A69" s="346">
        <f>ROW()</f>
        <v>69</v>
      </c>
      <c r="B69" s="70" t="s">
        <v>375</v>
      </c>
      <c r="C69" s="1697">
        <f>+D52</f>
        <v>9.8000000000000004E-2</v>
      </c>
      <c r="D69" s="1698">
        <v>0.8579</v>
      </c>
      <c r="E69" s="1698">
        <f>+C69*D69</f>
        <v>8.4074200000000002E-2</v>
      </c>
      <c r="F69" s="1179">
        <v>195</v>
      </c>
      <c r="G69" s="1180">
        <f>+$E69*G$36</f>
        <v>195.05382548400001</v>
      </c>
      <c r="H69" s="1180">
        <f t="shared" ref="H69:L70" si="13">+$E69*H$36</f>
        <v>195.05382548400001</v>
      </c>
      <c r="I69" s="1180">
        <f t="shared" si="13"/>
        <v>195.05382548400001</v>
      </c>
      <c r="J69" s="1180">
        <f t="shared" si="13"/>
        <v>195.05382548400001</v>
      </c>
      <c r="K69" s="1180">
        <f t="shared" si="13"/>
        <v>195.05382548400001</v>
      </c>
      <c r="L69" s="1180">
        <f t="shared" si="13"/>
        <v>195.05382548400001</v>
      </c>
      <c r="N69" s="343"/>
    </row>
    <row r="70" spans="1:14" x14ac:dyDescent="0.25">
      <c r="A70" s="346">
        <f>ROW()</f>
        <v>70</v>
      </c>
      <c r="B70" s="70" t="s">
        <v>362</v>
      </c>
      <c r="C70" s="1697">
        <f>+D53</f>
        <v>0</v>
      </c>
      <c r="D70" s="1698">
        <v>0.9556</v>
      </c>
      <c r="E70" s="1699">
        <f t="shared" ref="E70" si="14">+C70*D70</f>
        <v>0</v>
      </c>
      <c r="F70" s="1169"/>
      <c r="G70" s="1168">
        <f>+$E70*G$36</f>
        <v>0</v>
      </c>
      <c r="H70" s="1168">
        <f t="shared" si="13"/>
        <v>0</v>
      </c>
      <c r="I70" s="1168">
        <f t="shared" si="13"/>
        <v>0</v>
      </c>
      <c r="J70" s="1168">
        <f t="shared" si="13"/>
        <v>0</v>
      </c>
      <c r="K70" s="1168">
        <f t="shared" si="13"/>
        <v>0</v>
      </c>
      <c r="L70" s="1168">
        <f t="shared" si="13"/>
        <v>0</v>
      </c>
      <c r="N70" s="343"/>
    </row>
    <row r="71" spans="1:14" x14ac:dyDescent="0.25">
      <c r="A71" s="346">
        <f>ROW()</f>
        <v>71</v>
      </c>
      <c r="B71" s="70" t="s">
        <v>1462</v>
      </c>
      <c r="C71" s="1697">
        <f>+D54</f>
        <v>0</v>
      </c>
      <c r="D71" s="1698">
        <v>0.76949999999999996</v>
      </c>
      <c r="E71" s="1698">
        <f>MIN(C71*D71,1-SUM(E68:E70))</f>
        <v>0</v>
      </c>
      <c r="F71" s="1169"/>
      <c r="G71" s="1180"/>
      <c r="H71" s="1180"/>
      <c r="I71" s="1180"/>
      <c r="J71" s="1180"/>
      <c r="K71" s="1180"/>
      <c r="L71" s="1180"/>
      <c r="N71" s="343"/>
    </row>
    <row r="72" spans="1:14" x14ac:dyDescent="0.25">
      <c r="A72" s="346">
        <f>ROW()</f>
        <v>72</v>
      </c>
      <c r="B72" s="655" t="s">
        <v>376</v>
      </c>
      <c r="C72" s="1700">
        <v>0</v>
      </c>
      <c r="D72" s="1701">
        <v>0</v>
      </c>
      <c r="E72" s="1702">
        <v>0</v>
      </c>
      <c r="F72" s="1176"/>
      <c r="G72" s="1170">
        <f>G$36-SUM(G68:G71)</f>
        <v>1807.1234345159999</v>
      </c>
      <c r="H72" s="1170">
        <f t="shared" ref="H72" si="15">H$36-SUM(H68:H71)</f>
        <v>1807.1234345159999</v>
      </c>
      <c r="I72" s="1170">
        <f t="shared" ref="I72" si="16">I$36-SUM(I68:I71)</f>
        <v>1807.1234345159999</v>
      </c>
      <c r="J72" s="1170">
        <f t="shared" ref="J72" si="17">J$36-SUM(J68:J71)</f>
        <v>1807.1234345159999</v>
      </c>
      <c r="K72" s="1170">
        <f t="shared" ref="K72" si="18">K$36-SUM(K68:K71)</f>
        <v>1807.1234345159999</v>
      </c>
      <c r="L72" s="1170">
        <f t="shared" ref="L72" si="19">L$36-SUM(L68:L71)</f>
        <v>1807.1234345159999</v>
      </c>
      <c r="N72" s="343"/>
    </row>
    <row r="73" spans="1:14" x14ac:dyDescent="0.25">
      <c r="A73" s="346">
        <f>ROW()</f>
        <v>73</v>
      </c>
      <c r="B73" s="33" t="s">
        <v>377</v>
      </c>
      <c r="C73" s="1703">
        <f>SUM(C68:C72)</f>
        <v>0.23500000000000001</v>
      </c>
      <c r="D73" s="1704"/>
      <c r="E73" s="1704">
        <f>SUM(E68:E72)</f>
        <v>0.2210742</v>
      </c>
      <c r="F73" s="1707"/>
      <c r="G73" s="1708">
        <f>SUM(G68:G72)</f>
        <v>2320.02</v>
      </c>
      <c r="H73" s="1708">
        <f t="shared" ref="H73:L73" si="20">SUM(H68:H72)</f>
        <v>2320.02</v>
      </c>
      <c r="I73" s="1708">
        <f t="shared" si="20"/>
        <v>2320.02</v>
      </c>
      <c r="J73" s="1708">
        <f t="shared" si="20"/>
        <v>2320.02</v>
      </c>
      <c r="K73" s="1708">
        <f t="shared" si="20"/>
        <v>2320.02</v>
      </c>
      <c r="L73" s="1708">
        <f t="shared" si="20"/>
        <v>2320.02</v>
      </c>
      <c r="N73" s="343"/>
    </row>
    <row r="74" spans="1:14" x14ac:dyDescent="0.25">
      <c r="A74" s="346">
        <f>ROW()</f>
        <v>74</v>
      </c>
      <c r="B74" s="33" t="s">
        <v>378</v>
      </c>
      <c r="C74" s="1705">
        <f>IF(C73&gt;1,"Be sure next data tabe set =100%",0)</f>
        <v>0</v>
      </c>
      <c r="D74" s="1705"/>
      <c r="E74" s="1706"/>
      <c r="F74" s="1692"/>
      <c r="G74" s="1709">
        <f>SUM(G68:G71)</f>
        <v>512.89656548400012</v>
      </c>
      <c r="H74" s="1709">
        <f t="shared" ref="H74:L74" si="21">SUM(H68:H71)</f>
        <v>512.89656548400012</v>
      </c>
      <c r="I74" s="1709">
        <f t="shared" si="21"/>
        <v>512.89656548400012</v>
      </c>
      <c r="J74" s="1709">
        <f t="shared" si="21"/>
        <v>512.89656548400012</v>
      </c>
      <c r="K74" s="1709">
        <f t="shared" si="21"/>
        <v>512.89656548400012</v>
      </c>
      <c r="L74" s="1709">
        <f t="shared" si="21"/>
        <v>512.89656548400012</v>
      </c>
      <c r="N74" s="343"/>
    </row>
    <row r="75" spans="1:14" x14ac:dyDescent="0.25">
      <c r="A75" s="346">
        <f>ROW()</f>
        <v>75</v>
      </c>
      <c r="B75" s="33" t="s">
        <v>379</v>
      </c>
      <c r="D75" s="1705"/>
      <c r="E75" s="1706"/>
      <c r="F75" s="1692"/>
      <c r="G75" s="1710">
        <f>+G74/G73</f>
        <v>0.22107420000000005</v>
      </c>
      <c r="H75" s="1710">
        <f t="shared" ref="H75:L75" si="22">+H74/H73</f>
        <v>0.22107420000000005</v>
      </c>
      <c r="I75" s="1710">
        <f t="shared" si="22"/>
        <v>0.22107420000000005</v>
      </c>
      <c r="J75" s="1710">
        <f t="shared" si="22"/>
        <v>0.22107420000000005</v>
      </c>
      <c r="K75" s="1710">
        <f t="shared" si="22"/>
        <v>0.22107420000000005</v>
      </c>
      <c r="L75" s="1710">
        <f t="shared" si="22"/>
        <v>0.22107420000000005</v>
      </c>
      <c r="N75" s="343"/>
    </row>
    <row r="76" spans="1:14" x14ac:dyDescent="0.25">
      <c r="A76" s="346">
        <f>ROW()</f>
        <v>76</v>
      </c>
      <c r="B76" s="33" t="s">
        <v>380</v>
      </c>
      <c r="F76" s="1692"/>
      <c r="G76" s="1693" t="str">
        <f t="shared" ref="G76:L76" si="23">IF(G72&lt;0,"ERROR", "-")</f>
        <v>-</v>
      </c>
      <c r="H76" s="1693" t="str">
        <f t="shared" si="23"/>
        <v>-</v>
      </c>
      <c r="I76" s="1693" t="str">
        <f t="shared" si="23"/>
        <v>-</v>
      </c>
      <c r="J76" s="1693" t="str">
        <f t="shared" si="23"/>
        <v>-</v>
      </c>
      <c r="K76" s="1693" t="str">
        <f t="shared" si="23"/>
        <v>-</v>
      </c>
      <c r="L76" s="1693" t="str">
        <f t="shared" si="23"/>
        <v>-</v>
      </c>
      <c r="N76" s="343"/>
    </row>
    <row r="77" spans="1:14" ht="15.75" thickBot="1" x14ac:dyDescent="0.3">
      <c r="A77" s="346">
        <f>ROW()</f>
        <v>77</v>
      </c>
      <c r="F77" s="1692"/>
      <c r="G77" s="1711"/>
      <c r="H77" s="1711"/>
      <c r="I77" s="1711"/>
      <c r="J77" s="1711"/>
      <c r="K77" s="1711"/>
      <c r="L77" s="1711"/>
      <c r="N77" s="343"/>
    </row>
    <row r="78" spans="1:14" ht="15.75" thickBot="1" x14ac:dyDescent="0.3">
      <c r="A78" s="346">
        <f>ROW()</f>
        <v>78</v>
      </c>
      <c r="B78" s="33" t="s">
        <v>381</v>
      </c>
      <c r="C78" s="1661" t="s">
        <v>1146</v>
      </c>
      <c r="D78" s="33" t="s">
        <v>383</v>
      </c>
      <c r="N78" s="343"/>
    </row>
    <row r="79" spans="1:14" x14ac:dyDescent="0.25">
      <c r="A79" s="346">
        <f>ROW()</f>
        <v>79</v>
      </c>
      <c r="D79" s="1716" t="s">
        <v>384</v>
      </c>
      <c r="F79" s="1712"/>
      <c r="G79" s="1713"/>
      <c r="H79" s="1713"/>
      <c r="I79" s="1713"/>
      <c r="J79" s="1713"/>
      <c r="K79" s="1713"/>
      <c r="L79" s="1713"/>
      <c r="N79" s="343"/>
    </row>
    <row r="80" spans="1:14" x14ac:dyDescent="0.25">
      <c r="A80" s="346">
        <f>ROW()</f>
        <v>80</v>
      </c>
      <c r="F80" s="1712"/>
      <c r="G80" s="1713"/>
      <c r="H80" s="1713"/>
      <c r="I80" s="1713"/>
      <c r="J80" s="1713"/>
      <c r="K80" s="1713"/>
      <c r="L80" s="1713"/>
      <c r="N80" s="343"/>
    </row>
    <row r="81" spans="1:14" x14ac:dyDescent="0.25">
      <c r="A81" s="346">
        <f>ROW()</f>
        <v>81</v>
      </c>
      <c r="B81" s="434" t="s">
        <v>385</v>
      </c>
      <c r="C81" s="1280" t="s">
        <v>386</v>
      </c>
      <c r="D81" s="62"/>
      <c r="E81" s="62"/>
      <c r="F81" s="1714"/>
      <c r="G81" s="1715"/>
      <c r="H81" s="1715"/>
      <c r="I81" s="1715"/>
      <c r="J81" s="1715"/>
      <c r="K81" s="1715"/>
      <c r="L81" s="1715"/>
      <c r="N81" s="343"/>
    </row>
    <row r="82" spans="1:14" x14ac:dyDescent="0.25">
      <c r="A82" s="346">
        <f>ROW()</f>
        <v>82</v>
      </c>
      <c r="B82" s="33" t="s">
        <v>387</v>
      </c>
      <c r="F82" s="1712"/>
      <c r="G82" s="1712"/>
      <c r="H82" s="1712"/>
      <c r="I82" s="1712"/>
      <c r="J82" s="1712"/>
      <c r="K82" s="1712"/>
      <c r="L82" s="1712"/>
      <c r="N82" s="343"/>
    </row>
    <row r="83" spans="1:14" x14ac:dyDescent="0.25">
      <c r="A83" s="346">
        <f>ROW()</f>
        <v>83</v>
      </c>
      <c r="C83" s="42" t="s">
        <v>388</v>
      </c>
      <c r="D83" s="42" t="s">
        <v>389</v>
      </c>
      <c r="F83" s="1712"/>
      <c r="G83" s="1712"/>
      <c r="H83" s="1712"/>
      <c r="I83" s="1712"/>
      <c r="J83" s="1712"/>
      <c r="K83" s="1712"/>
      <c r="L83" s="1712"/>
      <c r="N83" s="343"/>
    </row>
    <row r="84" spans="1:14" x14ac:dyDescent="0.25">
      <c r="A84" s="346">
        <f>ROW()</f>
        <v>84</v>
      </c>
      <c r="B84" s="33" t="str">
        <f>+B51</f>
        <v>State Special Education (SPED)</v>
      </c>
      <c r="C84" s="1723">
        <f>+D84/C89</f>
        <v>0.40843424686636925</v>
      </c>
      <c r="D84" s="55">
        <f>+'PCFP Rates'!E26</f>
        <v>3845</v>
      </c>
      <c r="F84" s="1717"/>
      <c r="G84" s="1718">
        <f t="shared" ref="G84:L87" si="24">+F68*$D84</f>
        <v>1222710</v>
      </c>
      <c r="H84" s="1718">
        <f t="shared" si="24"/>
        <v>1222105.3353000002</v>
      </c>
      <c r="I84" s="1718">
        <f t="shared" si="24"/>
        <v>1222105.3353000002</v>
      </c>
      <c r="J84" s="1718">
        <f t="shared" si="24"/>
        <v>1222105.3353000002</v>
      </c>
      <c r="K84" s="1718">
        <f t="shared" si="24"/>
        <v>1222105.3353000002</v>
      </c>
      <c r="L84" s="1718">
        <f t="shared" si="24"/>
        <v>1222105.3353000002</v>
      </c>
      <c r="N84" s="343"/>
    </row>
    <row r="85" spans="1:14" x14ac:dyDescent="0.25">
      <c r="A85" s="346">
        <f>ROW()</f>
        <v>85</v>
      </c>
      <c r="B85" s="33" t="str">
        <f>+B52</f>
        <v>English Language Learners (EL)</v>
      </c>
      <c r="C85" s="1723">
        <v>0.23</v>
      </c>
      <c r="D85" s="55">
        <f>+$C$89*C85</f>
        <v>2165.2200000000003</v>
      </c>
      <c r="F85" s="1712"/>
      <c r="G85" s="1719">
        <f t="shared" si="24"/>
        <v>422217.9</v>
      </c>
      <c r="H85" s="1719">
        <f t="shared" si="24"/>
        <v>422334.44401446654</v>
      </c>
      <c r="I85" s="1719">
        <f t="shared" si="24"/>
        <v>422334.44401446654</v>
      </c>
      <c r="J85" s="1719">
        <f t="shared" si="24"/>
        <v>422334.44401446654</v>
      </c>
      <c r="K85" s="1719">
        <f t="shared" si="24"/>
        <v>422334.44401446654</v>
      </c>
      <c r="L85" s="1719">
        <f t="shared" si="24"/>
        <v>422334.44401446654</v>
      </c>
      <c r="N85" s="343"/>
    </row>
    <row r="86" spans="1:14" x14ac:dyDescent="0.25">
      <c r="A86" s="346">
        <f>ROW()</f>
        <v>86</v>
      </c>
      <c r="B86" s="33" t="str">
        <f>+B53</f>
        <v>Gifted &amp; Talented (GATE)</v>
      </c>
      <c r="C86" s="1723">
        <v>0.12</v>
      </c>
      <c r="D86" s="55">
        <f>+$C$89*C86</f>
        <v>1129.68</v>
      </c>
      <c r="F86" s="1712"/>
      <c r="G86" s="1719">
        <f t="shared" si="24"/>
        <v>0</v>
      </c>
      <c r="H86" s="1719">
        <f t="shared" si="24"/>
        <v>0</v>
      </c>
      <c r="I86" s="1719">
        <f t="shared" si="24"/>
        <v>0</v>
      </c>
      <c r="J86" s="1719">
        <f t="shared" si="24"/>
        <v>0</v>
      </c>
      <c r="K86" s="1719">
        <f t="shared" si="24"/>
        <v>0</v>
      </c>
      <c r="L86" s="1719">
        <f t="shared" si="24"/>
        <v>0</v>
      </c>
      <c r="N86" s="343"/>
    </row>
    <row r="87" spans="1:14" x14ac:dyDescent="0.25">
      <c r="A87" s="346">
        <f>ROW()</f>
        <v>87</v>
      </c>
      <c r="B87" s="33" t="s">
        <v>1470</v>
      </c>
      <c r="C87" s="1723"/>
      <c r="D87" s="1724"/>
      <c r="E87" s="72"/>
      <c r="F87" s="1720"/>
      <c r="G87" s="1721">
        <f t="shared" si="24"/>
        <v>0</v>
      </c>
      <c r="H87" s="1721">
        <f t="shared" si="24"/>
        <v>0</v>
      </c>
      <c r="I87" s="1721">
        <f t="shared" si="24"/>
        <v>0</v>
      </c>
      <c r="J87" s="1721">
        <f t="shared" si="24"/>
        <v>0</v>
      </c>
      <c r="K87" s="1721">
        <f t="shared" si="24"/>
        <v>0</v>
      </c>
      <c r="L87" s="1721">
        <f t="shared" si="24"/>
        <v>0</v>
      </c>
      <c r="N87" s="343"/>
    </row>
    <row r="88" spans="1:14" x14ac:dyDescent="0.25">
      <c r="A88" s="346">
        <f>ROW()</f>
        <v>88</v>
      </c>
      <c r="B88" s="33" t="s">
        <v>390</v>
      </c>
      <c r="C88" s="606">
        <f>_xlfn.XLOOKUP(C78,'PCFP Rates'!B12:B20,'PCFP Rates'!E12:E20)</f>
        <v>9414</v>
      </c>
      <c r="D88" s="1724">
        <f>+C88</f>
        <v>9414</v>
      </c>
      <c r="E88" s="72"/>
      <c r="F88" s="72"/>
      <c r="G88" s="1722">
        <f t="shared" ref="G88:L88" si="25">+G36*$D88</f>
        <v>21840668.280000001</v>
      </c>
      <c r="H88" s="1722">
        <f t="shared" si="25"/>
        <v>21840668.280000001</v>
      </c>
      <c r="I88" s="1722">
        <f t="shared" si="25"/>
        <v>21840668.280000001</v>
      </c>
      <c r="J88" s="1722">
        <f t="shared" si="25"/>
        <v>21840668.280000001</v>
      </c>
      <c r="K88" s="1722">
        <f t="shared" si="25"/>
        <v>21840668.280000001</v>
      </c>
      <c r="L88" s="1722">
        <f t="shared" si="25"/>
        <v>21840668.280000001</v>
      </c>
      <c r="N88" s="343"/>
    </row>
    <row r="89" spans="1:14" x14ac:dyDescent="0.25">
      <c r="A89" s="346">
        <f>ROW()</f>
        <v>89</v>
      </c>
      <c r="B89" s="33" t="s">
        <v>391</v>
      </c>
      <c r="C89" s="55">
        <f>+'PCFP Rates'!E20</f>
        <v>9414</v>
      </c>
      <c r="D89" s="221"/>
      <c r="E89" s="221"/>
      <c r="G89" s="221"/>
      <c r="H89" s="1185"/>
      <c r="I89" s="1185"/>
      <c r="J89" s="1185"/>
      <c r="K89" s="1185"/>
      <c r="L89" s="1185"/>
      <c r="N89" s="343"/>
    </row>
    <row r="90" spans="1:14" x14ac:dyDescent="0.25">
      <c r="A90" s="346">
        <f>ROW()</f>
        <v>90</v>
      </c>
      <c r="C90" s="221"/>
      <c r="D90" s="221"/>
      <c r="E90" s="221"/>
      <c r="F90" s="816"/>
      <c r="G90" s="73"/>
      <c r="H90" s="73"/>
      <c r="I90" s="73"/>
      <c r="J90" s="73"/>
      <c r="K90" s="73"/>
      <c r="L90" s="73"/>
      <c r="N90" s="343"/>
    </row>
    <row r="91" spans="1:14" x14ac:dyDescent="0.25">
      <c r="A91" s="346">
        <f>ROW()</f>
        <v>91</v>
      </c>
      <c r="B91" s="434" t="s">
        <v>392</v>
      </c>
      <c r="C91" s="1279"/>
      <c r="D91" s="1279"/>
      <c r="E91" s="1279"/>
      <c r="F91" s="1280"/>
      <c r="G91" s="1281"/>
      <c r="H91" s="1281"/>
      <c r="I91" s="1281"/>
      <c r="J91" s="1281"/>
      <c r="K91" s="1281"/>
      <c r="L91" s="1281"/>
      <c r="N91" s="343"/>
    </row>
    <row r="92" spans="1:14" x14ac:dyDescent="0.25">
      <c r="A92" s="346">
        <f>ROW()</f>
        <v>92</v>
      </c>
      <c r="B92" s="401" t="s">
        <v>393</v>
      </c>
      <c r="C92" s="401"/>
      <c r="D92" s="401"/>
      <c r="E92" s="401"/>
      <c r="F92" s="1728"/>
      <c r="G92" s="1725">
        <f>+D54</f>
        <v>0</v>
      </c>
      <c r="H92" s="1725">
        <f>+G92</f>
        <v>0</v>
      </c>
      <c r="I92" s="1725">
        <f t="shared" ref="I92:L92" si="26">+H92</f>
        <v>0</v>
      </c>
      <c r="J92" s="1725">
        <f t="shared" si="26"/>
        <v>0</v>
      </c>
      <c r="K92" s="1725">
        <f t="shared" si="26"/>
        <v>0</v>
      </c>
      <c r="L92" s="1725">
        <f t="shared" si="26"/>
        <v>0</v>
      </c>
      <c r="N92" s="343"/>
    </row>
    <row r="93" spans="1:14" x14ac:dyDescent="0.25">
      <c r="A93" s="346">
        <f>ROW()</f>
        <v>93</v>
      </c>
      <c r="B93" s="70" t="s">
        <v>394</v>
      </c>
      <c r="C93" s="72"/>
      <c r="D93" s="72"/>
      <c r="E93" s="72"/>
      <c r="F93" s="1729"/>
      <c r="G93" s="1726">
        <f>+D52</f>
        <v>9.8000000000000004E-2</v>
      </c>
      <c r="H93" s="1726">
        <f t="shared" ref="H93:L93" si="27">+G93</f>
        <v>9.8000000000000004E-2</v>
      </c>
      <c r="I93" s="1726">
        <f t="shared" si="27"/>
        <v>9.8000000000000004E-2</v>
      </c>
      <c r="J93" s="1726">
        <f t="shared" si="27"/>
        <v>9.8000000000000004E-2</v>
      </c>
      <c r="K93" s="1726">
        <f t="shared" si="27"/>
        <v>9.8000000000000004E-2</v>
      </c>
      <c r="L93" s="1726">
        <f t="shared" si="27"/>
        <v>9.8000000000000004E-2</v>
      </c>
      <c r="N93" s="343"/>
    </row>
    <row r="94" spans="1:14" x14ac:dyDescent="0.25">
      <c r="A94" s="346">
        <f>ROW()</f>
        <v>94</v>
      </c>
      <c r="B94" s="1275" t="s">
        <v>395</v>
      </c>
      <c r="C94" s="519"/>
      <c r="D94" s="519"/>
      <c r="E94" s="519"/>
      <c r="F94" s="1730"/>
      <c r="G94" s="1727">
        <f>+D51</f>
        <v>0.13700000000000001</v>
      </c>
      <c r="H94" s="1727">
        <f t="shared" ref="H94:L94" si="28">+G94</f>
        <v>0.13700000000000001</v>
      </c>
      <c r="I94" s="1727">
        <f t="shared" si="28"/>
        <v>0.13700000000000001</v>
      </c>
      <c r="J94" s="1727">
        <f t="shared" si="28"/>
        <v>0.13700000000000001</v>
      </c>
      <c r="K94" s="1727">
        <f t="shared" si="28"/>
        <v>0.13700000000000001</v>
      </c>
      <c r="L94" s="1727">
        <f t="shared" si="28"/>
        <v>0.13700000000000001</v>
      </c>
      <c r="N94" s="343"/>
    </row>
    <row r="95" spans="1:14" x14ac:dyDescent="0.25">
      <c r="A95" s="346">
        <f>ROW()</f>
        <v>95</v>
      </c>
      <c r="B95" s="656" t="s">
        <v>396</v>
      </c>
      <c r="C95" s="524"/>
      <c r="D95" s="524"/>
      <c r="E95" s="524"/>
      <c r="F95" s="1276"/>
      <c r="G95" s="1277">
        <f t="shared" ref="G95:L95" si="29">+G$36*G94</f>
        <v>317.84274000000005</v>
      </c>
      <c r="H95" s="1277">
        <f t="shared" si="29"/>
        <v>317.84274000000005</v>
      </c>
      <c r="I95" s="1277">
        <f t="shared" si="29"/>
        <v>317.84274000000005</v>
      </c>
      <c r="J95" s="1277">
        <f t="shared" si="29"/>
        <v>317.84274000000005</v>
      </c>
      <c r="K95" s="1277">
        <f t="shared" si="29"/>
        <v>317.84274000000005</v>
      </c>
      <c r="L95" s="1277">
        <f t="shared" si="29"/>
        <v>317.84274000000005</v>
      </c>
      <c r="N95" s="343"/>
    </row>
    <row r="96" spans="1:14" x14ac:dyDescent="0.25">
      <c r="A96" s="346">
        <f>ROW()</f>
        <v>96</v>
      </c>
      <c r="B96" s="999"/>
      <c r="C96" s="1000"/>
      <c r="D96" s="1000"/>
      <c r="E96" s="1000"/>
      <c r="F96" s="63"/>
      <c r="G96" s="63"/>
      <c r="H96" s="63"/>
      <c r="I96" s="63"/>
      <c r="J96" s="1001"/>
      <c r="K96" s="1001"/>
      <c r="L96" s="1001"/>
      <c r="M96" s="96"/>
      <c r="N96" s="343"/>
    </row>
    <row r="97" spans="1:14" x14ac:dyDescent="0.25">
      <c r="A97" s="346">
        <f>ROW()</f>
        <v>97</v>
      </c>
      <c r="B97" s="41" t="s">
        <v>397</v>
      </c>
      <c r="C97" s="998">
        <v>0</v>
      </c>
      <c r="D97" s="41" t="s">
        <v>398</v>
      </c>
      <c r="E97" s="41"/>
      <c r="J97" s="41"/>
      <c r="K97" s="41"/>
      <c r="L97" s="41"/>
      <c r="M97" s="41"/>
      <c r="N97" s="343"/>
    </row>
    <row r="98" spans="1:14" x14ac:dyDescent="0.25">
      <c r="A98" s="346">
        <f>ROW()</f>
        <v>98</v>
      </c>
      <c r="B98" s="41" t="s">
        <v>399</v>
      </c>
      <c r="C98" s="787">
        <v>1.15E-2</v>
      </c>
      <c r="D98" s="98" t="s">
        <v>400</v>
      </c>
      <c r="E98" s="74"/>
      <c r="H98" s="32"/>
      <c r="I98" s="32"/>
      <c r="J98" s="98"/>
      <c r="K98" s="98"/>
      <c r="L98" s="98"/>
      <c r="M98" s="98"/>
      <c r="N98" s="343"/>
    </row>
    <row r="99" spans="1:14" x14ac:dyDescent="0.25">
      <c r="A99" s="346">
        <f>ROW()</f>
        <v>99</v>
      </c>
      <c r="B99" s="41" t="s">
        <v>401</v>
      </c>
      <c r="C99" s="997">
        <v>0</v>
      </c>
      <c r="D99" s="286" t="s">
        <v>402</v>
      </c>
      <c r="E99" s="286"/>
      <c r="H99" s="97"/>
      <c r="I99" s="97"/>
      <c r="J99" s="76"/>
      <c r="K99" s="76"/>
      <c r="L99" s="76"/>
      <c r="M99" s="76"/>
      <c r="N99" s="343"/>
    </row>
    <row r="100" spans="1:14" x14ac:dyDescent="0.25">
      <c r="A100" s="346">
        <f>ROW()</f>
        <v>100</v>
      </c>
      <c r="B100" s="41" t="s">
        <v>403</v>
      </c>
      <c r="C100" s="997">
        <v>0</v>
      </c>
      <c r="D100" s="286" t="s">
        <v>402</v>
      </c>
      <c r="E100" s="286"/>
      <c r="H100" s="97"/>
      <c r="I100" s="97"/>
      <c r="J100" s="76"/>
      <c r="K100" s="76"/>
      <c r="L100" s="76"/>
      <c r="M100" s="76"/>
      <c r="N100" s="343"/>
    </row>
    <row r="101" spans="1:14" x14ac:dyDescent="0.25">
      <c r="A101" s="346">
        <f>ROW()</f>
        <v>101</v>
      </c>
      <c r="B101" s="33" t="s">
        <v>404</v>
      </c>
      <c r="C101" s="1310">
        <v>0</v>
      </c>
      <c r="D101" s="286" t="s">
        <v>402</v>
      </c>
      <c r="E101" s="286"/>
      <c r="H101" s="97"/>
      <c r="I101" s="97"/>
      <c r="J101" s="76"/>
      <c r="K101" s="76"/>
      <c r="L101" s="76"/>
      <c r="M101" s="76"/>
      <c r="N101" s="343"/>
    </row>
    <row r="102" spans="1:14" x14ac:dyDescent="0.25">
      <c r="A102" s="346">
        <f>ROW()</f>
        <v>102</v>
      </c>
      <c r="B102" s="41" t="s">
        <v>405</v>
      </c>
      <c r="C102" s="997">
        <v>0</v>
      </c>
      <c r="D102" s="286" t="s">
        <v>406</v>
      </c>
      <c r="E102" s="286"/>
      <c r="H102" s="97"/>
      <c r="I102" s="97"/>
      <c r="J102" s="76"/>
      <c r="K102" s="76"/>
      <c r="L102" s="76"/>
      <c r="M102" s="76"/>
      <c r="N102" s="343"/>
    </row>
    <row r="103" spans="1:14" x14ac:dyDescent="0.25">
      <c r="A103" s="346">
        <f>ROW()</f>
        <v>103</v>
      </c>
      <c r="B103" s="33" t="s">
        <v>407</v>
      </c>
      <c r="C103" s="1666" t="s">
        <v>408</v>
      </c>
      <c r="D103" s="286"/>
      <c r="E103" s="286"/>
      <c r="H103" s="97"/>
      <c r="I103" s="97"/>
      <c r="J103" s="76"/>
      <c r="K103" s="76"/>
      <c r="L103" s="76"/>
      <c r="M103" s="76"/>
      <c r="N103" s="343"/>
    </row>
    <row r="104" spans="1:14" x14ac:dyDescent="0.25">
      <c r="A104" s="346">
        <f>ROW()</f>
        <v>104</v>
      </c>
      <c r="B104" s="41" t="s">
        <v>409</v>
      </c>
      <c r="C104" s="997">
        <v>1257</v>
      </c>
      <c r="D104" s="41" t="s">
        <v>410</v>
      </c>
      <c r="E104" s="41"/>
      <c r="J104" s="41"/>
      <c r="K104" s="41"/>
      <c r="L104" s="41"/>
      <c r="M104" s="41"/>
      <c r="N104" s="343" t="s">
        <v>1541</v>
      </c>
    </row>
    <row r="105" spans="1:14" x14ac:dyDescent="0.25">
      <c r="A105" s="346">
        <f>ROW()</f>
        <v>105</v>
      </c>
      <c r="B105" s="41" t="s">
        <v>411</v>
      </c>
      <c r="C105" s="788" t="s">
        <v>888</v>
      </c>
      <c r="D105" s="41" t="s">
        <v>412</v>
      </c>
      <c r="E105" s="41"/>
      <c r="G105" s="55"/>
      <c r="J105" s="41"/>
      <c r="K105" s="41"/>
      <c r="L105" s="41"/>
      <c r="M105" s="41"/>
      <c r="N105" s="343"/>
    </row>
    <row r="106" spans="1:14" x14ac:dyDescent="0.25">
      <c r="A106" s="346">
        <f>ROW()</f>
        <v>106</v>
      </c>
      <c r="B106" s="41" t="s">
        <v>413</v>
      </c>
      <c r="C106" s="788">
        <v>0</v>
      </c>
      <c r="D106" s="41" t="s">
        <v>414</v>
      </c>
      <c r="E106" s="41"/>
      <c r="G106" s="55"/>
      <c r="J106" s="41"/>
      <c r="K106" s="41"/>
      <c r="L106" s="41"/>
      <c r="M106" s="41"/>
      <c r="N106" s="343"/>
    </row>
    <row r="107" spans="1:14" x14ac:dyDescent="0.25">
      <c r="A107" s="346">
        <f>ROW()</f>
        <v>107</v>
      </c>
      <c r="B107" s="41" t="s">
        <v>415</v>
      </c>
      <c r="C107" s="788">
        <v>0</v>
      </c>
      <c r="D107" s="41" t="s">
        <v>414</v>
      </c>
      <c r="E107" s="41"/>
      <c r="H107" s="90"/>
      <c r="J107" s="41"/>
      <c r="K107" s="41"/>
      <c r="L107" s="41"/>
      <c r="M107" s="41"/>
      <c r="N107" s="343"/>
    </row>
    <row r="108" spans="1:14" x14ac:dyDescent="0.25">
      <c r="A108" s="346">
        <f>ROW()</f>
        <v>108</v>
      </c>
      <c r="B108" s="41" t="s">
        <v>176</v>
      </c>
      <c r="C108" s="788">
        <v>0</v>
      </c>
      <c r="D108" s="41" t="s">
        <v>416</v>
      </c>
      <c r="E108" s="41"/>
      <c r="G108" s="50"/>
      <c r="H108" s="55"/>
      <c r="J108" s="41"/>
      <c r="K108" s="41"/>
      <c r="L108" s="41"/>
      <c r="M108" s="41"/>
      <c r="N108" s="343"/>
    </row>
    <row r="109" spans="1:14" x14ac:dyDescent="0.25">
      <c r="A109" s="346">
        <f>ROW()</f>
        <v>109</v>
      </c>
      <c r="B109" s="46" t="s">
        <v>417</v>
      </c>
      <c r="C109" s="1733" t="str">
        <f>+C78</f>
        <v>Clark</v>
      </c>
      <c r="D109" s="171"/>
      <c r="E109" s="171"/>
      <c r="F109" s="41"/>
      <c r="G109" s="144"/>
      <c r="H109" s="352"/>
      <c r="J109" s="41"/>
      <c r="K109" s="41"/>
      <c r="L109" s="41"/>
      <c r="M109" s="41"/>
      <c r="N109" s="343"/>
    </row>
    <row r="110" spans="1:14" x14ac:dyDescent="0.25">
      <c r="A110" s="346">
        <f>ROW()</f>
        <v>110</v>
      </c>
      <c r="B110" s="127"/>
      <c r="C110" s="127"/>
      <c r="D110" s="127"/>
      <c r="E110" s="127"/>
      <c r="F110" s="125"/>
      <c r="G110" s="359"/>
      <c r="H110" s="359"/>
      <c r="I110" s="359"/>
      <c r="J110" s="359"/>
      <c r="K110" s="359"/>
      <c r="L110" s="359"/>
      <c r="M110" s="99"/>
      <c r="N110" s="343"/>
    </row>
    <row r="111" spans="1:14" x14ac:dyDescent="0.25">
      <c r="A111" s="346">
        <f>ROW()</f>
        <v>111</v>
      </c>
      <c r="B111" s="31" t="s">
        <v>418</v>
      </c>
      <c r="C111" s="31"/>
      <c r="D111" s="31"/>
      <c r="E111" s="31"/>
      <c r="F111" s="1712"/>
      <c r="G111" s="50">
        <f t="shared" ref="G111:L111" si="30">+G36</f>
        <v>2320.02</v>
      </c>
      <c r="H111" s="50">
        <f t="shared" si="30"/>
        <v>2320.02</v>
      </c>
      <c r="I111" s="50">
        <f t="shared" si="30"/>
        <v>2320.02</v>
      </c>
      <c r="J111" s="50">
        <f t="shared" si="30"/>
        <v>2320.02</v>
      </c>
      <c r="K111" s="50">
        <f t="shared" si="30"/>
        <v>2320.02</v>
      </c>
      <c r="L111" s="50">
        <f t="shared" si="30"/>
        <v>2320.02</v>
      </c>
      <c r="M111" s="99"/>
      <c r="N111" s="343"/>
    </row>
    <row r="112" spans="1:14" x14ac:dyDescent="0.25">
      <c r="A112" s="346">
        <f>ROW()</f>
        <v>112</v>
      </c>
      <c r="B112" s="31"/>
      <c r="C112" s="31"/>
      <c r="D112" s="31"/>
      <c r="E112" s="31"/>
      <c r="F112" s="1712"/>
      <c r="G112" s="50"/>
      <c r="H112" s="50"/>
      <c r="I112" s="50"/>
      <c r="J112" s="50"/>
      <c r="K112" s="50"/>
      <c r="L112" s="50"/>
      <c r="M112" s="99"/>
      <c r="N112" s="343"/>
    </row>
    <row r="113" spans="1:14" x14ac:dyDescent="0.25">
      <c r="A113" s="346">
        <f>ROW()</f>
        <v>113</v>
      </c>
      <c r="B113" s="715" t="s">
        <v>419</v>
      </c>
      <c r="C113" s="715"/>
      <c r="D113" s="715"/>
      <c r="E113" s="715"/>
      <c r="F113" s="1732"/>
      <c r="G113" s="1282"/>
      <c r="H113" s="1282"/>
      <c r="I113" s="1282"/>
      <c r="J113" s="1282"/>
      <c r="K113" s="1282"/>
      <c r="L113" s="1282"/>
      <c r="M113" s="99"/>
      <c r="N113" s="343"/>
    </row>
    <row r="114" spans="1:14" x14ac:dyDescent="0.25">
      <c r="A114" s="346">
        <f>ROW()</f>
        <v>114</v>
      </c>
      <c r="B114" s="125" t="s">
        <v>420</v>
      </c>
      <c r="C114" s="125"/>
      <c r="D114" s="125"/>
      <c r="E114" s="125"/>
      <c r="F114" s="1183"/>
      <c r="G114" s="1731">
        <f t="shared" ref="G114:L114" si="31">+G88</f>
        <v>21840668.280000001</v>
      </c>
      <c r="H114" s="1731">
        <f t="shared" si="31"/>
        <v>21840668.280000001</v>
      </c>
      <c r="I114" s="1731">
        <f t="shared" si="31"/>
        <v>21840668.280000001</v>
      </c>
      <c r="J114" s="1731">
        <f t="shared" si="31"/>
        <v>21840668.280000001</v>
      </c>
      <c r="K114" s="1731">
        <f t="shared" si="31"/>
        <v>21840668.280000001</v>
      </c>
      <c r="L114" s="1731">
        <f t="shared" si="31"/>
        <v>21840668.280000001</v>
      </c>
      <c r="M114" s="99"/>
      <c r="N114" s="343"/>
    </row>
    <row r="115" spans="1:14" x14ac:dyDescent="0.25">
      <c r="A115" s="346">
        <f>ROW()</f>
        <v>115</v>
      </c>
      <c r="B115" s="33" t="s">
        <v>1472</v>
      </c>
      <c r="F115" s="1177"/>
      <c r="G115" s="1718">
        <f t="shared" ref="G115:L115" si="32">SUM(G85:G87)</f>
        <v>422217.9</v>
      </c>
      <c r="H115" s="1718">
        <f t="shared" si="32"/>
        <v>422334.44401446654</v>
      </c>
      <c r="I115" s="1718">
        <f t="shared" si="32"/>
        <v>422334.44401446654</v>
      </c>
      <c r="J115" s="1718">
        <f t="shared" si="32"/>
        <v>422334.44401446654</v>
      </c>
      <c r="K115" s="1718">
        <f t="shared" si="32"/>
        <v>422334.44401446654</v>
      </c>
      <c r="L115" s="1718">
        <f t="shared" si="32"/>
        <v>422334.44401446654</v>
      </c>
      <c r="M115" s="99"/>
      <c r="N115" s="343"/>
    </row>
    <row r="116" spans="1:14" x14ac:dyDescent="0.25">
      <c r="A116" s="346">
        <f>ROW()</f>
        <v>116</v>
      </c>
      <c r="B116" s="33" t="s">
        <v>421</v>
      </c>
      <c r="F116" s="1177"/>
      <c r="G116" s="1719">
        <f t="shared" ref="G116:L116" si="33">+G84</f>
        <v>1222710</v>
      </c>
      <c r="H116" s="1719">
        <f t="shared" si="33"/>
        <v>1222105.3353000002</v>
      </c>
      <c r="I116" s="1719">
        <f t="shared" si="33"/>
        <v>1222105.3353000002</v>
      </c>
      <c r="J116" s="1719">
        <f t="shared" si="33"/>
        <v>1222105.3353000002</v>
      </c>
      <c r="K116" s="1719">
        <f t="shared" si="33"/>
        <v>1222105.3353000002</v>
      </c>
      <c r="L116" s="1719">
        <f t="shared" si="33"/>
        <v>1222105.3353000002</v>
      </c>
      <c r="M116" s="99"/>
      <c r="N116" s="913" t="s">
        <v>422</v>
      </c>
    </row>
    <row r="117" spans="1:14" x14ac:dyDescent="0.25">
      <c r="A117" s="346">
        <f>ROW()</f>
        <v>117</v>
      </c>
      <c r="B117" s="33" t="s">
        <v>423</v>
      </c>
      <c r="F117" s="1177"/>
      <c r="G117" s="1719">
        <f t="shared" ref="G117:L117" si="34">+G82</f>
        <v>0</v>
      </c>
      <c r="H117" s="1719">
        <f t="shared" si="34"/>
        <v>0</v>
      </c>
      <c r="I117" s="1719">
        <f t="shared" si="34"/>
        <v>0</v>
      </c>
      <c r="J117" s="1719">
        <f t="shared" si="34"/>
        <v>0</v>
      </c>
      <c r="K117" s="1719">
        <f t="shared" si="34"/>
        <v>0</v>
      </c>
      <c r="L117" s="1719">
        <f t="shared" si="34"/>
        <v>0</v>
      </c>
      <c r="M117" s="99"/>
      <c r="N117" s="343"/>
    </row>
    <row r="118" spans="1:14" x14ac:dyDescent="0.25">
      <c r="A118" s="346">
        <f>ROW()</f>
        <v>118</v>
      </c>
      <c r="B118" s="33" t="s">
        <v>1468</v>
      </c>
      <c r="C118" s="1182">
        <f>+C97</f>
        <v>0</v>
      </c>
      <c r="G118" s="1178"/>
      <c r="H118" s="1178">
        <f>+$C$97*H114</f>
        <v>0</v>
      </c>
      <c r="I118" s="1178">
        <f>+$C$97*I114</f>
        <v>0</v>
      </c>
      <c r="J118" s="1178">
        <f>+$C$97*J114</f>
        <v>0</v>
      </c>
      <c r="K118" s="1178">
        <f>+$C$97*K114</f>
        <v>0</v>
      </c>
      <c r="L118" s="1178">
        <f>+$C$97*L114</f>
        <v>0</v>
      </c>
      <c r="M118" s="99"/>
      <c r="N118" s="343"/>
    </row>
    <row r="119" spans="1:14" x14ac:dyDescent="0.25">
      <c r="A119" s="346">
        <f>ROW()</f>
        <v>119</v>
      </c>
      <c r="B119" s="125" t="s">
        <v>424</v>
      </c>
      <c r="C119" s="125"/>
      <c r="D119" s="125"/>
      <c r="E119" s="125"/>
      <c r="F119" s="1183"/>
      <c r="G119" s="1184">
        <f t="shared" ref="G119:L119" si="35">SUM(G114:G118)</f>
        <v>23485596.18</v>
      </c>
      <c r="H119" s="1184">
        <f t="shared" si="35"/>
        <v>23485108.059314467</v>
      </c>
      <c r="I119" s="1184">
        <f>SUM(I114:I118)</f>
        <v>23485108.059314467</v>
      </c>
      <c r="J119" s="1184">
        <f t="shared" si="35"/>
        <v>23485108.059314467</v>
      </c>
      <c r="K119" s="1184">
        <f t="shared" si="35"/>
        <v>23485108.059314467</v>
      </c>
      <c r="L119" s="1184">
        <f t="shared" si="35"/>
        <v>23485108.059314467</v>
      </c>
      <c r="M119" s="99"/>
      <c r="N119" s="343"/>
    </row>
    <row r="120" spans="1:14" x14ac:dyDescent="0.25">
      <c r="A120" s="346">
        <f>ROW()</f>
        <v>120</v>
      </c>
      <c r="B120" s="33" t="s">
        <v>425</v>
      </c>
      <c r="C120" s="31"/>
      <c r="F120" s="1177"/>
      <c r="G120" s="1178">
        <f t="shared" ref="G120:L120" si="36">-G114*$C$98</f>
        <v>-251167.68522000001</v>
      </c>
      <c r="H120" s="1178">
        <f t="shared" si="36"/>
        <v>-251167.68522000001</v>
      </c>
      <c r="I120" s="1178">
        <f t="shared" si="36"/>
        <v>-251167.68522000001</v>
      </c>
      <c r="J120" s="1178">
        <f t="shared" si="36"/>
        <v>-251167.68522000001</v>
      </c>
      <c r="K120" s="1178">
        <f t="shared" si="36"/>
        <v>-251167.68522000001</v>
      </c>
      <c r="L120" s="1178">
        <f t="shared" si="36"/>
        <v>-251167.68522000001</v>
      </c>
      <c r="M120" s="99"/>
      <c r="N120" s="343"/>
    </row>
    <row r="121" spans="1:14" x14ac:dyDescent="0.25">
      <c r="A121" s="346">
        <f>ROW()</f>
        <v>121</v>
      </c>
      <c r="B121" s="127" t="s">
        <v>426</v>
      </c>
      <c r="C121" s="127"/>
      <c r="D121" s="127"/>
      <c r="E121" s="127"/>
      <c r="F121" s="125"/>
      <c r="G121" s="1186">
        <f>SUM(G119:G120)</f>
        <v>23234428.49478</v>
      </c>
      <c r="H121" s="1186">
        <f t="shared" ref="H121:L121" si="37">SUM(H119:H120)</f>
        <v>23233940.374094468</v>
      </c>
      <c r="I121" s="1186">
        <f t="shared" si="37"/>
        <v>23233940.374094468</v>
      </c>
      <c r="J121" s="1186">
        <f t="shared" si="37"/>
        <v>23233940.374094468</v>
      </c>
      <c r="K121" s="1186">
        <f t="shared" si="37"/>
        <v>23233940.374094468</v>
      </c>
      <c r="L121" s="1186">
        <f t="shared" si="37"/>
        <v>23233940.374094468</v>
      </c>
      <c r="M121" s="99"/>
      <c r="N121" s="343"/>
    </row>
    <row r="122" spans="1:14" x14ac:dyDescent="0.25">
      <c r="A122" s="346">
        <f>ROW()</f>
        <v>122</v>
      </c>
      <c r="B122" s="31" t="s">
        <v>427</v>
      </c>
      <c r="C122" s="31"/>
      <c r="D122" s="31"/>
      <c r="E122" s="31"/>
      <c r="G122" s="55">
        <f>+G121/G111</f>
        <v>10014.753534357462</v>
      </c>
      <c r="H122" s="55">
        <f t="shared" ref="H122:L122" si="38">+H121/H111</f>
        <v>10014.543139324001</v>
      </c>
      <c r="I122" s="55">
        <f t="shared" si="38"/>
        <v>10014.543139324001</v>
      </c>
      <c r="J122" s="55">
        <f t="shared" si="38"/>
        <v>10014.543139324001</v>
      </c>
      <c r="K122" s="55">
        <f t="shared" si="38"/>
        <v>10014.543139324001</v>
      </c>
      <c r="L122" s="55">
        <f t="shared" si="38"/>
        <v>10014.543139324001</v>
      </c>
      <c r="M122" s="99"/>
      <c r="N122" s="343"/>
    </row>
    <row r="123" spans="1:14" x14ac:dyDescent="0.25">
      <c r="A123" s="346">
        <f>ROW()</f>
        <v>123</v>
      </c>
      <c r="B123" s="31"/>
      <c r="C123" s="31"/>
      <c r="D123" s="31"/>
      <c r="E123" s="31"/>
      <c r="G123" s="55"/>
      <c r="H123" s="55"/>
      <c r="I123" s="55"/>
      <c r="J123" s="55"/>
      <c r="K123" s="55"/>
      <c r="L123" s="55"/>
      <c r="M123" s="99"/>
      <c r="N123" s="343"/>
    </row>
    <row r="124" spans="1:14" x14ac:dyDescent="0.25">
      <c r="A124" s="346">
        <f>ROW()</f>
        <v>124</v>
      </c>
      <c r="B124" s="434" t="s">
        <v>428</v>
      </c>
      <c r="C124" s="1279"/>
      <c r="D124" s="1279"/>
      <c r="E124" s="1279"/>
      <c r="F124" s="1280"/>
      <c r="G124" s="1281"/>
      <c r="H124" s="1281"/>
      <c r="I124" s="1281"/>
      <c r="J124" s="1281"/>
      <c r="K124" s="1281"/>
      <c r="L124" s="1281"/>
      <c r="N124" s="343"/>
    </row>
    <row r="125" spans="1:14" x14ac:dyDescent="0.25">
      <c r="A125" s="346">
        <f>ROW()</f>
        <v>125</v>
      </c>
      <c r="B125" s="33" t="s">
        <v>161</v>
      </c>
      <c r="C125" s="50">
        <f t="shared" ref="C125:C132" si="39">SUM(F125:L125)</f>
        <v>0</v>
      </c>
      <c r="D125" s="50"/>
      <c r="E125" s="50"/>
      <c r="F125" s="600"/>
      <c r="G125" s="786">
        <f t="shared" ref="G125:L125" si="40">(G36*G92)*($C$99)</f>
        <v>0</v>
      </c>
      <c r="H125" s="786">
        <f t="shared" si="40"/>
        <v>0</v>
      </c>
      <c r="I125" s="786">
        <f t="shared" si="40"/>
        <v>0</v>
      </c>
      <c r="J125" s="786">
        <f t="shared" si="40"/>
        <v>0</v>
      </c>
      <c r="K125" s="786">
        <f t="shared" si="40"/>
        <v>0</v>
      </c>
      <c r="L125" s="786">
        <f t="shared" si="40"/>
        <v>0</v>
      </c>
      <c r="N125" s="343" t="s">
        <v>429</v>
      </c>
    </row>
    <row r="126" spans="1:14" x14ac:dyDescent="0.25">
      <c r="A126" s="346">
        <f>ROW()</f>
        <v>126</v>
      </c>
      <c r="B126" s="33" t="s">
        <v>430</v>
      </c>
      <c r="C126" s="50">
        <f t="shared" si="39"/>
        <v>48720.42</v>
      </c>
      <c r="D126" s="50"/>
      <c r="E126" s="50"/>
      <c r="F126" s="600"/>
      <c r="G126" s="786">
        <f t="shared" ref="G126:L126" si="41">($C$100*G36*G92)+(G36*3.5)</f>
        <v>8120.07</v>
      </c>
      <c r="H126" s="786">
        <f t="shared" si="41"/>
        <v>8120.07</v>
      </c>
      <c r="I126" s="786">
        <f t="shared" si="41"/>
        <v>8120.07</v>
      </c>
      <c r="J126" s="786">
        <f t="shared" si="41"/>
        <v>8120.07</v>
      </c>
      <c r="K126" s="786">
        <f t="shared" si="41"/>
        <v>8120.07</v>
      </c>
      <c r="L126" s="786">
        <f t="shared" si="41"/>
        <v>8120.07</v>
      </c>
      <c r="N126" s="343"/>
    </row>
    <row r="127" spans="1:14" x14ac:dyDescent="0.25">
      <c r="A127" s="346">
        <f>ROW()</f>
        <v>127</v>
      </c>
      <c r="B127" s="33" t="s">
        <v>431</v>
      </c>
      <c r="C127" s="50">
        <f t="shared" ref="C127" si="42">SUM(F127:L127)</f>
        <v>0</v>
      </c>
      <c r="D127" s="50"/>
      <c r="E127" s="50"/>
      <c r="F127" s="600"/>
      <c r="G127" s="1382">
        <f t="shared" ref="G127:L127" si="43">+$C$101*G36</f>
        <v>0</v>
      </c>
      <c r="H127" s="1382">
        <f t="shared" si="43"/>
        <v>0</v>
      </c>
      <c r="I127" s="1382">
        <f t="shared" si="43"/>
        <v>0</v>
      </c>
      <c r="J127" s="1382">
        <f t="shared" si="43"/>
        <v>0</v>
      </c>
      <c r="K127" s="1382">
        <f t="shared" si="43"/>
        <v>0</v>
      </c>
      <c r="L127" s="1382">
        <f t="shared" si="43"/>
        <v>0</v>
      </c>
      <c r="N127" s="343"/>
    </row>
    <row r="128" spans="1:14" x14ac:dyDescent="0.25">
      <c r="A128" s="346">
        <f>ROW()</f>
        <v>128</v>
      </c>
      <c r="B128" s="33" t="s">
        <v>163</v>
      </c>
      <c r="C128" s="50">
        <f t="shared" si="39"/>
        <v>0</v>
      </c>
      <c r="D128" s="50"/>
      <c r="E128" s="50"/>
      <c r="F128" s="600"/>
      <c r="G128" s="786">
        <f t="shared" ref="G128:L128" si="44">$C$102*G36*G93</f>
        <v>0</v>
      </c>
      <c r="H128" s="786">
        <f t="shared" si="44"/>
        <v>0</v>
      </c>
      <c r="I128" s="786">
        <f t="shared" si="44"/>
        <v>0</v>
      </c>
      <c r="J128" s="786">
        <f t="shared" si="44"/>
        <v>0</v>
      </c>
      <c r="K128" s="786">
        <f t="shared" si="44"/>
        <v>0</v>
      </c>
      <c r="L128" s="786">
        <f t="shared" si="44"/>
        <v>0</v>
      </c>
      <c r="N128" s="343"/>
    </row>
    <row r="129" spans="1:14" x14ac:dyDescent="0.25">
      <c r="A129" s="346">
        <f>ROW()</f>
        <v>129</v>
      </c>
      <c r="B129" s="33" t="s">
        <v>164</v>
      </c>
      <c r="C129" s="50"/>
      <c r="D129" s="50"/>
      <c r="E129" s="50"/>
      <c r="F129" s="600"/>
      <c r="G129" s="786"/>
      <c r="H129" s="786"/>
      <c r="I129" s="786"/>
      <c r="J129" s="786"/>
      <c r="K129" s="786"/>
      <c r="L129" s="786"/>
      <c r="N129" s="343" t="s">
        <v>432</v>
      </c>
    </row>
    <row r="130" spans="1:14" x14ac:dyDescent="0.25">
      <c r="A130" s="346">
        <f>ROW()</f>
        <v>130</v>
      </c>
      <c r="B130" s="33" t="s">
        <v>165</v>
      </c>
      <c r="C130" s="50">
        <f t="shared" si="39"/>
        <v>0</v>
      </c>
      <c r="D130" s="50"/>
      <c r="E130" s="50"/>
      <c r="F130" s="600"/>
      <c r="G130" s="786">
        <f>IF($C$105="yes",$C$106*Staff!$C$70*(G36*G92),0)</f>
        <v>0</v>
      </c>
      <c r="H130" s="786">
        <f>IF($C$105="yes",$C$106*Staff!$C$70*(H36*H92),0)</f>
        <v>0</v>
      </c>
      <c r="I130" s="786">
        <f>IF($C$105="yes",$C$106*Staff!$C$70*(I36*I92),0)</f>
        <v>0</v>
      </c>
      <c r="J130" s="786">
        <f>IF($C$105="yes",$C$106*Staff!$C$70*(J36*J92),0)</f>
        <v>0</v>
      </c>
      <c r="K130" s="786">
        <f>IF($C$105="yes",$C$106*Staff!$C$70*(K36*K92),0)</f>
        <v>0</v>
      </c>
      <c r="L130" s="786">
        <f>IF($C$105="yes",$C$106*Staff!$C$70*(L36*L92),0)</f>
        <v>0</v>
      </c>
      <c r="N130" s="343"/>
    </row>
    <row r="131" spans="1:14" x14ac:dyDescent="0.25">
      <c r="A131" s="346">
        <f>ROW()</f>
        <v>131</v>
      </c>
      <c r="B131" s="33" t="s">
        <v>433</v>
      </c>
      <c r="C131" s="50">
        <f t="shared" si="39"/>
        <v>0</v>
      </c>
      <c r="D131" s="50"/>
      <c r="E131" s="50"/>
      <c r="F131" s="600"/>
      <c r="G131" s="786">
        <f>(G36*G92)*Staff!$C$70*$C$107</f>
        <v>0</v>
      </c>
      <c r="H131" s="786">
        <f>(H36*H92)*Staff!$C$70*$C$107</f>
        <v>0</v>
      </c>
      <c r="I131" s="786">
        <f>(I36*I92)*Staff!$C$70*$C$107</f>
        <v>0</v>
      </c>
      <c r="J131" s="786">
        <f>(J36*J92)*Staff!$C$70*$C$107</f>
        <v>0</v>
      </c>
      <c r="K131" s="786">
        <f>(K36*K92)*Staff!$C$70*$C$107</f>
        <v>0</v>
      </c>
      <c r="L131" s="786">
        <f>(L36*L92)*Staff!$C$70*$C$107</f>
        <v>0</v>
      </c>
      <c r="N131" s="343"/>
    </row>
    <row r="132" spans="1:14" x14ac:dyDescent="0.25">
      <c r="A132" s="346">
        <f>ROW()</f>
        <v>132</v>
      </c>
      <c r="B132" s="33" t="s">
        <v>167</v>
      </c>
      <c r="C132" s="50">
        <f t="shared" si="39"/>
        <v>2397169.9450800004</v>
      </c>
      <c r="D132" s="50"/>
      <c r="E132" s="50"/>
      <c r="F132" s="600"/>
      <c r="G132" s="786">
        <f t="shared" ref="G132:L132" si="45">(G36*G94)*$C$104</f>
        <v>399528.32418000005</v>
      </c>
      <c r="H132" s="786">
        <f t="shared" si="45"/>
        <v>399528.32418000005</v>
      </c>
      <c r="I132" s="786">
        <f t="shared" si="45"/>
        <v>399528.32418000005</v>
      </c>
      <c r="J132" s="786">
        <f t="shared" si="45"/>
        <v>399528.32418000005</v>
      </c>
      <c r="K132" s="786">
        <f t="shared" si="45"/>
        <v>399528.32418000005</v>
      </c>
      <c r="L132" s="786">
        <f t="shared" si="45"/>
        <v>399528.32418000005</v>
      </c>
      <c r="N132" s="343"/>
    </row>
    <row r="133" spans="1:14" ht="30" x14ac:dyDescent="0.25">
      <c r="A133" s="898">
        <f>ROW()</f>
        <v>133</v>
      </c>
      <c r="B133" s="43" t="s">
        <v>434</v>
      </c>
      <c r="C133" s="50">
        <f>SUM(F133:L133)</f>
        <v>0</v>
      </c>
      <c r="D133" s="50"/>
      <c r="E133" s="50"/>
      <c r="F133" s="1330">
        <v>0</v>
      </c>
      <c r="G133" s="933">
        <v>0</v>
      </c>
      <c r="H133" s="933">
        <v>0</v>
      </c>
      <c r="I133" s="933">
        <v>0</v>
      </c>
      <c r="J133" s="933">
        <v>0</v>
      </c>
      <c r="K133" s="933">
        <v>0</v>
      </c>
      <c r="L133" s="933">
        <v>0</v>
      </c>
      <c r="N133" s="343"/>
    </row>
    <row r="134" spans="1:14" x14ac:dyDescent="0.25">
      <c r="A134" s="898">
        <f>ROW()</f>
        <v>134</v>
      </c>
      <c r="B134" s="43" t="s">
        <v>435</v>
      </c>
      <c r="C134" s="50">
        <f t="shared" ref="C134:C142" si="46">SUM(F134:L134)</f>
        <v>0</v>
      </c>
      <c r="D134" s="50"/>
      <c r="E134" s="50"/>
      <c r="F134" s="1332">
        <v>0</v>
      </c>
      <c r="G134" s="319">
        <v>0</v>
      </c>
      <c r="H134" s="319">
        <v>0</v>
      </c>
      <c r="I134" s="319">
        <v>0</v>
      </c>
      <c r="J134" s="319">
        <v>0</v>
      </c>
      <c r="K134" s="319">
        <v>0</v>
      </c>
      <c r="L134" s="319">
        <v>0</v>
      </c>
      <c r="N134" s="343"/>
    </row>
    <row r="135" spans="1:14" x14ac:dyDescent="0.25">
      <c r="A135" s="898">
        <f>ROW()</f>
        <v>135</v>
      </c>
      <c r="B135" s="33" t="s">
        <v>436</v>
      </c>
      <c r="C135" s="50">
        <f t="shared" si="46"/>
        <v>0</v>
      </c>
      <c r="D135" s="50"/>
      <c r="E135" s="50"/>
      <c r="F135" s="1331">
        <v>0</v>
      </c>
      <c r="G135" s="319">
        <v>0</v>
      </c>
      <c r="H135" s="319">
        <v>0</v>
      </c>
      <c r="I135" s="319">
        <v>0</v>
      </c>
      <c r="J135" s="319">
        <v>0</v>
      </c>
      <c r="K135" s="319">
        <v>0</v>
      </c>
      <c r="L135" s="319">
        <v>0</v>
      </c>
      <c r="N135" s="343"/>
    </row>
    <row r="136" spans="1:14" x14ac:dyDescent="0.25">
      <c r="A136" s="898">
        <f>ROW()</f>
        <v>136</v>
      </c>
      <c r="B136" s="33" t="s">
        <v>437</v>
      </c>
      <c r="C136" s="50">
        <f t="shared" si="46"/>
        <v>0</v>
      </c>
      <c r="D136" s="50"/>
      <c r="E136" s="50"/>
      <c r="F136" s="1331">
        <v>0</v>
      </c>
      <c r="G136" s="1381">
        <f t="shared" ref="G136:L136" si="47">$C$108*G36</f>
        <v>0</v>
      </c>
      <c r="H136" s="1381">
        <f t="shared" si="47"/>
        <v>0</v>
      </c>
      <c r="I136" s="1381">
        <f t="shared" si="47"/>
        <v>0</v>
      </c>
      <c r="J136" s="1381">
        <f t="shared" si="47"/>
        <v>0</v>
      </c>
      <c r="K136" s="1381">
        <f t="shared" si="47"/>
        <v>0</v>
      </c>
      <c r="L136" s="1381">
        <f t="shared" si="47"/>
        <v>0</v>
      </c>
      <c r="N136" s="343"/>
    </row>
    <row r="137" spans="1:14" x14ac:dyDescent="0.25">
      <c r="A137" s="898">
        <f>ROW()</f>
        <v>137</v>
      </c>
      <c r="B137" s="33" t="s">
        <v>172</v>
      </c>
      <c r="C137" s="50">
        <f t="shared" si="46"/>
        <v>0</v>
      </c>
      <c r="D137" s="50"/>
      <c r="E137" s="50"/>
      <c r="F137" s="1331">
        <v>0</v>
      </c>
      <c r="G137" s="319">
        <v>0</v>
      </c>
      <c r="H137" s="319">
        <v>0</v>
      </c>
      <c r="I137" s="319">
        <v>0</v>
      </c>
      <c r="J137" s="319">
        <v>0</v>
      </c>
      <c r="K137" s="319">
        <v>0</v>
      </c>
      <c r="L137" s="319">
        <v>0</v>
      </c>
      <c r="N137" s="343"/>
    </row>
    <row r="138" spans="1:14" x14ac:dyDescent="0.25">
      <c r="A138" s="898">
        <f>ROW()</f>
        <v>138</v>
      </c>
      <c r="B138" s="33" t="s">
        <v>438</v>
      </c>
      <c r="C138" s="50">
        <f t="shared" si="46"/>
        <v>15442000</v>
      </c>
      <c r="D138" s="50"/>
      <c r="E138" s="50"/>
      <c r="F138" s="1331">
        <v>2206000</v>
      </c>
      <c r="G138" s="319">
        <v>2206000</v>
      </c>
      <c r="H138" s="319">
        <v>2206000</v>
      </c>
      <c r="I138" s="319">
        <v>2206000</v>
      </c>
      <c r="J138" s="319">
        <v>2206000</v>
      </c>
      <c r="K138" s="319">
        <v>2206000</v>
      </c>
      <c r="L138" s="319">
        <v>2206000</v>
      </c>
      <c r="N138" s="913" t="s">
        <v>1542</v>
      </c>
    </row>
    <row r="139" spans="1:14" x14ac:dyDescent="0.25">
      <c r="A139" s="898">
        <f>ROW()</f>
        <v>139</v>
      </c>
      <c r="B139" s="33" t="s">
        <v>439</v>
      </c>
      <c r="C139" s="50">
        <f t="shared" si="46"/>
        <v>6342000</v>
      </c>
      <c r="D139" s="50"/>
      <c r="E139" s="50"/>
      <c r="F139" s="1331">
        <v>906000</v>
      </c>
      <c r="G139" s="319">
        <v>906000</v>
      </c>
      <c r="H139" s="319">
        <v>906000</v>
      </c>
      <c r="I139" s="319">
        <v>906000</v>
      </c>
      <c r="J139" s="319">
        <v>906000</v>
      </c>
      <c r="K139" s="319">
        <v>906000</v>
      </c>
      <c r="L139" s="319">
        <v>906000</v>
      </c>
      <c r="N139" s="913" t="s">
        <v>1543</v>
      </c>
    </row>
    <row r="140" spans="1:14" x14ac:dyDescent="0.25">
      <c r="A140" s="898">
        <f>ROW()</f>
        <v>140</v>
      </c>
      <c r="B140" s="33" t="s">
        <v>175</v>
      </c>
      <c r="C140" s="50">
        <f t="shared" si="46"/>
        <v>1634500</v>
      </c>
      <c r="D140" s="50"/>
      <c r="E140" s="50"/>
      <c r="F140" s="1331">
        <v>233500</v>
      </c>
      <c r="G140" s="319">
        <v>233500</v>
      </c>
      <c r="H140" s="319">
        <v>233500</v>
      </c>
      <c r="I140" s="319">
        <v>233500</v>
      </c>
      <c r="J140" s="319">
        <v>233500</v>
      </c>
      <c r="K140" s="319">
        <v>233500</v>
      </c>
      <c r="L140" s="319">
        <v>233500</v>
      </c>
      <c r="N140" s="343"/>
    </row>
    <row r="141" spans="1:14" x14ac:dyDescent="0.25">
      <c r="A141" s="898">
        <f>ROW()</f>
        <v>141</v>
      </c>
      <c r="B141" s="33" t="s">
        <v>440</v>
      </c>
      <c r="C141" s="50">
        <f t="shared" si="46"/>
        <v>0</v>
      </c>
      <c r="D141" s="50"/>
      <c r="E141" s="50"/>
      <c r="F141" s="1331">
        <v>0</v>
      </c>
      <c r="G141" s="319">
        <v>0</v>
      </c>
      <c r="H141" s="319">
        <v>0</v>
      </c>
      <c r="I141" s="319">
        <v>0</v>
      </c>
      <c r="J141" s="319">
        <v>0</v>
      </c>
      <c r="K141" s="319">
        <v>0</v>
      </c>
      <c r="L141" s="319">
        <v>0</v>
      </c>
      <c r="N141" s="343"/>
    </row>
    <row r="142" spans="1:14" x14ac:dyDescent="0.25">
      <c r="A142" s="898">
        <f>ROW()</f>
        <v>142</v>
      </c>
      <c r="B142" s="33" t="s">
        <v>441</v>
      </c>
      <c r="C142" s="50">
        <f t="shared" si="46"/>
        <v>0</v>
      </c>
      <c r="D142" s="50"/>
      <c r="E142" s="50"/>
      <c r="F142" s="1331">
        <v>0</v>
      </c>
      <c r="G142" s="320">
        <v>0</v>
      </c>
      <c r="H142" s="319">
        <v>0</v>
      </c>
      <c r="I142" s="319">
        <v>0</v>
      </c>
      <c r="J142" s="319">
        <v>0</v>
      </c>
      <c r="K142" s="319">
        <v>0</v>
      </c>
      <c r="L142" s="319">
        <v>0</v>
      </c>
      <c r="N142" s="343"/>
    </row>
    <row r="143" spans="1:14" ht="15.75" x14ac:dyDescent="0.25">
      <c r="A143" s="898">
        <f>ROW()</f>
        <v>143</v>
      </c>
      <c r="B143" s="1201"/>
      <c r="C143" s="362"/>
      <c r="D143" s="363"/>
      <c r="E143" s="363"/>
      <c r="F143" s="364">
        <f t="shared" ref="F143:L143" si="48">SUM(F125:F142)</f>
        <v>3345500</v>
      </c>
      <c r="G143" s="364">
        <f>SUM(G125:G142)</f>
        <v>3753148.3941799998</v>
      </c>
      <c r="H143" s="364">
        <f t="shared" si="48"/>
        <v>3753148.3941799998</v>
      </c>
      <c r="I143" s="364">
        <f t="shared" si="48"/>
        <v>3753148.3941799998</v>
      </c>
      <c r="J143" s="364">
        <f t="shared" si="48"/>
        <v>3753148.3941799998</v>
      </c>
      <c r="K143" s="364">
        <f t="shared" si="48"/>
        <v>3753148.3941799998</v>
      </c>
      <c r="L143" s="364">
        <f t="shared" si="48"/>
        <v>3753148.3941799998</v>
      </c>
      <c r="N143" s="343"/>
    </row>
    <row r="144" spans="1:14" ht="15.75" x14ac:dyDescent="0.25">
      <c r="A144" s="898">
        <f>ROW()</f>
        <v>144</v>
      </c>
      <c r="B144" s="127" t="s">
        <v>442</v>
      </c>
      <c r="C144" s="1327"/>
      <c r="D144" s="1328"/>
      <c r="E144" s="1328"/>
      <c r="F144" s="1329"/>
      <c r="G144" s="1383">
        <f t="shared" ref="G144:L144" si="49">+G143/G36</f>
        <v>1617.7224309186988</v>
      </c>
      <c r="H144" s="1383">
        <f t="shared" si="49"/>
        <v>1617.7224309186988</v>
      </c>
      <c r="I144" s="1383">
        <f t="shared" si="49"/>
        <v>1617.7224309186988</v>
      </c>
      <c r="J144" s="1383">
        <f t="shared" si="49"/>
        <v>1617.7224309186988</v>
      </c>
      <c r="K144" s="1383">
        <f t="shared" si="49"/>
        <v>1617.7224309186988</v>
      </c>
      <c r="L144" s="1383">
        <f t="shared" si="49"/>
        <v>1617.7224309186988</v>
      </c>
      <c r="N144" s="343"/>
    </row>
    <row r="145" spans="1:14" ht="15.75" x14ac:dyDescent="0.25">
      <c r="A145" s="898">
        <f>ROW()</f>
        <v>145</v>
      </c>
      <c r="B145" s="1201" t="s">
        <v>180</v>
      </c>
      <c r="C145" s="362">
        <f t="shared" ref="C145" si="50">SUM(G145:L145)</f>
        <v>161923020.73033231</v>
      </c>
      <c r="D145" s="363"/>
      <c r="E145" s="363"/>
      <c r="F145" s="364">
        <f t="shared" ref="F145:L145" si="51">+F143+F121</f>
        <v>3345500</v>
      </c>
      <c r="G145" s="364">
        <f t="shared" si="51"/>
        <v>26987576.88896</v>
      </c>
      <c r="H145" s="364">
        <f t="shared" si="51"/>
        <v>26987088.768274467</v>
      </c>
      <c r="I145" s="364">
        <f>+I143+I121</f>
        <v>26987088.768274467</v>
      </c>
      <c r="J145" s="364">
        <f t="shared" si="51"/>
        <v>26987088.768274467</v>
      </c>
      <c r="K145" s="364">
        <f t="shared" si="51"/>
        <v>26987088.768274467</v>
      </c>
      <c r="L145" s="364">
        <f t="shared" si="51"/>
        <v>26987088.768274467</v>
      </c>
      <c r="N145" s="343"/>
    </row>
    <row r="146" spans="1:14" x14ac:dyDescent="0.25">
      <c r="A146" s="898">
        <f>ROW()</f>
        <v>146</v>
      </c>
      <c r="B146" s="183" t="s">
        <v>443</v>
      </c>
      <c r="C146" s="80"/>
      <c r="D146" s="80"/>
      <c r="E146" s="80"/>
      <c r="F146" s="1187"/>
      <c r="G146" s="1384">
        <f t="shared" ref="G146:L146" si="52">IFERROR(G145/G36,0)</f>
        <v>11632.475965276162</v>
      </c>
      <c r="H146" s="1384">
        <f t="shared" si="52"/>
        <v>11632.2655702427</v>
      </c>
      <c r="I146" s="1384">
        <f t="shared" si="52"/>
        <v>11632.2655702427</v>
      </c>
      <c r="J146" s="1384">
        <f t="shared" si="52"/>
        <v>11632.2655702427</v>
      </c>
      <c r="K146" s="1384">
        <f t="shared" si="52"/>
        <v>11632.2655702427</v>
      </c>
      <c r="L146" s="1384">
        <f t="shared" si="52"/>
        <v>11632.2655702427</v>
      </c>
      <c r="N146" s="343"/>
    </row>
    <row r="147" spans="1:14" x14ac:dyDescent="0.25">
      <c r="A147" s="346"/>
      <c r="B147" s="31" t="s">
        <v>444</v>
      </c>
      <c r="C147" s="31"/>
      <c r="D147" s="31"/>
      <c r="E147" s="31"/>
      <c r="G147" s="55">
        <f>+Summary!G35</f>
        <v>26987576.88896</v>
      </c>
      <c r="H147" s="55">
        <f>+Summary!H35</f>
        <v>26987088.768274467</v>
      </c>
      <c r="I147" s="55">
        <f>+Summary!I35</f>
        <v>26987088.768274467</v>
      </c>
      <c r="J147" s="55">
        <f>+Summary!J35</f>
        <v>26987088.768274467</v>
      </c>
      <c r="K147" s="55">
        <f>+Summary!K35</f>
        <v>26987088.768274467</v>
      </c>
      <c r="L147" s="55">
        <f>+Summary!L35</f>
        <v>26987088.768274467</v>
      </c>
    </row>
    <row r="148" spans="1:14" x14ac:dyDescent="0.25">
      <c r="A148" s="346"/>
      <c r="B148" s="127" t="s">
        <v>445</v>
      </c>
      <c r="C148" s="127"/>
      <c r="D148" s="127"/>
      <c r="E148" s="127"/>
      <c r="F148" s="125"/>
      <c r="G148" s="1186">
        <f>+G145-G147</f>
        <v>0</v>
      </c>
      <c r="H148" s="1186">
        <f t="shared" ref="H148:L148" si="53">+H145-H147</f>
        <v>0</v>
      </c>
      <c r="I148" s="1186">
        <f t="shared" si="53"/>
        <v>0</v>
      </c>
      <c r="J148" s="1186">
        <f t="shared" si="53"/>
        <v>0</v>
      </c>
      <c r="K148" s="1186">
        <f t="shared" si="53"/>
        <v>0</v>
      </c>
      <c r="L148" s="1186">
        <f t="shared" si="53"/>
        <v>0</v>
      </c>
    </row>
    <row r="149" spans="1:14" x14ac:dyDescent="0.25">
      <c r="A149" s="64"/>
      <c r="B149" s="80" t="s">
        <v>446</v>
      </c>
      <c r="C149" s="31"/>
      <c r="D149" s="31"/>
      <c r="E149" s="31"/>
    </row>
  </sheetData>
  <sheetProtection algorithmName="SHA-512" hashValue="Q/HHvok61j0VbY36C+HDZCDpxd90Eg2ci4vY8cNxnK2WEEUBxk8nPfi/8MdvB7KzEnUEtboXw9u1sD3XrHrS6A==" saltValue="FBUUGTkA5XtMxwn9c6mCQA==" spinCount="100000" sheet="1" objects="1" scenarios="1"/>
  <phoneticPr fontId="7" type="noConversion"/>
  <conditionalFormatting sqref="C73">
    <cfRule type="top10" dxfId="59" priority="6" rank="10"/>
  </conditionalFormatting>
  <conditionalFormatting sqref="D1:E1 C14:E14 B23:E35">
    <cfRule type="expression" dxfId="58" priority="171" stopIfTrue="1">
      <formula>MOD(ROW(),2)=0</formula>
    </cfRule>
  </conditionalFormatting>
  <conditionalFormatting sqref="D73:E73">
    <cfRule type="cellIs" dxfId="57" priority="4" operator="greaterThan">
      <formula>1</formula>
    </cfRule>
  </conditionalFormatting>
  <conditionalFormatting sqref="G94:H94">
    <cfRule type="cellIs" dxfId="56" priority="21" operator="greaterThan">
      <formula>0.25</formula>
    </cfRule>
  </conditionalFormatting>
  <conditionalFormatting sqref="G17:L17">
    <cfRule type="cellIs" dxfId="55" priority="215" stopIfTrue="1" operator="equal">
      <formula>0</formula>
    </cfRule>
  </conditionalFormatting>
  <conditionalFormatting sqref="G19:L19">
    <cfRule type="cellIs" dxfId="54" priority="14" stopIfTrue="1" operator="equal">
      <formula>0</formula>
    </cfRule>
  </conditionalFormatting>
  <conditionalFormatting sqref="G95:L95">
    <cfRule type="cellIs" dxfId="53" priority="146" stopIfTrue="1" operator="equal">
      <formula>0</formula>
    </cfRule>
  </conditionalFormatting>
  <hyperlinks>
    <hyperlink ref="D1" location="HypLink1" display="HypLink1" xr:uid="{50C40886-9D9F-4AD7-81F3-10148FDA785C}"/>
    <hyperlink ref="D79" r:id="rId1" display="Rates based on SB503, 82nd 2023 Nevada legislative session" xr:uid="{0B4D5B14-D791-4174-8B82-1B03C5CCA8B9}"/>
  </hyperlinks>
  <pageMargins left="0.25" right="0.25" top="0.5" bottom="0.45" header="0.25" footer="0.25"/>
  <pageSetup scale="60" fitToHeight="4" orientation="landscape" r:id="rId2"/>
  <headerFooter>
    <oddHeader xml:space="preserve">&amp;L &amp;C &amp;R </oddHeader>
    <oddFooter>&amp;L&amp;7&amp;D  at &amp;T Mike 702.854.0691&amp;C&amp;7&amp;F  &amp;A&amp;R&amp;7Page &amp;P of &amp;N</oddFooter>
  </headerFooter>
  <rowBreaks count="1" manualBreakCount="1">
    <brk id="109" max="12" man="1"/>
  </rowBreaks>
  <drawing r:id="rId3"/>
  <legacyDrawing r:id="rId4"/>
  <extLst>
    <ext xmlns:x14="http://schemas.microsoft.com/office/spreadsheetml/2009/9/main" uri="{CCE6A557-97BC-4b89-ADB6-D9C93CAAB3DF}">
      <x14:dataValidations xmlns:xm="http://schemas.microsoft.com/office/excel/2006/main" disablePrompts="1" xWindow="527" yWindow="807" count="2">
        <x14:dataValidation type="list" allowBlank="1" showInputMessage="1" showErrorMessage="1" xr:uid="{072BB3B4-7B2D-4CBC-801C-1A2DCA639C70}">
          <x14:formula1>
            <xm:f>'PCFP Rates'!$B$12:$B$20</xm:f>
          </x14:formula1>
          <xm:sqref>C78</xm:sqref>
        </x14:dataValidation>
        <x14:dataValidation type="list" allowBlank="1" showInputMessage="1" showErrorMessage="1" promptTitle="County" prompt="In the Dropdown Box select the county where your school will be located." xr:uid="{00000000-0002-0000-0100-000000000000}">
          <x14:formula1>
            <xm:f>'PCFP Rates'!$O$49:$O$80</xm:f>
          </x14:formula1>
          <xm:sqref>D109:E109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M56"/>
  <sheetViews>
    <sheetView workbookViewId="0"/>
  </sheetViews>
  <sheetFormatPr defaultColWidth="8.7109375" defaultRowHeight="12.75" x14ac:dyDescent="0.2"/>
  <cols>
    <col min="1" max="1" width="4.7109375" style="6" customWidth="1"/>
    <col min="2" max="2" width="30.28515625" style="6" customWidth="1"/>
    <col min="3" max="3" width="16.7109375" style="6" customWidth="1"/>
    <col min="4" max="4" width="15.28515625" style="6" bestFit="1" customWidth="1"/>
    <col min="5" max="5" width="13.7109375" style="6" customWidth="1"/>
    <col min="6" max="6" width="3.7109375" style="6" customWidth="1"/>
    <col min="7" max="7" width="35.7109375" style="6" customWidth="1"/>
    <col min="8" max="8" width="3.5703125" style="6" customWidth="1"/>
    <col min="9" max="16384" width="8.7109375" style="6"/>
  </cols>
  <sheetData>
    <row r="1" spans="1:13" ht="18" x14ac:dyDescent="0.25">
      <c r="A1" s="22" t="s">
        <v>447</v>
      </c>
      <c r="B1" s="21"/>
      <c r="C1" s="21"/>
      <c r="D1" s="21"/>
      <c r="E1" s="408" t="s">
        <v>3</v>
      </c>
    </row>
    <row r="2" spans="1:13" ht="15.75" x14ac:dyDescent="0.25">
      <c r="A2" s="25" t="str">
        <f>SchoolName</f>
        <v>Odyssey Charter School</v>
      </c>
      <c r="B2" s="24"/>
      <c r="C2" s="24"/>
      <c r="D2" s="24"/>
    </row>
    <row r="3" spans="1:13" x14ac:dyDescent="0.2">
      <c r="A3" s="10" t="s">
        <v>448</v>
      </c>
    </row>
    <row r="4" spans="1:13" x14ac:dyDescent="0.2">
      <c r="A4" s="9" t="s">
        <v>80</v>
      </c>
      <c r="H4" s="7"/>
      <c r="I4" s="7"/>
      <c r="J4" s="7"/>
      <c r="K4" s="7"/>
      <c r="L4" s="7"/>
      <c r="M4" s="7"/>
    </row>
    <row r="5" spans="1:13" x14ac:dyDescent="0.2">
      <c r="A5" s="8" t="str">
        <f ca="1">CELL("filename")</f>
        <v>\\lvraiders\users\sguthrie\Documents\Charter\Change of Sponsorship\[240126-SPCSA-Odyssey Charter School Application Workbook-AS-IS-Original Version.xlsx]Instructions</v>
      </c>
      <c r="H5" s="7"/>
      <c r="I5" s="7"/>
      <c r="J5" s="7"/>
      <c r="K5" s="7"/>
      <c r="L5" s="7"/>
      <c r="M5" s="7"/>
    </row>
    <row r="6" spans="1:13" x14ac:dyDescent="0.2">
      <c r="A6" s="7"/>
      <c r="B6" s="7"/>
      <c r="C6" s="7"/>
      <c r="D6" s="7"/>
      <c r="E6" s="1345" t="s">
        <v>449</v>
      </c>
      <c r="F6" s="7"/>
      <c r="G6" s="7"/>
      <c r="H6" s="7"/>
      <c r="I6" s="7"/>
      <c r="J6" s="7"/>
      <c r="K6" s="7"/>
      <c r="L6" s="7"/>
      <c r="M6" s="7"/>
    </row>
    <row r="7" spans="1:13" x14ac:dyDescent="0.2">
      <c r="A7" s="7"/>
      <c r="B7" s="7"/>
      <c r="C7" s="7"/>
      <c r="D7" s="7"/>
      <c r="E7" s="1343">
        <f>+Cover!E11-1</f>
        <v>2024</v>
      </c>
      <c r="F7" s="7"/>
      <c r="G7" s="1262" t="s">
        <v>450</v>
      </c>
      <c r="H7" s="1262"/>
      <c r="I7" s="1262"/>
      <c r="J7" s="1262"/>
      <c r="K7" s="7"/>
      <c r="L7" s="7"/>
      <c r="M7" s="7"/>
    </row>
    <row r="8" spans="1:13" x14ac:dyDescent="0.2">
      <c r="A8" s="7"/>
      <c r="B8" s="7"/>
      <c r="C8" s="7"/>
      <c r="D8" s="7"/>
      <c r="E8" s="1344">
        <f>+E7+1</f>
        <v>2025</v>
      </c>
      <c r="F8" s="7"/>
      <c r="G8" s="1262"/>
      <c r="H8" s="1262"/>
      <c r="I8" s="1262"/>
      <c r="J8" s="1262"/>
      <c r="K8" s="7"/>
      <c r="L8" s="7"/>
      <c r="M8" s="7"/>
    </row>
    <row r="9" spans="1:13" ht="15" x14ac:dyDescent="0.2">
      <c r="A9" s="7"/>
      <c r="B9" s="11"/>
      <c r="C9" s="7"/>
      <c r="D9" s="7"/>
      <c r="E9" s="7"/>
      <c r="F9" s="7"/>
      <c r="G9" s="7"/>
      <c r="H9" s="7"/>
      <c r="I9" s="7"/>
      <c r="J9" s="7"/>
      <c r="K9" s="7"/>
      <c r="L9" s="7"/>
      <c r="M9" s="7"/>
    </row>
    <row r="10" spans="1:13" ht="14.25" x14ac:dyDescent="0.2">
      <c r="A10" s="7"/>
      <c r="B10" s="1781" t="s">
        <v>451</v>
      </c>
      <c r="C10" s="1782"/>
      <c r="D10" s="1782"/>
      <c r="E10" s="1783"/>
      <c r="F10" s="7"/>
      <c r="G10" s="1651" t="s">
        <v>103</v>
      </c>
      <c r="H10" s="7"/>
      <c r="I10" s="7"/>
      <c r="J10" s="7"/>
      <c r="K10" s="7"/>
      <c r="L10" s="7"/>
      <c r="M10" s="7"/>
    </row>
    <row r="11" spans="1:13" ht="15" x14ac:dyDescent="0.25">
      <c r="A11" s="488">
        <f>ROW()</f>
        <v>11</v>
      </c>
      <c r="B11" s="1257"/>
      <c r="C11" s="1257"/>
      <c r="D11" s="1257"/>
      <c r="E11" s="1268"/>
      <c r="F11" s="15"/>
      <c r="G11" s="462"/>
      <c r="H11" s="7"/>
      <c r="I11" s="7"/>
      <c r="J11" s="7"/>
      <c r="K11" s="7"/>
      <c r="L11" s="7"/>
      <c r="M11" s="7"/>
    </row>
    <row r="12" spans="1:13" ht="15" x14ac:dyDescent="0.25">
      <c r="A12" s="488">
        <f>ROW()</f>
        <v>12</v>
      </c>
      <c r="B12" s="1258"/>
      <c r="C12" s="1258"/>
      <c r="D12" s="1258"/>
      <c r="E12" s="1269">
        <v>0</v>
      </c>
      <c r="F12" s="15"/>
      <c r="G12" s="343"/>
      <c r="H12" s="7"/>
      <c r="I12" s="7"/>
      <c r="J12" s="7"/>
      <c r="K12" s="7"/>
      <c r="L12" s="7"/>
      <c r="M12" s="7"/>
    </row>
    <row r="13" spans="1:13" ht="15" x14ac:dyDescent="0.25">
      <c r="A13" s="488">
        <f>ROW()</f>
        <v>13</v>
      </c>
      <c r="B13" s="1258"/>
      <c r="C13" s="1258"/>
      <c r="D13" s="1258"/>
      <c r="E13" s="452">
        <v>0</v>
      </c>
      <c r="F13" s="15"/>
      <c r="G13" s="343"/>
      <c r="H13" s="7"/>
      <c r="I13" s="7"/>
      <c r="J13" s="7"/>
      <c r="K13" s="7"/>
      <c r="L13" s="7"/>
      <c r="M13" s="7"/>
    </row>
    <row r="14" spans="1:13" ht="15" x14ac:dyDescent="0.25">
      <c r="A14" s="488">
        <f>ROW()</f>
        <v>14</v>
      </c>
      <c r="B14" s="1258"/>
      <c r="C14" s="1258"/>
      <c r="D14" s="1258"/>
      <c r="E14" s="452"/>
      <c r="F14" s="15"/>
      <c r="G14" s="343"/>
      <c r="H14" s="7"/>
      <c r="I14" s="7"/>
      <c r="J14" s="7"/>
      <c r="K14" s="7"/>
      <c r="L14" s="7"/>
      <c r="M14" s="7"/>
    </row>
    <row r="15" spans="1:13" ht="15" x14ac:dyDescent="0.25">
      <c r="A15" s="488">
        <f>ROW()</f>
        <v>15</v>
      </c>
      <c r="B15" s="1258" t="s">
        <v>452</v>
      </c>
      <c r="C15" s="1258"/>
      <c r="D15" s="1258"/>
      <c r="E15" s="452">
        <v>0</v>
      </c>
      <c r="F15" s="15"/>
      <c r="G15" s="343"/>
      <c r="H15" s="7"/>
      <c r="I15" s="7"/>
      <c r="J15" s="7"/>
      <c r="K15" s="7"/>
      <c r="L15" s="7"/>
      <c r="M15" s="7"/>
    </row>
    <row r="16" spans="1:13" ht="15" x14ac:dyDescent="0.25">
      <c r="A16" s="488">
        <f>ROW()</f>
        <v>16</v>
      </c>
      <c r="B16" s="1258" t="s">
        <v>453</v>
      </c>
      <c r="C16" s="1258"/>
      <c r="D16" s="1258"/>
      <c r="E16" s="452">
        <v>0</v>
      </c>
      <c r="F16" s="15"/>
      <c r="G16" s="343"/>
      <c r="H16" s="7"/>
      <c r="I16" s="7"/>
      <c r="J16" s="7"/>
      <c r="K16" s="7"/>
      <c r="L16" s="7"/>
      <c r="M16" s="7"/>
    </row>
    <row r="17" spans="1:13" ht="15" x14ac:dyDescent="0.25">
      <c r="A17" s="488">
        <f>ROW()</f>
        <v>17</v>
      </c>
      <c r="B17" s="1258" t="s">
        <v>454</v>
      </c>
      <c r="C17" s="1258"/>
      <c r="D17" s="1258"/>
      <c r="E17" s="452">
        <v>0</v>
      </c>
      <c r="F17" s="15"/>
      <c r="G17" s="343"/>
      <c r="H17" s="7"/>
      <c r="I17" s="7"/>
      <c r="J17" s="7"/>
      <c r="K17" s="7"/>
      <c r="L17" s="7"/>
      <c r="M17" s="7"/>
    </row>
    <row r="18" spans="1:13" ht="15" x14ac:dyDescent="0.25">
      <c r="A18" s="488">
        <f>ROW()</f>
        <v>18</v>
      </c>
      <c r="B18" s="1258" t="s">
        <v>455</v>
      </c>
      <c r="C18" s="1258"/>
      <c r="D18" s="1258"/>
      <c r="E18" s="452">
        <v>0</v>
      </c>
      <c r="F18" s="15"/>
      <c r="G18" s="343"/>
      <c r="H18" s="7"/>
      <c r="I18" s="7"/>
      <c r="J18" s="7"/>
      <c r="K18" s="7"/>
      <c r="L18" s="7"/>
      <c r="M18" s="7"/>
    </row>
    <row r="19" spans="1:13" ht="15" x14ac:dyDescent="0.25">
      <c r="A19" s="488">
        <f>ROW()</f>
        <v>19</v>
      </c>
      <c r="B19" s="1256" t="s">
        <v>456</v>
      </c>
      <c r="C19" s="1258"/>
      <c r="D19" s="1258"/>
      <c r="E19" s="452">
        <v>0</v>
      </c>
      <c r="F19" s="15"/>
      <c r="G19" s="343"/>
      <c r="H19" s="7"/>
      <c r="I19" s="7"/>
      <c r="J19" s="7"/>
      <c r="K19" s="7"/>
      <c r="L19" s="7"/>
      <c r="M19" s="7"/>
    </row>
    <row r="20" spans="1:13" ht="15" x14ac:dyDescent="0.25">
      <c r="A20" s="488">
        <f>ROW()</f>
        <v>20</v>
      </c>
      <c r="B20" s="1258" t="s">
        <v>457</v>
      </c>
      <c r="C20" s="1258"/>
      <c r="D20" s="1258"/>
      <c r="E20" s="452">
        <v>0</v>
      </c>
      <c r="F20" s="15"/>
      <c r="G20" s="343"/>
      <c r="H20" s="7"/>
      <c r="I20" s="1262"/>
      <c r="J20" s="7"/>
      <c r="K20" s="7"/>
      <c r="L20" s="7"/>
      <c r="M20" s="7"/>
    </row>
    <row r="21" spans="1:13" ht="15" x14ac:dyDescent="0.25">
      <c r="A21" s="488">
        <f>ROW()</f>
        <v>21</v>
      </c>
      <c r="B21" s="1258" t="s">
        <v>458</v>
      </c>
      <c r="C21" s="1258"/>
      <c r="D21" s="1258"/>
      <c r="E21" s="452">
        <v>0</v>
      </c>
      <c r="F21" s="15"/>
      <c r="G21" s="343"/>
      <c r="H21" s="7"/>
      <c r="I21" s="1262"/>
      <c r="J21" s="7"/>
      <c r="K21" s="7"/>
      <c r="L21" s="7"/>
      <c r="M21" s="7"/>
    </row>
    <row r="22" spans="1:13" ht="15" x14ac:dyDescent="0.25">
      <c r="A22" s="488">
        <f>ROW()</f>
        <v>22</v>
      </c>
      <c r="B22" s="1258" t="s">
        <v>459</v>
      </c>
      <c r="C22" s="1258"/>
      <c r="D22" s="1258"/>
      <c r="E22" s="452"/>
      <c r="F22" s="15"/>
      <c r="G22" s="343"/>
      <c r="H22" s="7"/>
      <c r="I22" s="1262"/>
      <c r="J22" s="7"/>
      <c r="K22" s="7"/>
      <c r="L22" s="7"/>
      <c r="M22" s="7"/>
    </row>
    <row r="23" spans="1:13" ht="15" x14ac:dyDescent="0.25">
      <c r="A23" s="488">
        <f>ROW()</f>
        <v>23</v>
      </c>
      <c r="B23" s="1258" t="s">
        <v>460</v>
      </c>
      <c r="C23" s="1258"/>
      <c r="D23" s="1258"/>
      <c r="E23" s="452"/>
      <c r="F23" s="15"/>
      <c r="G23" s="343"/>
      <c r="H23" s="7"/>
      <c r="I23" s="1262"/>
      <c r="J23" s="7"/>
      <c r="K23" s="7"/>
      <c r="L23" s="7"/>
      <c r="M23" s="7"/>
    </row>
    <row r="24" spans="1:13" ht="15" x14ac:dyDescent="0.25">
      <c r="A24" s="488">
        <f>ROW()</f>
        <v>24</v>
      </c>
      <c r="B24" s="1258" t="s">
        <v>461</v>
      </c>
      <c r="C24" s="1258"/>
      <c r="D24" s="1258"/>
      <c r="E24" s="452"/>
      <c r="F24" s="15"/>
      <c r="G24" s="343"/>
      <c r="H24" s="7"/>
      <c r="I24" s="1262"/>
      <c r="J24" s="7"/>
      <c r="K24" s="7"/>
      <c r="L24" s="7"/>
      <c r="M24" s="7"/>
    </row>
    <row r="25" spans="1:13" ht="15" x14ac:dyDescent="0.25">
      <c r="A25" s="488">
        <f>ROW()</f>
        <v>25</v>
      </c>
      <c r="B25" s="1258" t="s">
        <v>462</v>
      </c>
      <c r="C25" s="1258"/>
      <c r="D25" s="1258"/>
      <c r="E25" s="452">
        <v>5000</v>
      </c>
      <c r="F25" s="15"/>
      <c r="G25" s="343"/>
      <c r="H25" s="7"/>
      <c r="I25" s="1262"/>
      <c r="J25" s="7"/>
      <c r="K25" s="7"/>
      <c r="L25" s="7"/>
      <c r="M25" s="7"/>
    </row>
    <row r="26" spans="1:13" ht="15" x14ac:dyDescent="0.25">
      <c r="A26" s="488">
        <f>ROW()</f>
        <v>26</v>
      </c>
      <c r="B26" s="1258" t="s">
        <v>114</v>
      </c>
      <c r="C26" s="1258"/>
      <c r="D26" s="1258"/>
      <c r="E26" s="452"/>
      <c r="F26" s="15"/>
      <c r="G26" s="343"/>
      <c r="H26" s="7"/>
      <c r="I26" s="7"/>
      <c r="J26" s="7"/>
      <c r="K26" s="7"/>
      <c r="L26" s="7"/>
      <c r="M26" s="7"/>
    </row>
    <row r="27" spans="1:13" ht="15" x14ac:dyDescent="0.25">
      <c r="A27" s="488">
        <f>ROW()</f>
        <v>27</v>
      </c>
      <c r="B27" s="1258" t="s">
        <v>463</v>
      </c>
      <c r="C27" s="1258"/>
      <c r="D27" s="1258"/>
      <c r="E27" s="452">
        <v>0</v>
      </c>
      <c r="F27" s="15"/>
      <c r="G27" s="343"/>
      <c r="H27" s="7"/>
      <c r="I27" s="7"/>
      <c r="J27" s="7"/>
      <c r="K27" s="7"/>
      <c r="L27" s="7"/>
      <c r="M27" s="7"/>
    </row>
    <row r="28" spans="1:13" ht="15" x14ac:dyDescent="0.25">
      <c r="A28" s="488">
        <f>ROW()</f>
        <v>28</v>
      </c>
      <c r="B28" s="1258" t="s">
        <v>464</v>
      </c>
      <c r="C28" s="1258"/>
      <c r="D28" s="1258"/>
      <c r="E28" s="452">
        <v>0</v>
      </c>
      <c r="F28" s="15"/>
      <c r="G28" s="343"/>
      <c r="H28" s="7"/>
      <c r="I28" s="7"/>
      <c r="J28" s="7"/>
      <c r="K28" s="7"/>
      <c r="L28" s="7"/>
      <c r="M28" s="7"/>
    </row>
    <row r="29" spans="1:13" ht="15" x14ac:dyDescent="0.25">
      <c r="A29" s="488">
        <f>ROW()</f>
        <v>29</v>
      </c>
      <c r="B29" s="1258" t="s">
        <v>465</v>
      </c>
      <c r="C29" s="1258"/>
      <c r="D29" s="1258"/>
      <c r="E29" s="452">
        <v>0</v>
      </c>
      <c r="F29" s="15"/>
      <c r="G29" s="343"/>
      <c r="H29" s="7"/>
      <c r="I29" s="7"/>
      <c r="J29" s="7"/>
      <c r="K29" s="7"/>
      <c r="L29" s="7"/>
      <c r="M29" s="7"/>
    </row>
    <row r="30" spans="1:13" ht="15" x14ac:dyDescent="0.25">
      <c r="A30" s="488">
        <f>ROW()</f>
        <v>30</v>
      </c>
      <c r="B30" s="1258" t="s">
        <v>466</v>
      </c>
      <c r="C30" s="1258"/>
      <c r="D30" s="1258"/>
      <c r="E30" s="452">
        <v>0</v>
      </c>
      <c r="F30" s="15"/>
      <c r="G30" s="343"/>
      <c r="H30" s="7"/>
      <c r="I30" s="7"/>
      <c r="J30" s="7"/>
      <c r="K30" s="7"/>
      <c r="L30" s="7"/>
      <c r="M30" s="7"/>
    </row>
    <row r="31" spans="1:13" ht="15" x14ac:dyDescent="0.25">
      <c r="A31" s="488">
        <f>ROW()</f>
        <v>31</v>
      </c>
      <c r="B31" s="1258" t="s">
        <v>467</v>
      </c>
      <c r="C31" s="1258"/>
      <c r="D31" s="1258"/>
      <c r="E31" s="452">
        <v>0</v>
      </c>
      <c r="F31" s="15"/>
      <c r="G31" s="343"/>
      <c r="H31" s="7"/>
      <c r="I31" s="7"/>
      <c r="J31" s="7"/>
      <c r="K31" s="7"/>
      <c r="L31" s="7"/>
      <c r="M31" s="7"/>
    </row>
    <row r="32" spans="1:13" ht="15" x14ac:dyDescent="0.25">
      <c r="A32" s="488">
        <f>ROW()</f>
        <v>32</v>
      </c>
      <c r="B32" s="1258" t="s">
        <v>468</v>
      </c>
      <c r="C32" s="1258"/>
      <c r="D32" s="1258"/>
      <c r="E32" s="452"/>
      <c r="F32" s="15"/>
      <c r="G32" s="343"/>
      <c r="H32" s="7"/>
      <c r="I32" s="7"/>
      <c r="J32" s="7"/>
      <c r="K32" s="7"/>
      <c r="L32" s="7"/>
      <c r="M32" s="7"/>
    </row>
    <row r="33" spans="1:13" ht="15" x14ac:dyDescent="0.25">
      <c r="A33" s="488">
        <f>ROW()</f>
        <v>33</v>
      </c>
      <c r="B33" s="1265" t="s">
        <v>469</v>
      </c>
      <c r="C33" s="1265"/>
      <c r="D33" s="1265"/>
      <c r="E33" s="452">
        <v>98000</v>
      </c>
      <c r="F33" s="15"/>
      <c r="G33" s="343"/>
      <c r="H33" s="7"/>
      <c r="I33" s="7"/>
      <c r="J33" s="7"/>
      <c r="K33" s="7"/>
      <c r="L33" s="7"/>
      <c r="M33" s="7"/>
    </row>
    <row r="34" spans="1:13" ht="15" x14ac:dyDescent="0.25">
      <c r="A34" s="488">
        <f>ROW()</f>
        <v>34</v>
      </c>
      <c r="B34" s="1265"/>
      <c r="C34" s="1265"/>
      <c r="D34" s="1265"/>
      <c r="E34" s="452"/>
      <c r="F34" s="15"/>
      <c r="G34" s="343"/>
      <c r="H34" s="7"/>
      <c r="I34" s="7"/>
      <c r="J34" s="7"/>
      <c r="K34" s="7"/>
      <c r="L34" s="7"/>
      <c r="M34" s="7"/>
    </row>
    <row r="35" spans="1:13" ht="15" x14ac:dyDescent="0.25">
      <c r="A35" s="488">
        <f>ROW()</f>
        <v>35</v>
      </c>
      <c r="B35" s="1265"/>
      <c r="C35" s="1265"/>
      <c r="D35" s="1265"/>
      <c r="E35" s="452"/>
      <c r="F35" s="15"/>
      <c r="G35" s="343"/>
      <c r="H35" s="7"/>
      <c r="I35" s="7"/>
      <c r="J35" s="7"/>
      <c r="K35" s="7"/>
      <c r="L35" s="7"/>
      <c r="M35" s="7"/>
    </row>
    <row r="36" spans="1:13" ht="15" x14ac:dyDescent="0.25">
      <c r="A36" s="488">
        <f>ROW()</f>
        <v>36</v>
      </c>
      <c r="B36" s="1265"/>
      <c r="C36" s="1265"/>
      <c r="D36" s="1265"/>
      <c r="E36" s="452"/>
      <c r="F36" s="15"/>
      <c r="G36" s="343"/>
      <c r="H36" s="7"/>
      <c r="I36" s="7"/>
      <c r="J36" s="7"/>
      <c r="K36" s="7"/>
      <c r="L36" s="7"/>
      <c r="M36" s="7"/>
    </row>
    <row r="37" spans="1:13" ht="15" x14ac:dyDescent="0.25">
      <c r="A37" s="488">
        <f>ROW()</f>
        <v>37</v>
      </c>
      <c r="B37" s="1784"/>
      <c r="C37" s="1784"/>
      <c r="D37" s="1784"/>
      <c r="E37" s="452">
        <v>0</v>
      </c>
      <c r="F37" s="15"/>
      <c r="G37" s="343"/>
      <c r="H37" s="7"/>
      <c r="I37" s="7"/>
      <c r="J37" s="7"/>
      <c r="K37" s="7"/>
      <c r="L37" s="7"/>
      <c r="M37" s="7"/>
    </row>
    <row r="38" spans="1:13" ht="15" x14ac:dyDescent="0.25">
      <c r="A38" s="488">
        <f>ROW()</f>
        <v>38</v>
      </c>
      <c r="B38" s="1211" t="s">
        <v>470</v>
      </c>
      <c r="C38" s="1211"/>
      <c r="D38" s="1212"/>
      <c r="E38" s="1213" t="s">
        <v>471</v>
      </c>
      <c r="F38" s="16"/>
      <c r="G38" s="7"/>
      <c r="H38" s="7"/>
      <c r="I38" s="7"/>
      <c r="J38" s="7"/>
      <c r="K38" s="7"/>
      <c r="L38" s="7"/>
      <c r="M38" s="7"/>
    </row>
    <row r="39" spans="1:13" ht="15" x14ac:dyDescent="0.25">
      <c r="A39" s="488">
        <f>ROW()</f>
        <v>39</v>
      </c>
      <c r="B39" s="1333" t="s">
        <v>182</v>
      </c>
      <c r="C39" s="1333"/>
      <c r="D39" s="1334"/>
      <c r="E39" s="1335" t="e">
        <f>+#REF!-E38</f>
        <v>#REF!</v>
      </c>
      <c r="F39" s="16"/>
      <c r="G39" s="7"/>
      <c r="H39" s="7"/>
      <c r="I39" s="7"/>
      <c r="J39" s="7"/>
      <c r="K39" s="7"/>
      <c r="L39" s="7"/>
      <c r="M39" s="7"/>
    </row>
    <row r="40" spans="1:13" ht="15" x14ac:dyDescent="0.2">
      <c r="A40" s="488">
        <f>ROW()</f>
        <v>40</v>
      </c>
      <c r="B40" s="11" t="s">
        <v>472</v>
      </c>
      <c r="C40" s="18"/>
      <c r="D40" s="18"/>
      <c r="E40" s="18"/>
      <c r="F40" s="18"/>
      <c r="G40" s="7"/>
      <c r="H40" s="7"/>
      <c r="I40" s="7"/>
      <c r="J40" s="7"/>
      <c r="K40" s="7"/>
      <c r="L40" s="7"/>
      <c r="M40" s="7"/>
    </row>
    <row r="41" spans="1:13" x14ac:dyDescent="0.2">
      <c r="A41" s="7"/>
      <c r="C41" s="7"/>
      <c r="D41" s="7"/>
      <c r="E41" s="7"/>
      <c r="F41" s="7"/>
      <c r="G41" s="7"/>
      <c r="H41" s="7"/>
      <c r="I41" s="7"/>
      <c r="J41" s="7"/>
      <c r="K41" s="7"/>
      <c r="L41" s="7"/>
      <c r="M41" s="7"/>
    </row>
    <row r="42" spans="1:13" x14ac:dyDescent="0.2">
      <c r="A42" s="7"/>
      <c r="B42" s="7"/>
      <c r="C42" s="7"/>
      <c r="D42" s="7"/>
      <c r="E42" s="7"/>
      <c r="F42" s="7"/>
      <c r="G42" s="7"/>
      <c r="H42" s="7"/>
      <c r="I42" s="7"/>
      <c r="J42" s="7"/>
      <c r="K42" s="7"/>
      <c r="L42" s="7"/>
      <c r="M42" s="7"/>
    </row>
    <row r="43" spans="1:13" x14ac:dyDescent="0.2">
      <c r="A43" s="7"/>
      <c r="B43" s="7"/>
      <c r="C43" s="7"/>
      <c r="D43" s="7"/>
      <c r="E43" s="7"/>
      <c r="F43" s="7"/>
      <c r="G43" s="7"/>
      <c r="H43" s="7"/>
      <c r="I43" s="7"/>
      <c r="J43" s="7"/>
      <c r="K43" s="7"/>
      <c r="L43" s="7"/>
      <c r="M43" s="7"/>
    </row>
    <row r="44" spans="1:13" x14ac:dyDescent="0.2">
      <c r="A44" s="7"/>
      <c r="B44" s="7"/>
      <c r="C44" s="7"/>
      <c r="D44" s="7"/>
      <c r="E44" s="7"/>
      <c r="F44" s="7"/>
      <c r="G44" s="7"/>
      <c r="H44" s="7"/>
      <c r="I44" s="7"/>
      <c r="J44" s="7"/>
      <c r="K44" s="7"/>
      <c r="L44" s="7"/>
      <c r="M44" s="7"/>
    </row>
    <row r="45" spans="1:13" x14ac:dyDescent="0.2">
      <c r="A45" s="7"/>
      <c r="B45" s="7"/>
      <c r="C45" s="7"/>
      <c r="D45" s="7"/>
      <c r="E45" s="7"/>
      <c r="F45" s="7"/>
      <c r="G45" s="7"/>
      <c r="H45" s="7"/>
      <c r="I45" s="7"/>
      <c r="J45" s="7"/>
      <c r="K45" s="7"/>
      <c r="L45" s="7"/>
      <c r="M45" s="7"/>
    </row>
    <row r="46" spans="1:13" x14ac:dyDescent="0.2">
      <c r="A46" s="7"/>
      <c r="B46" s="7"/>
      <c r="C46" s="7"/>
      <c r="D46" s="7"/>
      <c r="E46" s="7"/>
      <c r="F46" s="7"/>
      <c r="G46" s="7"/>
      <c r="H46" s="7"/>
      <c r="I46" s="7"/>
      <c r="J46" s="7"/>
      <c r="K46" s="7"/>
      <c r="L46" s="7"/>
      <c r="M46" s="7"/>
    </row>
    <row r="47" spans="1:13" x14ac:dyDescent="0.2">
      <c r="A47" s="7"/>
      <c r="B47" s="7"/>
      <c r="C47" s="7"/>
      <c r="D47" s="7"/>
      <c r="E47" s="7"/>
      <c r="F47" s="7"/>
      <c r="G47" s="7"/>
      <c r="H47" s="7"/>
      <c r="I47" s="7"/>
      <c r="J47" s="7"/>
      <c r="K47" s="7"/>
      <c r="L47" s="7"/>
      <c r="M47" s="7"/>
    </row>
    <row r="48" spans="1:13" x14ac:dyDescent="0.2">
      <c r="A48" s="7"/>
      <c r="B48" s="7"/>
      <c r="C48" s="7"/>
      <c r="D48" s="7"/>
      <c r="E48" s="7"/>
      <c r="F48" s="7"/>
      <c r="G48" s="7"/>
      <c r="H48" s="7"/>
      <c r="I48" s="7"/>
      <c r="J48" s="7"/>
      <c r="K48" s="7"/>
      <c r="L48" s="7"/>
      <c r="M48" s="7"/>
    </row>
    <row r="49" spans="1:13" x14ac:dyDescent="0.2">
      <c r="A49" s="7"/>
      <c r="B49" s="7"/>
      <c r="C49" s="7"/>
      <c r="D49" s="7"/>
      <c r="E49" s="7"/>
      <c r="F49" s="7"/>
      <c r="G49" s="7"/>
      <c r="H49" s="7"/>
      <c r="I49" s="7"/>
      <c r="J49" s="7"/>
      <c r="K49" s="7"/>
      <c r="L49" s="7"/>
      <c r="M49" s="7"/>
    </row>
    <row r="50" spans="1:13" x14ac:dyDescent="0.2">
      <c r="A50" s="7"/>
      <c r="B50" s="7"/>
      <c r="C50" s="7"/>
      <c r="D50" s="7"/>
      <c r="E50" s="7"/>
      <c r="F50" s="7"/>
      <c r="G50" s="7"/>
      <c r="H50" s="7"/>
      <c r="I50" s="7"/>
      <c r="J50" s="7"/>
      <c r="K50" s="7"/>
      <c r="L50" s="7"/>
      <c r="M50" s="7"/>
    </row>
    <row r="51" spans="1:13" x14ac:dyDescent="0.2">
      <c r="A51" s="7"/>
      <c r="B51" s="7"/>
      <c r="C51" s="7"/>
      <c r="D51" s="7"/>
      <c r="E51" s="7"/>
      <c r="F51" s="7"/>
      <c r="G51" s="7"/>
      <c r="H51" s="7"/>
      <c r="I51" s="7"/>
      <c r="J51" s="7"/>
      <c r="K51" s="7"/>
      <c r="L51" s="7"/>
      <c r="M51" s="7"/>
    </row>
    <row r="52" spans="1:13" x14ac:dyDescent="0.2">
      <c r="A52" s="7"/>
      <c r="B52" s="7"/>
      <c r="C52" s="7"/>
      <c r="D52" s="7"/>
      <c r="E52" s="7"/>
      <c r="F52" s="7"/>
      <c r="G52" s="7"/>
      <c r="H52" s="7"/>
      <c r="I52" s="7"/>
      <c r="J52" s="7"/>
      <c r="K52" s="7"/>
      <c r="L52" s="7"/>
      <c r="M52" s="7"/>
    </row>
    <row r="53" spans="1:13" x14ac:dyDescent="0.2">
      <c r="A53" s="7"/>
      <c r="B53" s="7"/>
      <c r="C53" s="7"/>
      <c r="D53" s="7"/>
      <c r="E53" s="7"/>
      <c r="F53" s="7"/>
      <c r="G53" s="7"/>
      <c r="H53" s="7"/>
      <c r="I53" s="7"/>
      <c r="J53" s="7"/>
      <c r="K53" s="7"/>
      <c r="L53" s="7"/>
      <c r="M53" s="7"/>
    </row>
    <row r="54" spans="1:13" x14ac:dyDescent="0.2">
      <c r="A54" s="7"/>
      <c r="B54" s="7"/>
      <c r="C54" s="7"/>
      <c r="D54" s="7"/>
      <c r="E54" s="7"/>
      <c r="F54" s="7"/>
      <c r="G54" s="7"/>
      <c r="H54" s="7"/>
      <c r="I54" s="7"/>
      <c r="J54" s="7"/>
      <c r="K54" s="7"/>
      <c r="L54" s="7"/>
      <c r="M54" s="7"/>
    </row>
    <row r="55" spans="1:13" x14ac:dyDescent="0.2">
      <c r="A55" s="7"/>
      <c r="B55" s="7"/>
      <c r="C55" s="7"/>
      <c r="D55" s="7"/>
      <c r="E55" s="7"/>
      <c r="F55" s="7"/>
      <c r="G55" s="7"/>
      <c r="H55" s="7"/>
      <c r="I55" s="7"/>
      <c r="J55" s="7"/>
      <c r="K55" s="7"/>
      <c r="L55" s="7"/>
      <c r="M55" s="7"/>
    </row>
    <row r="56" spans="1:13" x14ac:dyDescent="0.2">
      <c r="A56" s="7"/>
      <c r="B56" s="7"/>
      <c r="C56" s="7"/>
      <c r="D56" s="7"/>
      <c r="E56" s="7"/>
      <c r="F56" s="7"/>
      <c r="G56" s="7"/>
      <c r="H56" s="7"/>
      <c r="I56" s="7"/>
      <c r="J56" s="7"/>
      <c r="K56" s="7"/>
      <c r="L56" s="7"/>
      <c r="M56" s="7"/>
    </row>
  </sheetData>
  <sheetProtection algorithmName="SHA-512" hashValue="pliDGErqz/3TB0wyJ2NwwkgjpbLzqBo1FclrTokcD5ipjYfWSp0TsXz6KLM82HqsY5UuGGMiEjhuynY+Aa5C+Q==" saltValue="HqLFRwRnLXqAgWbIrGGSrg==" spinCount="100000" sheet="1" objects="1" scenarios="1"/>
  <sortState xmlns:xlrd2="http://schemas.microsoft.com/office/spreadsheetml/2017/richdata2" ref="B11:E33">
    <sortCondition ref="B11:B33"/>
  </sortState>
  <mergeCells count="2">
    <mergeCell ref="B10:E10"/>
    <mergeCell ref="B37:D37"/>
  </mergeCells>
  <conditionalFormatting sqref="E1">
    <cfRule type="expression" dxfId="52" priority="1" stopIfTrue="1">
      <formula>MOD(ROW(),2)=0</formula>
    </cfRule>
  </conditionalFormatting>
  <dataValidations count="1">
    <dataValidation allowBlank="1" showInputMessage="1" showErrorMessage="1" prompt="You may change any of the job titles." sqref="B11:B37" xr:uid="{CA297FA6-D014-4B8C-86C0-9D870A4C04CF}"/>
  </dataValidations>
  <hyperlinks>
    <hyperlink ref="E1" location="HypLink1" display="HypLink1" xr:uid="{3B9F8843-EC44-42CC-8E63-A7EE7555C4BF}"/>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pageSetUpPr fitToPage="1"/>
  </sheetPr>
  <dimension ref="A1:AO132"/>
  <sheetViews>
    <sheetView workbookViewId="0"/>
  </sheetViews>
  <sheetFormatPr defaultColWidth="9.28515625" defaultRowHeight="15" x14ac:dyDescent="0.25"/>
  <cols>
    <col min="1" max="1" width="4.7109375" style="33" customWidth="1"/>
    <col min="2" max="2" width="28.7109375" style="33" customWidth="1"/>
    <col min="3" max="3" width="12.28515625" style="33" customWidth="1"/>
    <col min="4" max="4" width="11.5703125" style="33" customWidth="1"/>
    <col min="5" max="6" width="13.7109375" style="33" customWidth="1"/>
    <col min="7" max="7" width="14.28515625" style="33" customWidth="1"/>
    <col min="8" max="8" width="14" style="33" customWidth="1"/>
    <col min="9" max="15" width="12.7109375" style="33" customWidth="1"/>
    <col min="16" max="17" width="13.28515625" style="33" customWidth="1"/>
    <col min="18" max="18" width="14.42578125" style="33" customWidth="1"/>
    <col min="19" max="19" width="2.42578125" style="33" customWidth="1"/>
    <col min="20" max="20" width="3.7109375" style="33" customWidth="1"/>
    <col min="21" max="21" width="58.7109375" style="307" customWidth="1"/>
    <col min="22" max="22" width="9.28515625" style="33"/>
    <col min="23" max="41" width="4" style="33" customWidth="1"/>
    <col min="42" max="16384" width="9.28515625" style="33"/>
  </cols>
  <sheetData>
    <row r="1" spans="1:41" ht="15.75" x14ac:dyDescent="0.25">
      <c r="A1" s="112" t="s">
        <v>473</v>
      </c>
      <c r="B1" s="112"/>
      <c r="C1" s="35"/>
      <c r="D1" s="408" t="s">
        <v>3</v>
      </c>
      <c r="F1" s="80"/>
      <c r="G1" s="80"/>
      <c r="H1" s="80"/>
      <c r="I1" s="80"/>
      <c r="J1" s="80"/>
      <c r="K1" s="80"/>
      <c r="L1" s="80"/>
      <c r="P1" s="36"/>
      <c r="Q1" s="36"/>
      <c r="W1" s="50"/>
      <c r="X1" s="50"/>
      <c r="Y1" s="50"/>
      <c r="Z1" s="50"/>
      <c r="AA1" s="50"/>
      <c r="AB1" s="50"/>
      <c r="AC1" s="50"/>
      <c r="AD1" s="50"/>
      <c r="AE1" s="50"/>
      <c r="AF1" s="50"/>
      <c r="AG1" s="50"/>
      <c r="AH1" s="50"/>
      <c r="AI1" s="50"/>
      <c r="AJ1" s="50"/>
      <c r="AK1" s="50"/>
      <c r="AL1" s="50"/>
      <c r="AM1" s="50"/>
      <c r="AN1" s="50"/>
      <c r="AO1" s="50"/>
    </row>
    <row r="2" spans="1:41" ht="15.75" x14ac:dyDescent="0.25">
      <c r="A2" s="114" t="str">
        <f>SchoolName</f>
        <v>Odyssey Charter School</v>
      </c>
      <c r="B2" s="114"/>
      <c r="C2" s="37"/>
      <c r="F2" s="80"/>
      <c r="G2" s="80"/>
      <c r="H2" s="80"/>
      <c r="I2" s="80"/>
      <c r="J2" s="80"/>
      <c r="K2" s="80"/>
      <c r="L2" s="80"/>
      <c r="W2" s="50"/>
      <c r="X2" s="50"/>
      <c r="Y2" s="50"/>
      <c r="Z2" s="50"/>
      <c r="AA2" s="50"/>
      <c r="AB2" s="50"/>
      <c r="AC2" s="50"/>
      <c r="AD2" s="50"/>
      <c r="AE2" s="50"/>
      <c r="AF2" s="50"/>
      <c r="AG2" s="50"/>
      <c r="AH2" s="50"/>
      <c r="AI2" s="50"/>
      <c r="AJ2" s="50"/>
      <c r="AK2" s="50"/>
      <c r="AL2" s="50"/>
      <c r="AM2" s="50"/>
      <c r="AN2" s="50"/>
      <c r="AO2" s="50"/>
    </row>
    <row r="3" spans="1:41" x14ac:dyDescent="0.25">
      <c r="A3" s="39" t="s">
        <v>80</v>
      </c>
      <c r="B3" s="39"/>
      <c r="C3" s="39"/>
      <c r="D3" s="39"/>
      <c r="L3" s="80"/>
      <c r="W3" s="50"/>
      <c r="X3" s="50"/>
      <c r="Y3" s="50"/>
      <c r="Z3" s="50"/>
      <c r="AA3" s="50"/>
      <c r="AB3" s="50"/>
      <c r="AC3" s="50"/>
      <c r="AD3" s="50"/>
      <c r="AE3" s="50"/>
      <c r="AF3" s="50"/>
      <c r="AG3" s="50"/>
      <c r="AH3" s="50"/>
      <c r="AI3" s="50"/>
      <c r="AJ3" s="50"/>
      <c r="AK3" s="50"/>
      <c r="AL3" s="50"/>
      <c r="AM3" s="50"/>
      <c r="AN3" s="50"/>
      <c r="AO3" s="50"/>
    </row>
    <row r="4" spans="1:41" x14ac:dyDescent="0.25">
      <c r="A4" s="40" t="s">
        <v>81</v>
      </c>
      <c r="B4" s="40"/>
      <c r="C4" s="40"/>
      <c r="D4" s="40"/>
      <c r="L4" s="80"/>
      <c r="W4" s="50"/>
      <c r="X4" s="50"/>
      <c r="Y4" s="50"/>
      <c r="Z4" s="50"/>
      <c r="AA4" s="50"/>
      <c r="AB4" s="50"/>
      <c r="AC4" s="50"/>
      <c r="AD4" s="50"/>
      <c r="AE4" s="50"/>
      <c r="AF4" s="50"/>
      <c r="AG4" s="50"/>
      <c r="AH4" s="50"/>
      <c r="AI4" s="50"/>
      <c r="AJ4" s="50"/>
      <c r="AK4" s="50"/>
      <c r="AL4" s="50"/>
      <c r="AM4" s="50"/>
      <c r="AN4" s="50"/>
      <c r="AO4" s="50"/>
    </row>
    <row r="5" spans="1:41" x14ac:dyDescent="0.25">
      <c r="A5" s="30" t="str">
        <f ca="1">CELL("filename")</f>
        <v>\\lvraiders\users\sguthrie\Documents\Charter\Change of Sponsorship\[240126-SPCSA-Odyssey Charter School Application Workbook-AS-IS-Original Version.xlsx]Instructions</v>
      </c>
      <c r="B5" s="30"/>
      <c r="C5" s="30"/>
      <c r="D5" s="30"/>
      <c r="L5" s="80"/>
      <c r="W5" s="50"/>
      <c r="X5" s="50"/>
      <c r="Y5" s="50"/>
      <c r="Z5" s="50"/>
      <c r="AA5" s="50"/>
      <c r="AB5" s="50"/>
      <c r="AC5" s="50"/>
      <c r="AD5" s="50"/>
      <c r="AE5" s="50"/>
      <c r="AF5" s="50"/>
      <c r="AG5" s="50"/>
      <c r="AH5" s="50"/>
      <c r="AI5" s="50"/>
      <c r="AJ5" s="50"/>
      <c r="AK5" s="50"/>
      <c r="AL5" s="50"/>
      <c r="AM5" s="50"/>
      <c r="AN5" s="50"/>
      <c r="AO5" s="50"/>
    </row>
    <row r="6" spans="1:41" x14ac:dyDescent="0.25">
      <c r="W6" s="50"/>
      <c r="X6" s="50"/>
      <c r="Y6" s="50"/>
      <c r="Z6" s="50"/>
      <c r="AA6" s="50"/>
      <c r="AB6" s="50"/>
      <c r="AC6" s="50"/>
      <c r="AD6" s="50"/>
      <c r="AE6" s="50"/>
      <c r="AF6" s="50"/>
      <c r="AG6" s="50"/>
      <c r="AH6" s="50"/>
      <c r="AI6" s="50"/>
      <c r="AJ6" s="50"/>
      <c r="AK6" s="50"/>
      <c r="AL6" s="50"/>
      <c r="AM6" s="50"/>
      <c r="AN6" s="50"/>
      <c r="AO6" s="50"/>
    </row>
    <row r="7" spans="1:41" ht="18.75" x14ac:dyDescent="0.3">
      <c r="B7" s="77" t="s">
        <v>474</v>
      </c>
      <c r="C7" s="77"/>
      <c r="D7" s="77"/>
      <c r="E7" s="220">
        <f>' Enrol &amp; Rev'!G10</f>
        <v>2025</v>
      </c>
      <c r="F7" s="78" t="s">
        <v>475</v>
      </c>
      <c r="M7" s="12"/>
      <c r="N7" s="12"/>
      <c r="O7" s="12"/>
      <c r="P7" s="12"/>
      <c r="Q7" s="12"/>
      <c r="R7" s="12"/>
      <c r="W7" s="50"/>
      <c r="X7" s="50"/>
      <c r="Y7" s="50"/>
      <c r="Z7" s="50"/>
      <c r="AA7" s="50"/>
      <c r="AB7" s="50"/>
      <c r="AC7" s="50"/>
      <c r="AD7" s="50"/>
      <c r="AE7" s="50"/>
      <c r="AF7" s="50"/>
      <c r="AG7" s="50"/>
      <c r="AH7" s="50"/>
      <c r="AI7" s="50"/>
      <c r="AJ7" s="50"/>
      <c r="AK7" s="50"/>
      <c r="AL7" s="50"/>
      <c r="AM7" s="50"/>
      <c r="AN7" s="50"/>
      <c r="AO7" s="50"/>
    </row>
    <row r="8" spans="1:41" x14ac:dyDescent="0.25">
      <c r="B8" s="79" t="s">
        <v>476</v>
      </c>
      <c r="C8" s="79"/>
      <c r="D8" s="79"/>
      <c r="E8" s="220">
        <f>' Enrol &amp; Rev'!G11</f>
        <v>2026</v>
      </c>
      <c r="F8" s="183" t="s">
        <v>477</v>
      </c>
      <c r="G8" s="81"/>
      <c r="L8" s="81"/>
      <c r="M8" s="81"/>
      <c r="N8" s="81"/>
      <c r="O8" s="81"/>
      <c r="P8" s="81"/>
      <c r="Q8" s="81"/>
      <c r="R8" s="81"/>
      <c r="W8" s="50"/>
      <c r="X8" s="50"/>
      <c r="Y8" s="50"/>
      <c r="Z8" s="50"/>
      <c r="AA8" s="50"/>
      <c r="AB8" s="50"/>
      <c r="AC8" s="50"/>
      <c r="AD8" s="50"/>
      <c r="AE8" s="50"/>
      <c r="AF8" s="50"/>
      <c r="AG8" s="50"/>
      <c r="AH8" s="50"/>
      <c r="AI8" s="50"/>
      <c r="AJ8" s="50"/>
      <c r="AK8" s="50"/>
      <c r="AL8" s="50"/>
      <c r="AM8" s="50"/>
      <c r="AN8" s="50"/>
      <c r="AO8" s="50"/>
    </row>
    <row r="9" spans="1:41" x14ac:dyDescent="0.25">
      <c r="B9" s="79" t="s">
        <v>478</v>
      </c>
      <c r="C9" s="79"/>
      <c r="D9" s="79"/>
      <c r="E9" s="242">
        <v>1.2500000000000001E-2</v>
      </c>
      <c r="F9" s="1746">
        <v>1</v>
      </c>
      <c r="G9" s="1747">
        <f>1+F9</f>
        <v>2</v>
      </c>
      <c r="H9" s="1747">
        <f t="shared" ref="H9:Q9" si="0">1+G9</f>
        <v>3</v>
      </c>
      <c r="I9" s="1747">
        <f t="shared" si="0"/>
        <v>4</v>
      </c>
      <c r="J9" s="1747">
        <f t="shared" si="0"/>
        <v>5</v>
      </c>
      <c r="K9" s="1747">
        <f t="shared" si="0"/>
        <v>6</v>
      </c>
      <c r="L9" s="1747">
        <f t="shared" si="0"/>
        <v>7</v>
      </c>
      <c r="M9" s="1747">
        <f t="shared" si="0"/>
        <v>8</v>
      </c>
      <c r="N9" s="1747">
        <f t="shared" si="0"/>
        <v>9</v>
      </c>
      <c r="O9" s="1747">
        <f t="shared" si="0"/>
        <v>10</v>
      </c>
      <c r="P9" s="1747">
        <f t="shared" si="0"/>
        <v>11</v>
      </c>
      <c r="Q9" s="1747">
        <f t="shared" si="0"/>
        <v>12</v>
      </c>
      <c r="R9" s="1748" t="s">
        <v>1474</v>
      </c>
      <c r="W9" s="50"/>
      <c r="X9" s="50"/>
      <c r="Y9" s="50"/>
      <c r="Z9" s="50"/>
      <c r="AA9" s="50"/>
      <c r="AB9" s="50"/>
      <c r="AC9" s="50"/>
      <c r="AD9" s="50"/>
      <c r="AE9" s="50"/>
      <c r="AF9" s="50"/>
      <c r="AG9" s="50"/>
      <c r="AH9" s="50"/>
      <c r="AI9" s="50"/>
      <c r="AJ9" s="50"/>
      <c r="AK9" s="50"/>
      <c r="AL9" s="50"/>
      <c r="AM9" s="50"/>
      <c r="AN9" s="50"/>
      <c r="AO9" s="50"/>
    </row>
    <row r="10" spans="1:41" x14ac:dyDescent="0.25">
      <c r="B10" s="80" t="s">
        <v>479</v>
      </c>
      <c r="C10" s="80"/>
      <c r="D10" s="80"/>
      <c r="E10" s="12"/>
      <c r="F10" s="1749"/>
      <c r="G10" s="1750"/>
      <c r="H10" s="1751" t="s">
        <v>480</v>
      </c>
      <c r="I10" s="1750"/>
      <c r="J10" s="1752"/>
      <c r="K10" s="1751" t="s">
        <v>480</v>
      </c>
      <c r="L10" s="1752"/>
      <c r="M10" s="1752"/>
      <c r="N10" s="1751" t="s">
        <v>480</v>
      </c>
      <c r="O10" s="1752"/>
      <c r="P10" s="1752"/>
      <c r="Q10" s="1751" t="s">
        <v>480</v>
      </c>
      <c r="R10" s="1753" t="s">
        <v>481</v>
      </c>
      <c r="W10" s="50"/>
      <c r="X10" s="50"/>
      <c r="Y10" s="50"/>
      <c r="Z10" s="50"/>
      <c r="AA10" s="50"/>
      <c r="AB10" s="50"/>
      <c r="AC10" s="50"/>
      <c r="AD10" s="50"/>
      <c r="AE10" s="50"/>
      <c r="AF10" s="50"/>
      <c r="AG10" s="50"/>
      <c r="AH10" s="50"/>
      <c r="AI10" s="50"/>
      <c r="AJ10" s="50"/>
      <c r="AK10" s="50"/>
      <c r="AL10" s="50"/>
      <c r="AM10" s="50"/>
      <c r="AN10" s="50"/>
      <c r="AO10" s="50"/>
    </row>
    <row r="11" spans="1:41" ht="15" customHeight="1" x14ac:dyDescent="0.25">
      <c r="C11" s="1734" t="s">
        <v>482</v>
      </c>
      <c r="D11" s="1735"/>
      <c r="E11" s="1736" t="s">
        <v>483</v>
      </c>
      <c r="F11" s="1737" t="s">
        <v>484</v>
      </c>
      <c r="G11" s="1737" t="s">
        <v>484</v>
      </c>
      <c r="H11" s="1738" t="s">
        <v>484</v>
      </c>
      <c r="I11" s="1737" t="s">
        <v>484</v>
      </c>
      <c r="J11" s="1737" t="s">
        <v>484</v>
      </c>
      <c r="K11" s="1738" t="s">
        <v>484</v>
      </c>
      <c r="L11" s="1737" t="s">
        <v>484</v>
      </c>
      <c r="M11" s="1737" t="s">
        <v>484</v>
      </c>
      <c r="N11" s="1738" t="s">
        <v>484</v>
      </c>
      <c r="O11" s="1737" t="s">
        <v>484</v>
      </c>
      <c r="P11" s="1737" t="s">
        <v>484</v>
      </c>
      <c r="Q11" s="1738" t="s">
        <v>484</v>
      </c>
      <c r="R11" s="1739" t="s">
        <v>484</v>
      </c>
      <c r="W11" s="50"/>
      <c r="X11" s="50"/>
      <c r="Y11" s="50"/>
      <c r="Z11" s="50"/>
      <c r="AA11" s="50"/>
      <c r="AB11" s="50"/>
      <c r="AC11" s="50"/>
      <c r="AD11" s="50"/>
      <c r="AE11" s="50"/>
      <c r="AF11" s="50"/>
      <c r="AG11" s="50"/>
      <c r="AH11" s="50"/>
      <c r="AI11" s="50"/>
      <c r="AJ11" s="50"/>
      <c r="AK11" s="50"/>
      <c r="AL11" s="50"/>
      <c r="AM11" s="50"/>
      <c r="AN11" s="50"/>
      <c r="AO11" s="50"/>
    </row>
    <row r="12" spans="1:41" x14ac:dyDescent="0.25">
      <c r="B12" s="13"/>
      <c r="C12" s="1740" t="s">
        <v>485</v>
      </c>
      <c r="D12" s="1741" t="s">
        <v>486</v>
      </c>
      <c r="E12" s="1742">
        <f>+E8</f>
        <v>2026</v>
      </c>
      <c r="F12" s="1743">
        <v>44378</v>
      </c>
      <c r="G12" s="1743">
        <v>44409</v>
      </c>
      <c r="H12" s="1744">
        <v>44440</v>
      </c>
      <c r="I12" s="1743">
        <v>44470</v>
      </c>
      <c r="J12" s="1743">
        <v>44501</v>
      </c>
      <c r="K12" s="1744">
        <v>44531</v>
      </c>
      <c r="L12" s="1743">
        <v>44197</v>
      </c>
      <c r="M12" s="1743">
        <v>44228</v>
      </c>
      <c r="N12" s="1744">
        <v>44256</v>
      </c>
      <c r="O12" s="1743">
        <v>44287</v>
      </c>
      <c r="P12" s="1743">
        <v>44317</v>
      </c>
      <c r="Q12" s="1744">
        <v>44348</v>
      </c>
      <c r="R12" s="1745">
        <v>44378</v>
      </c>
      <c r="U12" s="1365" t="s">
        <v>487</v>
      </c>
      <c r="W12" s="50"/>
      <c r="X12" s="50"/>
      <c r="Y12" s="50"/>
      <c r="Z12" s="50"/>
      <c r="AA12" s="50"/>
      <c r="AB12" s="50"/>
      <c r="AC12" s="50"/>
      <c r="AD12" s="50"/>
      <c r="AE12" s="50"/>
      <c r="AF12" s="50"/>
      <c r="AG12" s="50"/>
      <c r="AH12" s="50"/>
      <c r="AI12" s="50"/>
      <c r="AJ12" s="50"/>
      <c r="AK12" s="50"/>
      <c r="AL12" s="50"/>
      <c r="AM12" s="50"/>
      <c r="AN12" s="50"/>
      <c r="AO12" s="50"/>
    </row>
    <row r="13" spans="1:41" x14ac:dyDescent="0.25">
      <c r="B13" s="13"/>
      <c r="C13" s="1240"/>
      <c r="D13" s="1241"/>
      <c r="E13" s="1242" t="s">
        <v>488</v>
      </c>
      <c r="F13" s="1243">
        <v>7</v>
      </c>
      <c r="G13" s="1243">
        <f>+F13+1</f>
        <v>8</v>
      </c>
      <c r="H13" s="1243">
        <f>+G13+1</f>
        <v>9</v>
      </c>
      <c r="I13" s="1243">
        <f>+H13+1</f>
        <v>10</v>
      </c>
      <c r="J13" s="1243">
        <f>+I13+1</f>
        <v>11</v>
      </c>
      <c r="K13" s="1243">
        <f>+J13+1</f>
        <v>12</v>
      </c>
      <c r="L13" s="1243">
        <v>1</v>
      </c>
      <c r="M13" s="1243">
        <f t="shared" ref="M13:R13" si="1">+L13+1</f>
        <v>2</v>
      </c>
      <c r="N13" s="1243">
        <f t="shared" si="1"/>
        <v>3</v>
      </c>
      <c r="O13" s="1243">
        <f t="shared" si="1"/>
        <v>4</v>
      </c>
      <c r="P13" s="1243">
        <f t="shared" si="1"/>
        <v>5</v>
      </c>
      <c r="Q13" s="1243">
        <f t="shared" si="1"/>
        <v>6</v>
      </c>
      <c r="R13" s="1243">
        <f t="shared" si="1"/>
        <v>7</v>
      </c>
      <c r="U13" s="1278"/>
      <c r="W13" s="50"/>
      <c r="X13" s="50"/>
      <c r="Y13" s="50"/>
      <c r="Z13" s="50"/>
      <c r="AA13" s="50"/>
      <c r="AB13" s="50"/>
      <c r="AC13" s="50"/>
      <c r="AD13" s="50"/>
      <c r="AE13" s="50"/>
      <c r="AF13" s="50"/>
      <c r="AG13" s="50"/>
      <c r="AH13" s="50"/>
      <c r="AI13" s="50"/>
      <c r="AJ13" s="50"/>
      <c r="AK13" s="50"/>
      <c r="AL13" s="50"/>
      <c r="AM13" s="50"/>
      <c r="AN13" s="50"/>
      <c r="AO13" s="50"/>
    </row>
    <row r="14" spans="1:41" x14ac:dyDescent="0.25">
      <c r="B14" s="13"/>
      <c r="C14" s="1240"/>
      <c r="D14" s="1241"/>
      <c r="E14" s="1242" t="s">
        <v>489</v>
      </c>
      <c r="F14" s="1244">
        <f t="shared" ref="F14:K14" si="2">DATE($E$12-1,F13,1)</f>
        <v>45839</v>
      </c>
      <c r="G14" s="1244">
        <f t="shared" si="2"/>
        <v>45870</v>
      </c>
      <c r="H14" s="1244">
        <f t="shared" si="2"/>
        <v>45901</v>
      </c>
      <c r="I14" s="1244">
        <f t="shared" si="2"/>
        <v>45931</v>
      </c>
      <c r="J14" s="1244">
        <f t="shared" si="2"/>
        <v>45962</v>
      </c>
      <c r="K14" s="1244">
        <f t="shared" si="2"/>
        <v>45992</v>
      </c>
      <c r="L14" s="1244">
        <f t="shared" ref="L14:R14" si="3">DATE($E$12,L13,1)</f>
        <v>46023</v>
      </c>
      <c r="M14" s="1244">
        <f t="shared" si="3"/>
        <v>46054</v>
      </c>
      <c r="N14" s="1244">
        <f t="shared" si="3"/>
        <v>46082</v>
      </c>
      <c r="O14" s="1244">
        <f t="shared" si="3"/>
        <v>46113</v>
      </c>
      <c r="P14" s="1244">
        <f t="shared" si="3"/>
        <v>46143</v>
      </c>
      <c r="Q14" s="1244">
        <f t="shared" ref="Q14" si="4">DATE($E$12,Q13,1)</f>
        <v>46174</v>
      </c>
      <c r="R14" s="1244">
        <f t="shared" si="3"/>
        <v>46204</v>
      </c>
      <c r="U14" s="1278"/>
      <c r="W14" s="50"/>
      <c r="X14" s="50"/>
      <c r="Y14" s="50"/>
      <c r="Z14" s="50"/>
      <c r="AA14" s="50"/>
      <c r="AB14" s="50"/>
      <c r="AC14" s="50"/>
      <c r="AD14" s="50"/>
      <c r="AE14" s="50"/>
      <c r="AF14" s="50"/>
      <c r="AG14" s="50"/>
      <c r="AH14" s="50"/>
      <c r="AI14" s="50"/>
      <c r="AJ14" s="50"/>
      <c r="AK14" s="50"/>
      <c r="AL14" s="50"/>
      <c r="AM14" s="50"/>
      <c r="AN14" s="50"/>
      <c r="AO14" s="50"/>
    </row>
    <row r="15" spans="1:41" x14ac:dyDescent="0.25">
      <c r="B15" s="13"/>
      <c r="C15" s="1240"/>
      <c r="D15" s="1241"/>
      <c r="E15" s="1245" t="s">
        <v>490</v>
      </c>
      <c r="F15" s="1554">
        <f t="shared" ref="F15:Q15" si="5">+G14-F14</f>
        <v>31</v>
      </c>
      <c r="G15" s="1554">
        <f t="shared" si="5"/>
        <v>31</v>
      </c>
      <c r="H15" s="1554">
        <f t="shared" si="5"/>
        <v>30</v>
      </c>
      <c r="I15" s="1554">
        <f t="shared" si="5"/>
        <v>31</v>
      </c>
      <c r="J15" s="1554">
        <f t="shared" si="5"/>
        <v>30</v>
      </c>
      <c r="K15" s="1554">
        <f t="shared" si="5"/>
        <v>31</v>
      </c>
      <c r="L15" s="1554">
        <f t="shared" si="5"/>
        <v>31</v>
      </c>
      <c r="M15" s="1554">
        <f t="shared" si="5"/>
        <v>28</v>
      </c>
      <c r="N15" s="1554">
        <f t="shared" si="5"/>
        <v>31</v>
      </c>
      <c r="O15" s="1554">
        <f t="shared" si="5"/>
        <v>30</v>
      </c>
      <c r="P15" s="1554">
        <f t="shared" si="5"/>
        <v>31</v>
      </c>
      <c r="Q15" s="1554">
        <f t="shared" si="5"/>
        <v>30</v>
      </c>
      <c r="R15" s="1554">
        <f>DATE($E$12,7,1)-R14</f>
        <v>0</v>
      </c>
      <c r="U15" s="1278"/>
      <c r="W15" s="50"/>
      <c r="X15" s="50"/>
      <c r="Y15" s="50"/>
      <c r="Z15" s="50"/>
      <c r="AA15" s="50"/>
      <c r="AB15" s="50"/>
      <c r="AC15" s="50"/>
      <c r="AD15" s="50"/>
      <c r="AE15" s="50"/>
      <c r="AF15" s="50"/>
      <c r="AG15" s="50"/>
      <c r="AH15" s="50"/>
      <c r="AI15" s="50"/>
      <c r="AJ15" s="50"/>
      <c r="AK15" s="50"/>
      <c r="AL15" s="50"/>
      <c r="AM15" s="50"/>
      <c r="AN15" s="50"/>
      <c r="AO15" s="50"/>
    </row>
    <row r="16" spans="1:41" x14ac:dyDescent="0.25">
      <c r="A16" s="346">
        <f>ROW()</f>
        <v>16</v>
      </c>
      <c r="B16" s="829" t="s">
        <v>491</v>
      </c>
      <c r="C16" s="829"/>
      <c r="D16" s="829"/>
      <c r="E16" s="830"/>
      <c r="F16" s="831"/>
      <c r="G16" s="831"/>
      <c r="H16" s="831"/>
      <c r="I16" s="831"/>
      <c r="J16" s="831"/>
      <c r="K16" s="831"/>
      <c r="L16" s="831"/>
      <c r="M16" s="831"/>
      <c r="N16" s="831"/>
      <c r="O16" s="831"/>
      <c r="P16" s="831"/>
      <c r="Q16" s="831"/>
      <c r="R16" s="831"/>
      <c r="W16" s="50"/>
      <c r="X16" s="50"/>
      <c r="Y16" s="50"/>
      <c r="Z16" s="50"/>
      <c r="AA16" s="50"/>
      <c r="AB16" s="50"/>
      <c r="AC16" s="50"/>
      <c r="AD16" s="50"/>
      <c r="AE16" s="50"/>
      <c r="AF16" s="50"/>
      <c r="AG16" s="50"/>
      <c r="AH16" s="50"/>
      <c r="AI16" s="50"/>
      <c r="AJ16" s="50"/>
      <c r="AK16" s="50"/>
      <c r="AL16" s="50"/>
      <c r="AM16" s="50"/>
      <c r="AN16" s="50"/>
      <c r="AO16" s="50"/>
    </row>
    <row r="17" spans="1:41" x14ac:dyDescent="0.25">
      <c r="A17" s="346">
        <f>ROW()</f>
        <v>17</v>
      </c>
      <c r="B17" s="864" t="s">
        <v>492</v>
      </c>
      <c r="C17" s="826">
        <f>' Enrol &amp; Rev'!G119</f>
        <v>23485596.18</v>
      </c>
      <c r="D17" s="826">
        <f>+C17-E17</f>
        <v>0</v>
      </c>
      <c r="E17" s="826">
        <f>SUM(F17:R17)</f>
        <v>23485596.180000003</v>
      </c>
      <c r="F17" s="1551"/>
      <c r="G17" s="828">
        <f t="shared" ref="G17:R17" si="6">$C$17/12</f>
        <v>1957133.0149999999</v>
      </c>
      <c r="H17" s="828">
        <f t="shared" si="6"/>
        <v>1957133.0149999999</v>
      </c>
      <c r="I17" s="827">
        <f t="shared" si="6"/>
        <v>1957133.0149999999</v>
      </c>
      <c r="J17" s="828">
        <f t="shared" si="6"/>
        <v>1957133.0149999999</v>
      </c>
      <c r="K17" s="828">
        <f t="shared" si="6"/>
        <v>1957133.0149999999</v>
      </c>
      <c r="L17" s="828">
        <f t="shared" si="6"/>
        <v>1957133.0149999999</v>
      </c>
      <c r="M17" s="828">
        <f t="shared" si="6"/>
        <v>1957133.0149999999</v>
      </c>
      <c r="N17" s="828">
        <f t="shared" si="6"/>
        <v>1957133.0149999999</v>
      </c>
      <c r="O17" s="828">
        <f t="shared" si="6"/>
        <v>1957133.0149999999</v>
      </c>
      <c r="P17" s="828">
        <f t="shared" si="6"/>
        <v>1957133.0149999999</v>
      </c>
      <c r="Q17" s="828">
        <f t="shared" si="6"/>
        <v>1957133.0149999999</v>
      </c>
      <c r="R17" s="828">
        <f t="shared" si="6"/>
        <v>1957133.0149999999</v>
      </c>
      <c r="S17" s="307"/>
      <c r="T17" s="307"/>
      <c r="U17" s="343" t="s">
        <v>493</v>
      </c>
      <c r="W17" s="50"/>
      <c r="X17" s="50"/>
      <c r="Y17" s="50"/>
      <c r="Z17" s="50"/>
      <c r="AA17" s="50"/>
      <c r="AB17" s="50"/>
      <c r="AC17" s="50"/>
      <c r="AD17" s="50"/>
      <c r="AE17" s="50"/>
      <c r="AF17" s="50"/>
      <c r="AG17" s="50"/>
      <c r="AH17" s="50"/>
      <c r="AI17" s="50"/>
      <c r="AJ17" s="50"/>
      <c r="AK17" s="50"/>
      <c r="AL17" s="50"/>
      <c r="AM17" s="50"/>
      <c r="AN17" s="50"/>
      <c r="AO17" s="50"/>
    </row>
    <row r="18" spans="1:41" x14ac:dyDescent="0.25">
      <c r="A18" s="346">
        <f>ROW()</f>
        <v>18</v>
      </c>
      <c r="B18" s="865" t="s">
        <v>494</v>
      </c>
      <c r="C18" s="531">
        <f>' Enrol &amp; Rev'!G120</f>
        <v>-251167.68522000001</v>
      </c>
      <c r="D18" s="531">
        <f t="shared" ref="D18:D34" si="7">+C18-E18</f>
        <v>0</v>
      </c>
      <c r="E18" s="531">
        <f>SUM(F18:R18)</f>
        <v>-251167.68522000007</v>
      </c>
      <c r="F18" s="1552">
        <f>-0.0125*F17</f>
        <v>0</v>
      </c>
      <c r="G18" s="532">
        <f>C18/12</f>
        <v>-20930.640435000001</v>
      </c>
      <c r="H18" s="532">
        <f>G18</f>
        <v>-20930.640435000001</v>
      </c>
      <c r="I18" s="532">
        <f t="shared" ref="I18:R18" si="8">H18</f>
        <v>-20930.640435000001</v>
      </c>
      <c r="J18" s="532">
        <f t="shared" si="8"/>
        <v>-20930.640435000001</v>
      </c>
      <c r="K18" s="532">
        <f t="shared" si="8"/>
        <v>-20930.640435000001</v>
      </c>
      <c r="L18" s="532">
        <f t="shared" si="8"/>
        <v>-20930.640435000001</v>
      </c>
      <c r="M18" s="532">
        <f t="shared" si="8"/>
        <v>-20930.640435000001</v>
      </c>
      <c r="N18" s="532">
        <f t="shared" si="8"/>
        <v>-20930.640435000001</v>
      </c>
      <c r="O18" s="532">
        <f t="shared" si="8"/>
        <v>-20930.640435000001</v>
      </c>
      <c r="P18" s="532">
        <f t="shared" si="8"/>
        <v>-20930.640435000001</v>
      </c>
      <c r="Q18" s="532">
        <f t="shared" si="8"/>
        <v>-20930.640435000001</v>
      </c>
      <c r="R18" s="532">
        <f t="shared" si="8"/>
        <v>-20930.640435000001</v>
      </c>
      <c r="S18" s="307"/>
      <c r="T18" s="307"/>
      <c r="U18" s="343" t="s">
        <v>495</v>
      </c>
      <c r="W18" s="50"/>
      <c r="X18" s="50"/>
      <c r="Y18" s="50"/>
      <c r="Z18" s="50"/>
      <c r="AA18" s="50"/>
      <c r="AB18" s="50"/>
      <c r="AC18" s="50"/>
      <c r="AD18" s="50"/>
      <c r="AE18" s="50"/>
      <c r="AF18" s="50"/>
      <c r="AG18" s="50"/>
      <c r="AH18" s="50"/>
      <c r="AI18" s="50"/>
      <c r="AJ18" s="50"/>
      <c r="AK18" s="50"/>
      <c r="AL18" s="50"/>
      <c r="AM18" s="50"/>
      <c r="AN18" s="50"/>
      <c r="AO18" s="50"/>
    </row>
    <row r="19" spans="1:41" x14ac:dyDescent="0.25">
      <c r="A19" s="346">
        <f>ROW()</f>
        <v>19</v>
      </c>
      <c r="B19" s="865" t="s">
        <v>161</v>
      </c>
      <c r="C19" s="531">
        <f>' Enrol &amp; Rev'!G125</f>
        <v>0</v>
      </c>
      <c r="D19" s="531">
        <f t="shared" si="7"/>
        <v>0</v>
      </c>
      <c r="E19" s="531">
        <f>SUM(F19:R19)</f>
        <v>0</v>
      </c>
      <c r="F19" s="532"/>
      <c r="G19" s="532"/>
      <c r="H19" s="532"/>
      <c r="I19" s="532"/>
      <c r="J19" s="532"/>
      <c r="K19" s="532"/>
      <c r="L19" s="532"/>
      <c r="M19" s="532"/>
      <c r="N19" s="532"/>
      <c r="O19" s="532"/>
      <c r="P19" s="532"/>
      <c r="Q19" s="532"/>
      <c r="R19" s="1552">
        <v>0</v>
      </c>
      <c r="S19" s="307"/>
      <c r="T19" s="307"/>
      <c r="U19" s="343" t="s">
        <v>496</v>
      </c>
      <c r="W19" s="50"/>
      <c r="X19" s="50"/>
      <c r="Y19" s="50"/>
      <c r="Z19" s="50"/>
      <c r="AA19" s="50"/>
      <c r="AB19" s="50"/>
      <c r="AC19" s="50"/>
      <c r="AD19" s="50"/>
      <c r="AE19" s="50"/>
      <c r="AF19" s="50"/>
      <c r="AG19" s="50"/>
      <c r="AH19" s="50"/>
      <c r="AI19" s="50"/>
      <c r="AJ19" s="50"/>
      <c r="AK19" s="50"/>
      <c r="AL19" s="50"/>
      <c r="AM19" s="50"/>
      <c r="AN19" s="50"/>
      <c r="AO19" s="50"/>
    </row>
    <row r="20" spans="1:41" x14ac:dyDescent="0.25">
      <c r="A20" s="346">
        <f>ROW()</f>
        <v>20</v>
      </c>
      <c r="B20" s="865" t="s">
        <v>162</v>
      </c>
      <c r="C20" s="531">
        <f>' Enrol &amp; Rev'!G126</f>
        <v>8120.07</v>
      </c>
      <c r="D20" s="531">
        <f t="shared" si="7"/>
        <v>6.9999999999708962E-2</v>
      </c>
      <c r="E20" s="531">
        <f>SUM(F20:R20)</f>
        <v>8120</v>
      </c>
      <c r="F20" s="532"/>
      <c r="G20" s="532"/>
      <c r="H20" s="532">
        <v>0</v>
      </c>
      <c r="I20" s="532"/>
      <c r="J20" s="532"/>
      <c r="K20" s="532"/>
      <c r="L20" s="532"/>
      <c r="M20" s="532"/>
      <c r="N20" s="532"/>
      <c r="O20" s="532"/>
      <c r="P20" s="532"/>
      <c r="Q20" s="532">
        <v>8120</v>
      </c>
      <c r="R20" s="1552">
        <v>0</v>
      </c>
      <c r="S20" s="307"/>
      <c r="T20" s="307"/>
      <c r="U20" s="343" t="s">
        <v>497</v>
      </c>
      <c r="W20" s="50"/>
      <c r="X20" s="50"/>
      <c r="Y20" s="50"/>
      <c r="Z20" s="50"/>
      <c r="AA20" s="50"/>
      <c r="AB20" s="50"/>
      <c r="AC20" s="50"/>
      <c r="AD20" s="50"/>
      <c r="AE20" s="50"/>
      <c r="AF20" s="50"/>
      <c r="AG20" s="50"/>
      <c r="AH20" s="50"/>
      <c r="AI20" s="50"/>
      <c r="AJ20" s="50"/>
      <c r="AK20" s="50"/>
      <c r="AL20" s="50"/>
      <c r="AM20" s="50"/>
      <c r="AN20" s="50"/>
      <c r="AO20" s="50"/>
    </row>
    <row r="21" spans="1:41" x14ac:dyDescent="0.25">
      <c r="A21" s="346">
        <f>ROW()</f>
        <v>21</v>
      </c>
      <c r="B21" s="865" t="s">
        <v>162</v>
      </c>
      <c r="C21" s="531">
        <f>' Enrol &amp; Rev'!G127</f>
        <v>0</v>
      </c>
      <c r="D21" s="531">
        <f t="shared" ref="D21" si="9">+C21-E21</f>
        <v>0</v>
      </c>
      <c r="E21" s="531">
        <f>SUM(F21:R21)</f>
        <v>0</v>
      </c>
      <c r="F21" s="532"/>
      <c r="G21" s="532"/>
      <c r="H21" s="532">
        <v>0</v>
      </c>
      <c r="I21" s="532"/>
      <c r="J21" s="532"/>
      <c r="K21" s="532"/>
      <c r="L21" s="532"/>
      <c r="M21" s="532"/>
      <c r="N21" s="532"/>
      <c r="O21" s="532"/>
      <c r="P21" s="532"/>
      <c r="Q21" s="532"/>
      <c r="R21" s="1552">
        <v>0</v>
      </c>
      <c r="S21" s="307"/>
      <c r="T21" s="307"/>
      <c r="U21" s="343" t="s">
        <v>498</v>
      </c>
      <c r="W21" s="50"/>
      <c r="X21" s="50"/>
      <c r="Y21" s="50"/>
      <c r="Z21" s="50"/>
      <c r="AA21" s="50"/>
      <c r="AB21" s="50"/>
      <c r="AC21" s="50"/>
      <c r="AD21" s="50"/>
      <c r="AE21" s="50"/>
      <c r="AF21" s="50"/>
      <c r="AG21" s="50"/>
      <c r="AH21" s="50"/>
      <c r="AI21" s="50"/>
      <c r="AJ21" s="50"/>
      <c r="AK21" s="50"/>
      <c r="AL21" s="50"/>
      <c r="AM21" s="50"/>
      <c r="AN21" s="50"/>
      <c r="AO21" s="50"/>
    </row>
    <row r="22" spans="1:41" x14ac:dyDescent="0.25">
      <c r="A22" s="346">
        <f>ROW()</f>
        <v>22</v>
      </c>
      <c r="B22" s="865" t="s">
        <v>163</v>
      </c>
      <c r="C22" s="531">
        <f>' Enrol &amp; Rev'!G128</f>
        <v>0</v>
      </c>
      <c r="D22" s="531">
        <f t="shared" si="7"/>
        <v>0</v>
      </c>
      <c r="E22" s="531">
        <f t="shared" ref="E22:E33" si="10">SUM(F22:R22)</f>
        <v>0</v>
      </c>
      <c r="F22" s="532"/>
      <c r="G22" s="532">
        <v>0</v>
      </c>
      <c r="H22" s="532">
        <v>0</v>
      </c>
      <c r="I22" s="532">
        <v>0</v>
      </c>
      <c r="J22" s="532">
        <v>0</v>
      </c>
      <c r="K22" s="532">
        <v>0</v>
      </c>
      <c r="L22" s="532">
        <v>0</v>
      </c>
      <c r="M22" s="532">
        <v>0</v>
      </c>
      <c r="N22" s="532"/>
      <c r="O22" s="532"/>
      <c r="P22" s="532"/>
      <c r="Q22" s="532"/>
      <c r="R22" s="1552">
        <v>0</v>
      </c>
      <c r="S22" s="307"/>
      <c r="T22" s="307"/>
      <c r="U22" s="343" t="s">
        <v>499</v>
      </c>
      <c r="W22" s="50"/>
      <c r="X22" s="50"/>
      <c r="Y22" s="50"/>
      <c r="Z22" s="50"/>
      <c r="AA22" s="50"/>
      <c r="AB22" s="50"/>
      <c r="AC22" s="50"/>
      <c r="AD22" s="50"/>
      <c r="AE22" s="50"/>
      <c r="AF22" s="50"/>
      <c r="AG22" s="50"/>
      <c r="AH22" s="50"/>
      <c r="AI22" s="50"/>
      <c r="AJ22" s="50"/>
      <c r="AK22" s="50"/>
      <c r="AL22" s="50"/>
      <c r="AM22" s="50"/>
      <c r="AN22" s="50"/>
      <c r="AO22" s="50"/>
    </row>
    <row r="23" spans="1:41" x14ac:dyDescent="0.25">
      <c r="A23" s="346">
        <f>ROW()</f>
        <v>23</v>
      </c>
      <c r="B23" s="865" t="s">
        <v>165</v>
      </c>
      <c r="C23" s="531">
        <f>' Enrol &amp; Rev'!G130</f>
        <v>0</v>
      </c>
      <c r="D23" s="531">
        <f t="shared" si="7"/>
        <v>0</v>
      </c>
      <c r="E23" s="531">
        <f t="shared" si="10"/>
        <v>0</v>
      </c>
      <c r="F23" s="533"/>
      <c r="G23" s="532">
        <v>0</v>
      </c>
      <c r="H23" s="532">
        <v>0</v>
      </c>
      <c r="I23" s="532">
        <v>0</v>
      </c>
      <c r="J23" s="532">
        <v>0</v>
      </c>
      <c r="K23" s="532">
        <v>0</v>
      </c>
      <c r="L23" s="532">
        <v>0</v>
      </c>
      <c r="M23" s="532">
        <v>0</v>
      </c>
      <c r="N23" s="532"/>
      <c r="O23" s="532"/>
      <c r="P23" s="532"/>
      <c r="Q23" s="532"/>
      <c r="R23" s="1552">
        <v>0</v>
      </c>
      <c r="S23" s="307"/>
      <c r="T23" s="307"/>
      <c r="U23" s="343"/>
      <c r="W23" s="50"/>
      <c r="X23" s="50"/>
      <c r="Y23" s="50"/>
      <c r="Z23" s="50"/>
      <c r="AA23" s="50"/>
      <c r="AB23" s="50"/>
      <c r="AC23" s="50"/>
      <c r="AD23" s="50"/>
      <c r="AE23" s="50"/>
      <c r="AF23" s="50"/>
      <c r="AG23" s="50"/>
      <c r="AH23" s="50"/>
      <c r="AI23" s="50"/>
      <c r="AJ23" s="50"/>
      <c r="AK23" s="50"/>
      <c r="AL23" s="50"/>
      <c r="AM23" s="50"/>
      <c r="AN23" s="50"/>
      <c r="AO23" s="50"/>
    </row>
    <row r="24" spans="1:41" x14ac:dyDescent="0.25">
      <c r="A24" s="346">
        <f>ROW()</f>
        <v>24</v>
      </c>
      <c r="B24" s="865" t="s">
        <v>166</v>
      </c>
      <c r="C24" s="531">
        <f>' Enrol &amp; Rev'!G131</f>
        <v>0</v>
      </c>
      <c r="D24" s="531">
        <f t="shared" si="7"/>
        <v>0</v>
      </c>
      <c r="E24" s="531">
        <f t="shared" si="10"/>
        <v>0</v>
      </c>
      <c r="F24" s="533"/>
      <c r="G24" s="532">
        <v>0</v>
      </c>
      <c r="H24" s="532">
        <v>0</v>
      </c>
      <c r="I24" s="532">
        <v>0</v>
      </c>
      <c r="J24" s="532">
        <v>0</v>
      </c>
      <c r="K24" s="532">
        <v>0</v>
      </c>
      <c r="L24" s="532">
        <v>0</v>
      </c>
      <c r="M24" s="532">
        <v>0</v>
      </c>
      <c r="N24" s="532">
        <v>0</v>
      </c>
      <c r="O24" s="532">
        <v>0</v>
      </c>
      <c r="P24" s="532">
        <v>0</v>
      </c>
      <c r="Q24" s="532"/>
      <c r="R24" s="1552">
        <v>0</v>
      </c>
      <c r="S24" s="307"/>
      <c r="T24" s="307"/>
      <c r="U24" s="1553"/>
      <c r="W24" s="50"/>
      <c r="X24" s="50"/>
      <c r="Y24" s="50"/>
      <c r="Z24" s="50"/>
      <c r="AA24" s="50"/>
      <c r="AB24" s="50"/>
      <c r="AC24" s="50"/>
      <c r="AD24" s="50"/>
      <c r="AE24" s="50"/>
      <c r="AF24" s="50"/>
      <c r="AG24" s="50"/>
      <c r="AH24" s="50"/>
      <c r="AI24" s="50"/>
      <c r="AJ24" s="50"/>
      <c r="AK24" s="50"/>
      <c r="AL24" s="50"/>
      <c r="AM24" s="50"/>
      <c r="AN24" s="50"/>
      <c r="AO24" s="50"/>
    </row>
    <row r="25" spans="1:41" x14ac:dyDescent="0.25">
      <c r="A25" s="346">
        <f>ROW()</f>
        <v>25</v>
      </c>
      <c r="B25" s="865" t="s">
        <v>167</v>
      </c>
      <c r="C25" s="531">
        <f>' Enrol &amp; Rev'!G132</f>
        <v>399528.32418000005</v>
      </c>
      <c r="D25" s="531">
        <f t="shared" si="7"/>
        <v>0</v>
      </c>
      <c r="E25" s="531">
        <f t="shared" si="10"/>
        <v>399528.32418000005</v>
      </c>
      <c r="F25" s="533"/>
      <c r="G25" s="532"/>
      <c r="H25" s="532">
        <v>0</v>
      </c>
      <c r="I25" s="532"/>
      <c r="J25" s="533">
        <f>0.5*C25</f>
        <v>199764.16209000003</v>
      </c>
      <c r="K25" s="532"/>
      <c r="L25" s="532"/>
      <c r="M25" s="532">
        <f>J25/2</f>
        <v>99882.081045000014</v>
      </c>
      <c r="N25" s="533"/>
      <c r="O25" s="532">
        <f>M25</f>
        <v>99882.081045000014</v>
      </c>
      <c r="P25" s="532"/>
      <c r="Q25" s="532"/>
      <c r="R25" s="1552">
        <v>0</v>
      </c>
      <c r="S25" s="307"/>
      <c r="T25" s="307"/>
      <c r="U25" s="1553"/>
      <c r="W25" s="50"/>
      <c r="X25" s="50"/>
      <c r="Y25" s="50"/>
      <c r="Z25" s="50"/>
      <c r="AA25" s="50"/>
      <c r="AB25" s="50"/>
      <c r="AC25" s="50"/>
      <c r="AD25" s="50"/>
      <c r="AE25" s="50"/>
      <c r="AF25" s="50"/>
      <c r="AG25" s="50"/>
      <c r="AH25" s="50"/>
      <c r="AI25" s="50"/>
      <c r="AJ25" s="50"/>
      <c r="AK25" s="50"/>
      <c r="AL25" s="50"/>
      <c r="AM25" s="50"/>
      <c r="AN25" s="50"/>
      <c r="AO25" s="50"/>
    </row>
    <row r="26" spans="1:41" x14ac:dyDescent="0.25">
      <c r="A26" s="346">
        <f>ROW()</f>
        <v>26</v>
      </c>
      <c r="B26" s="865" t="s">
        <v>500</v>
      </c>
      <c r="C26" s="531">
        <f>+' Enrol &amp; Rev'!G115</f>
        <v>422217.9</v>
      </c>
      <c r="D26" s="531">
        <f t="shared" si="7"/>
        <v>-2689782.1000000006</v>
      </c>
      <c r="E26" s="531">
        <f t="shared" si="10"/>
        <v>3112000.0000000005</v>
      </c>
      <c r="F26" s="533">
        <f>0 +(2206000+906000)/12</f>
        <v>259333.33333333334</v>
      </c>
      <c r="G26" s="532">
        <f>F26</f>
        <v>259333.33333333334</v>
      </c>
      <c r="H26" s="532">
        <f t="shared" ref="H26:Q26" si="11">G26</f>
        <v>259333.33333333334</v>
      </c>
      <c r="I26" s="532">
        <f t="shared" si="11"/>
        <v>259333.33333333334</v>
      </c>
      <c r="J26" s="533">
        <f t="shared" si="11"/>
        <v>259333.33333333334</v>
      </c>
      <c r="K26" s="532">
        <f t="shared" si="11"/>
        <v>259333.33333333334</v>
      </c>
      <c r="L26" s="532">
        <f t="shared" si="11"/>
        <v>259333.33333333334</v>
      </c>
      <c r="M26" s="532">
        <f t="shared" si="11"/>
        <v>259333.33333333334</v>
      </c>
      <c r="N26" s="533">
        <f t="shared" si="11"/>
        <v>259333.33333333334</v>
      </c>
      <c r="O26" s="532">
        <f t="shared" si="11"/>
        <v>259333.33333333334</v>
      </c>
      <c r="P26" s="532">
        <f t="shared" si="11"/>
        <v>259333.33333333334</v>
      </c>
      <c r="Q26" s="532">
        <f t="shared" si="11"/>
        <v>259333.33333333334</v>
      </c>
      <c r="R26" s="1552">
        <v>0</v>
      </c>
      <c r="S26" s="307"/>
      <c r="T26" s="307"/>
      <c r="U26" s="1553" t="s">
        <v>1573</v>
      </c>
      <c r="W26" s="50"/>
      <c r="X26" s="50"/>
      <c r="Y26" s="50"/>
      <c r="Z26" s="50"/>
      <c r="AA26" s="50"/>
      <c r="AB26" s="50"/>
      <c r="AC26" s="50"/>
      <c r="AD26" s="50"/>
      <c r="AE26" s="50"/>
      <c r="AF26" s="50"/>
      <c r="AG26" s="50"/>
      <c r="AH26" s="50"/>
      <c r="AI26" s="50"/>
      <c r="AJ26" s="50"/>
      <c r="AK26" s="50"/>
      <c r="AL26" s="50"/>
      <c r="AM26" s="50"/>
      <c r="AN26" s="50"/>
      <c r="AO26" s="50"/>
    </row>
    <row r="27" spans="1:41" x14ac:dyDescent="0.25">
      <c r="A27" s="346">
        <f>ROW()</f>
        <v>27</v>
      </c>
      <c r="B27" s="865" t="s">
        <v>501</v>
      </c>
      <c r="C27" s="531">
        <f>' Enrol &amp; Rev'!G133</f>
        <v>0</v>
      </c>
      <c r="D27" s="531">
        <f t="shared" si="7"/>
        <v>0</v>
      </c>
      <c r="E27" s="531">
        <f t="shared" si="10"/>
        <v>0</v>
      </c>
      <c r="F27" s="533"/>
      <c r="G27" s="532"/>
      <c r="H27" s="532"/>
      <c r="I27" s="532"/>
      <c r="J27" s="533"/>
      <c r="K27" s="532"/>
      <c r="L27" s="532"/>
      <c r="M27" s="532"/>
      <c r="N27" s="533"/>
      <c r="O27" s="532"/>
      <c r="P27" s="532"/>
      <c r="Q27" s="532"/>
      <c r="R27" s="1552">
        <v>0</v>
      </c>
      <c r="S27" s="307"/>
      <c r="T27" s="307"/>
      <c r="U27" s="343"/>
      <c r="W27" s="50"/>
      <c r="X27" s="50"/>
      <c r="Y27" s="50"/>
      <c r="Z27" s="50"/>
      <c r="AA27" s="50"/>
      <c r="AB27" s="50"/>
      <c r="AC27" s="50"/>
      <c r="AD27" s="50"/>
      <c r="AE27" s="50"/>
      <c r="AF27" s="50"/>
      <c r="AG27" s="50"/>
      <c r="AH27" s="50"/>
      <c r="AI27" s="50"/>
      <c r="AJ27" s="50"/>
      <c r="AK27" s="50"/>
      <c r="AL27" s="50"/>
      <c r="AM27" s="50"/>
      <c r="AN27" s="50"/>
      <c r="AO27" s="50"/>
    </row>
    <row r="28" spans="1:41" x14ac:dyDescent="0.25">
      <c r="A28" s="346">
        <f>ROW()</f>
        <v>28</v>
      </c>
      <c r="B28" s="865" t="s">
        <v>502</v>
      </c>
      <c r="C28" s="531">
        <f>' Enrol &amp; Rev'!G135</f>
        <v>0</v>
      </c>
      <c r="D28" s="531">
        <f t="shared" si="7"/>
        <v>0</v>
      </c>
      <c r="E28" s="531">
        <f t="shared" si="10"/>
        <v>0</v>
      </c>
      <c r="F28" s="533"/>
      <c r="G28" s="532"/>
      <c r="H28" s="532"/>
      <c r="I28" s="532"/>
      <c r="J28" s="533"/>
      <c r="K28" s="532"/>
      <c r="L28" s="532"/>
      <c r="M28" s="532"/>
      <c r="N28" s="533"/>
      <c r="O28" s="532"/>
      <c r="P28" s="532"/>
      <c r="Q28" s="532"/>
      <c r="R28" s="1552">
        <v>0</v>
      </c>
      <c r="S28" s="307"/>
      <c r="T28" s="307"/>
      <c r="U28" s="343"/>
      <c r="W28" s="50"/>
      <c r="X28" s="50"/>
      <c r="Y28" s="50"/>
      <c r="Z28" s="50"/>
      <c r="AA28" s="50"/>
      <c r="AB28" s="50"/>
      <c r="AC28" s="50"/>
      <c r="AD28" s="50"/>
      <c r="AE28" s="50"/>
      <c r="AF28" s="50"/>
      <c r="AG28" s="50"/>
      <c r="AH28" s="50"/>
      <c r="AI28" s="50"/>
      <c r="AJ28" s="50"/>
      <c r="AK28" s="50"/>
      <c r="AL28" s="50"/>
      <c r="AM28" s="50"/>
      <c r="AN28" s="50"/>
      <c r="AO28" s="50"/>
    </row>
    <row r="29" spans="1:41" x14ac:dyDescent="0.25">
      <c r="A29" s="346">
        <f>ROW()</f>
        <v>29</v>
      </c>
      <c r="B29" s="865" t="s">
        <v>176</v>
      </c>
      <c r="C29" s="531">
        <f>' Enrol &amp; Rev'!G136</f>
        <v>0</v>
      </c>
      <c r="D29" s="531">
        <f t="shared" si="7"/>
        <v>0</v>
      </c>
      <c r="E29" s="531">
        <f t="shared" si="10"/>
        <v>0</v>
      </c>
      <c r="F29" s="533"/>
      <c r="G29" s="532"/>
      <c r="H29" s="532"/>
      <c r="I29" s="532"/>
      <c r="J29" s="533"/>
      <c r="K29" s="532"/>
      <c r="L29" s="532"/>
      <c r="M29" s="532"/>
      <c r="N29" s="533"/>
      <c r="O29" s="532"/>
      <c r="P29" s="532"/>
      <c r="Q29" s="532"/>
      <c r="R29" s="1552">
        <v>0</v>
      </c>
      <c r="S29" s="307"/>
      <c r="T29" s="307"/>
      <c r="U29" s="343"/>
      <c r="W29" s="50"/>
      <c r="X29" s="50"/>
      <c r="Y29" s="50"/>
      <c r="Z29" s="50"/>
      <c r="AA29" s="50"/>
      <c r="AB29" s="50"/>
      <c r="AC29" s="50"/>
      <c r="AD29" s="50"/>
      <c r="AE29" s="50"/>
      <c r="AF29" s="50"/>
      <c r="AG29" s="50"/>
      <c r="AH29" s="50"/>
      <c r="AI29" s="50"/>
      <c r="AJ29" s="50"/>
      <c r="AK29" s="50"/>
      <c r="AL29" s="50"/>
      <c r="AM29" s="50"/>
      <c r="AN29" s="50"/>
      <c r="AO29" s="50"/>
    </row>
    <row r="30" spans="1:41" x14ac:dyDescent="0.25">
      <c r="A30" s="346">
        <f>ROW()</f>
        <v>30</v>
      </c>
      <c r="B30" s="865" t="s">
        <v>503</v>
      </c>
      <c r="C30" s="531">
        <f>' Enrol &amp; Rev'!G137</f>
        <v>0</v>
      </c>
      <c r="D30" s="531">
        <f t="shared" si="7"/>
        <v>0</v>
      </c>
      <c r="E30" s="531">
        <f t="shared" si="10"/>
        <v>0</v>
      </c>
      <c r="F30" s="533"/>
      <c r="G30" s="532">
        <v>0</v>
      </c>
      <c r="H30" s="532">
        <v>0</v>
      </c>
      <c r="I30" s="532">
        <v>0</v>
      </c>
      <c r="J30" s="532">
        <v>0</v>
      </c>
      <c r="K30" s="532">
        <v>0</v>
      </c>
      <c r="L30" s="532">
        <v>0</v>
      </c>
      <c r="M30" s="532">
        <v>0</v>
      </c>
      <c r="N30" s="532">
        <v>0</v>
      </c>
      <c r="O30" s="532">
        <v>0</v>
      </c>
      <c r="P30" s="532">
        <v>0</v>
      </c>
      <c r="Q30" s="532"/>
      <c r="R30" s="1552">
        <v>0</v>
      </c>
      <c r="S30" s="307"/>
      <c r="T30" s="307"/>
      <c r="U30" s="343"/>
      <c r="W30" s="50"/>
      <c r="X30" s="50"/>
      <c r="Y30" s="50"/>
      <c r="Z30" s="50"/>
      <c r="AA30" s="50"/>
      <c r="AB30" s="50"/>
      <c r="AC30" s="50"/>
      <c r="AD30" s="50"/>
      <c r="AE30" s="50"/>
      <c r="AF30" s="50"/>
      <c r="AG30" s="50"/>
      <c r="AH30" s="50"/>
      <c r="AI30" s="50"/>
      <c r="AJ30" s="50"/>
      <c r="AK30" s="50"/>
      <c r="AL30" s="50"/>
      <c r="AM30" s="50"/>
      <c r="AN30" s="50"/>
      <c r="AO30" s="50"/>
    </row>
    <row r="31" spans="1:41" x14ac:dyDescent="0.25">
      <c r="A31" s="346">
        <f>ROW()</f>
        <v>31</v>
      </c>
      <c r="B31" s="865" t="s">
        <v>175</v>
      </c>
      <c r="C31" s="531">
        <f>' Enrol &amp; Rev'!G140</f>
        <v>233500</v>
      </c>
      <c r="D31" s="531">
        <f t="shared" si="7"/>
        <v>0</v>
      </c>
      <c r="E31" s="531">
        <f t="shared" si="10"/>
        <v>233500.00000000003</v>
      </c>
      <c r="F31" s="533">
        <f>C31/12</f>
        <v>19458.333333333332</v>
      </c>
      <c r="G31" s="532">
        <f>F31</f>
        <v>19458.333333333332</v>
      </c>
      <c r="H31" s="532">
        <f t="shared" ref="H31:Q31" si="12">G31</f>
        <v>19458.333333333332</v>
      </c>
      <c r="I31" s="532">
        <f t="shared" si="12"/>
        <v>19458.333333333332</v>
      </c>
      <c r="J31" s="533">
        <f t="shared" si="12"/>
        <v>19458.333333333332</v>
      </c>
      <c r="K31" s="532">
        <f t="shared" si="12"/>
        <v>19458.333333333332</v>
      </c>
      <c r="L31" s="532">
        <f t="shared" si="12"/>
        <v>19458.333333333332</v>
      </c>
      <c r="M31" s="532">
        <f t="shared" si="12"/>
        <v>19458.333333333332</v>
      </c>
      <c r="N31" s="533">
        <f t="shared" si="12"/>
        <v>19458.333333333332</v>
      </c>
      <c r="O31" s="532">
        <f t="shared" si="12"/>
        <v>19458.333333333332</v>
      </c>
      <c r="P31" s="532">
        <f t="shared" si="12"/>
        <v>19458.333333333332</v>
      </c>
      <c r="Q31" s="532">
        <f t="shared" si="12"/>
        <v>19458.333333333332</v>
      </c>
      <c r="R31" s="1552">
        <v>0</v>
      </c>
      <c r="S31" s="307"/>
      <c r="T31" s="307"/>
      <c r="U31" s="343"/>
      <c r="W31" s="50"/>
      <c r="X31" s="50"/>
      <c r="Y31" s="50"/>
      <c r="Z31" s="50"/>
      <c r="AA31" s="50"/>
      <c r="AB31" s="50"/>
      <c r="AC31" s="50"/>
      <c r="AD31" s="50"/>
      <c r="AE31" s="50"/>
      <c r="AF31" s="50"/>
      <c r="AG31" s="50"/>
      <c r="AH31" s="50"/>
      <c r="AI31" s="50"/>
      <c r="AJ31" s="50"/>
      <c r="AK31" s="50"/>
      <c r="AL31" s="50"/>
      <c r="AM31" s="50"/>
      <c r="AN31" s="50"/>
      <c r="AO31" s="50"/>
    </row>
    <row r="32" spans="1:41" x14ac:dyDescent="0.25">
      <c r="A32" s="346">
        <f>ROW()</f>
        <v>32</v>
      </c>
      <c r="B32" s="865" t="s">
        <v>504</v>
      </c>
      <c r="C32" s="531">
        <f>' Enrol &amp; Rev'!G141</f>
        <v>0</v>
      </c>
      <c r="D32" s="531">
        <f t="shared" si="7"/>
        <v>0</v>
      </c>
      <c r="E32" s="531">
        <f t="shared" si="10"/>
        <v>0</v>
      </c>
      <c r="F32" s="533"/>
      <c r="G32" s="532">
        <v>0</v>
      </c>
      <c r="H32" s="532">
        <v>0</v>
      </c>
      <c r="I32" s="532"/>
      <c r="J32" s="533"/>
      <c r="K32" s="532"/>
      <c r="L32" s="532"/>
      <c r="M32" s="532"/>
      <c r="N32" s="533"/>
      <c r="O32" s="532"/>
      <c r="P32" s="532"/>
      <c r="Q32" s="532"/>
      <c r="R32" s="1552">
        <v>0</v>
      </c>
      <c r="S32" s="307"/>
      <c r="T32" s="307"/>
      <c r="U32" s="343"/>
      <c r="W32" s="50"/>
      <c r="X32" s="50"/>
      <c r="Y32" s="50"/>
      <c r="Z32" s="50"/>
      <c r="AA32" s="50"/>
      <c r="AB32" s="50"/>
      <c r="AC32" s="50"/>
      <c r="AD32" s="50"/>
      <c r="AE32" s="50"/>
      <c r="AF32" s="50"/>
      <c r="AG32" s="50"/>
      <c r="AH32" s="50"/>
      <c r="AI32" s="50"/>
      <c r="AJ32" s="50"/>
      <c r="AK32" s="50"/>
      <c r="AL32" s="50"/>
      <c r="AM32" s="50"/>
      <c r="AN32" s="50"/>
      <c r="AO32" s="50"/>
    </row>
    <row r="33" spans="1:41" x14ac:dyDescent="0.25">
      <c r="A33" s="346">
        <f>ROW()</f>
        <v>33</v>
      </c>
      <c r="B33" s="866" t="s">
        <v>505</v>
      </c>
      <c r="C33" s="534">
        <f>+' Enrol &amp; Rev'!G142</f>
        <v>0</v>
      </c>
      <c r="D33" s="547">
        <f t="shared" si="7"/>
        <v>0</v>
      </c>
      <c r="E33" s="547">
        <f t="shared" si="10"/>
        <v>0</v>
      </c>
      <c r="F33" s="825">
        <v>0</v>
      </c>
      <c r="G33" s="548"/>
      <c r="H33" s="548"/>
      <c r="I33" s="548"/>
      <c r="J33" s="548"/>
      <c r="K33" s="548"/>
      <c r="L33" s="548">
        <v>0</v>
      </c>
      <c r="M33" s="548"/>
      <c r="N33" s="548"/>
      <c r="O33" s="548"/>
      <c r="P33" s="548"/>
      <c r="Q33" s="548"/>
      <c r="R33" s="1598">
        <v>0</v>
      </c>
      <c r="S33" s="307"/>
      <c r="T33" s="307"/>
      <c r="U33" s="343"/>
      <c r="W33" s="50"/>
      <c r="X33" s="50"/>
      <c r="Y33" s="50"/>
      <c r="Z33" s="50"/>
      <c r="AA33" s="50"/>
      <c r="AB33" s="50"/>
      <c r="AC33" s="50"/>
      <c r="AD33" s="50"/>
      <c r="AE33" s="50"/>
      <c r="AF33" s="50"/>
      <c r="AG33" s="50"/>
      <c r="AH33" s="50"/>
      <c r="AI33" s="50"/>
      <c r="AJ33" s="50"/>
      <c r="AK33" s="50"/>
      <c r="AL33" s="50"/>
      <c r="AM33" s="50"/>
      <c r="AN33" s="50"/>
      <c r="AO33" s="50"/>
    </row>
    <row r="34" spans="1:41" x14ac:dyDescent="0.25">
      <c r="A34" s="346">
        <f>ROW()</f>
        <v>34</v>
      </c>
      <c r="B34" s="867" t="s">
        <v>506</v>
      </c>
      <c r="C34" s="544">
        <f>+' Enrol &amp; Rev'!G145</f>
        <v>26987576.88896</v>
      </c>
      <c r="D34" s="544">
        <f t="shared" si="7"/>
        <v>6.9999996572732925E-2</v>
      </c>
      <c r="E34" s="545">
        <f t="shared" ref="E34:R34" si="13">SUM(E17:E33)</f>
        <v>26987576.818960004</v>
      </c>
      <c r="F34" s="544">
        <f t="shared" si="13"/>
        <v>278791.66666666669</v>
      </c>
      <c r="G34" s="544">
        <f t="shared" si="13"/>
        <v>2214994.0412316667</v>
      </c>
      <c r="H34" s="544">
        <f t="shared" si="13"/>
        <v>2214994.0412316667</v>
      </c>
      <c r="I34" s="544">
        <f t="shared" si="13"/>
        <v>2214994.0412316667</v>
      </c>
      <c r="J34" s="544">
        <f t="shared" si="13"/>
        <v>2414758.2033216669</v>
      </c>
      <c r="K34" s="544">
        <f t="shared" si="13"/>
        <v>2214994.0412316667</v>
      </c>
      <c r="L34" s="544">
        <f t="shared" si="13"/>
        <v>2214994.0412316667</v>
      </c>
      <c r="M34" s="544">
        <f t="shared" si="13"/>
        <v>2314876.122276667</v>
      </c>
      <c r="N34" s="544">
        <f t="shared" si="13"/>
        <v>2214994.0412316667</v>
      </c>
      <c r="O34" s="544">
        <f t="shared" si="13"/>
        <v>2314876.122276667</v>
      </c>
      <c r="P34" s="544">
        <f t="shared" si="13"/>
        <v>2214994.0412316667</v>
      </c>
      <c r="Q34" s="546">
        <f t="shared" ref="Q34" si="14">SUM(Q17:Q33)</f>
        <v>2223114.0412316667</v>
      </c>
      <c r="R34" s="546">
        <f t="shared" si="13"/>
        <v>1936202.3745649999</v>
      </c>
      <c r="U34" s="343"/>
      <c r="W34" s="50"/>
      <c r="X34" s="50"/>
      <c r="Y34" s="50"/>
      <c r="Z34" s="50"/>
      <c r="AA34" s="50"/>
      <c r="AB34" s="50"/>
      <c r="AC34" s="50"/>
      <c r="AD34" s="50"/>
      <c r="AE34" s="50"/>
      <c r="AF34" s="50"/>
      <c r="AG34" s="50"/>
      <c r="AH34" s="50"/>
      <c r="AI34" s="50"/>
      <c r="AJ34" s="50"/>
      <c r="AK34" s="50"/>
      <c r="AL34" s="50"/>
      <c r="AM34" s="50"/>
      <c r="AN34" s="50"/>
      <c r="AO34" s="50"/>
    </row>
    <row r="35" spans="1:41" x14ac:dyDescent="0.25">
      <c r="A35" s="346">
        <f>ROW()</f>
        <v>35</v>
      </c>
      <c r="B35" s="13" t="s">
        <v>507</v>
      </c>
      <c r="C35" s="1325"/>
      <c r="D35" s="536">
        <f>IF(ABS(D34)&gt;(0.0025*E34),"*** Out of Balance *** sb 0",0)</f>
        <v>0</v>
      </c>
      <c r="E35" s="537"/>
      <c r="F35" s="537">
        <f>F34</f>
        <v>278791.66666666669</v>
      </c>
      <c r="G35" s="538">
        <f t="shared" ref="G35:P35" si="15">F35+G34</f>
        <v>2493785.7078983332</v>
      </c>
      <c r="H35" s="538">
        <f t="shared" si="15"/>
        <v>4708779.7491299994</v>
      </c>
      <c r="I35" s="538">
        <f t="shared" si="15"/>
        <v>6923773.7903616661</v>
      </c>
      <c r="J35" s="538">
        <f t="shared" si="15"/>
        <v>9338531.9936833326</v>
      </c>
      <c r="K35" s="538">
        <f t="shared" si="15"/>
        <v>11553526.034915</v>
      </c>
      <c r="L35" s="538">
        <f t="shared" si="15"/>
        <v>13768520.076146666</v>
      </c>
      <c r="M35" s="538">
        <f t="shared" si="15"/>
        <v>16083396.198423333</v>
      </c>
      <c r="N35" s="538">
        <f t="shared" si="15"/>
        <v>18298390.239654999</v>
      </c>
      <c r="O35" s="538">
        <f t="shared" si="15"/>
        <v>20613266.361931667</v>
      </c>
      <c r="P35" s="538">
        <f t="shared" si="15"/>
        <v>22828260.403163332</v>
      </c>
      <c r="Q35" s="538">
        <f>O35+Q34</f>
        <v>22836380.403163332</v>
      </c>
      <c r="R35" s="538">
        <f>P35+R34</f>
        <v>24764462.777728334</v>
      </c>
      <c r="U35" s="343"/>
      <c r="W35" s="50"/>
      <c r="X35" s="50"/>
      <c r="Y35" s="50"/>
      <c r="Z35" s="50"/>
      <c r="AA35" s="50"/>
      <c r="AB35" s="50"/>
      <c r="AC35" s="50"/>
      <c r="AD35" s="50"/>
      <c r="AE35" s="50"/>
      <c r="AF35" s="50"/>
      <c r="AG35" s="50"/>
      <c r="AH35" s="50"/>
      <c r="AI35" s="50"/>
      <c r="AJ35" s="50"/>
      <c r="AK35" s="50"/>
      <c r="AL35" s="50"/>
      <c r="AM35" s="50"/>
      <c r="AN35" s="50"/>
      <c r="AO35" s="50"/>
    </row>
    <row r="36" spans="1:41" x14ac:dyDescent="0.25">
      <c r="A36" s="346">
        <f>ROW()</f>
        <v>36</v>
      </c>
      <c r="B36" s="14" t="s">
        <v>508</v>
      </c>
      <c r="C36" s="1326"/>
      <c r="D36" s="539"/>
      <c r="E36" s="12"/>
      <c r="F36" s="540">
        <f>IFERROR(F35/$E34,0)</f>
        <v>1.0330370471453474E-2</v>
      </c>
      <c r="G36" s="540">
        <f t="shared" ref="G36:R36" si="16">IFERROR(G35/$E34,0)</f>
        <v>9.2404950790036661E-2</v>
      </c>
      <c r="H36" s="540">
        <f t="shared" si="16"/>
        <v>0.17447953110861983</v>
      </c>
      <c r="I36" s="540">
        <f t="shared" si="16"/>
        <v>0.25655411142720302</v>
      </c>
      <c r="J36" s="540">
        <f t="shared" si="16"/>
        <v>0.34603077024398082</v>
      </c>
      <c r="K36" s="540">
        <f t="shared" si="16"/>
        <v>0.4281053505625641</v>
      </c>
      <c r="L36" s="540">
        <f t="shared" si="16"/>
        <v>0.51017993088114721</v>
      </c>
      <c r="M36" s="540">
        <f t="shared" si="16"/>
        <v>0.59595555044882775</v>
      </c>
      <c r="N36" s="540">
        <f t="shared" si="16"/>
        <v>0.67803013076741092</v>
      </c>
      <c r="O36" s="540">
        <f t="shared" si="16"/>
        <v>0.76380575033509146</v>
      </c>
      <c r="P36" s="540">
        <f t="shared" si="16"/>
        <v>0.84588033065367463</v>
      </c>
      <c r="Q36" s="540">
        <f t="shared" ref="Q36" si="17">IFERROR(Q35/$E34,0)</f>
        <v>0.84618120983428691</v>
      </c>
      <c r="R36" s="540">
        <f t="shared" si="16"/>
        <v>0.91762454050080444</v>
      </c>
      <c r="U36" s="343"/>
      <c r="W36" s="50"/>
      <c r="X36" s="50"/>
      <c r="Y36" s="50"/>
      <c r="Z36" s="50"/>
      <c r="AA36" s="50"/>
      <c r="AB36" s="50"/>
      <c r="AC36" s="50"/>
      <c r="AD36" s="50"/>
      <c r="AE36" s="50"/>
      <c r="AF36" s="50"/>
      <c r="AG36" s="50"/>
      <c r="AH36" s="50"/>
      <c r="AI36" s="50"/>
      <c r="AJ36" s="50"/>
      <c r="AK36" s="50"/>
      <c r="AL36" s="50"/>
      <c r="AM36" s="50"/>
      <c r="AN36" s="50"/>
      <c r="AO36" s="50"/>
    </row>
    <row r="37" spans="1:41" x14ac:dyDescent="0.25">
      <c r="A37" s="346">
        <f>ROW()</f>
        <v>37</v>
      </c>
      <c r="B37" s="12"/>
      <c r="C37" s="220" t="s">
        <v>509</v>
      </c>
      <c r="D37" s="12"/>
      <c r="E37" s="12"/>
      <c r="F37" s="541"/>
      <c r="G37" s="542"/>
      <c r="H37" s="542"/>
      <c r="I37" s="542"/>
      <c r="J37" s="541"/>
      <c r="K37" s="542"/>
      <c r="L37" s="542"/>
      <c r="M37" s="542"/>
      <c r="N37" s="541"/>
      <c r="O37" s="542"/>
      <c r="P37" s="542"/>
      <c r="Q37" s="542"/>
      <c r="R37" s="542"/>
      <c r="U37" s="343"/>
      <c r="W37" s="50"/>
      <c r="X37" s="50"/>
      <c r="Y37" s="50"/>
      <c r="Z37" s="50"/>
      <c r="AA37" s="50"/>
      <c r="AB37" s="50"/>
      <c r="AC37" s="50"/>
      <c r="AD37" s="50"/>
      <c r="AE37" s="50"/>
      <c r="AF37" s="50"/>
      <c r="AG37" s="50"/>
      <c r="AH37" s="50"/>
      <c r="AI37" s="50"/>
      <c r="AJ37" s="50"/>
      <c r="AK37" s="50"/>
      <c r="AL37" s="50"/>
      <c r="AM37" s="50"/>
      <c r="AN37" s="50"/>
      <c r="AO37" s="50"/>
    </row>
    <row r="38" spans="1:41" ht="14.25" customHeight="1" x14ac:dyDescent="0.25">
      <c r="A38" s="346">
        <f>ROW()</f>
        <v>38</v>
      </c>
      <c r="B38" s="832" t="s">
        <v>510</v>
      </c>
      <c r="C38" s="832"/>
      <c r="D38" s="832"/>
      <c r="E38" s="833"/>
      <c r="F38" s="834"/>
      <c r="G38" s="834"/>
      <c r="H38" s="834"/>
      <c r="I38" s="834"/>
      <c r="J38" s="834"/>
      <c r="K38" s="834"/>
      <c r="L38" s="834"/>
      <c r="M38" s="834"/>
      <c r="N38" s="834"/>
      <c r="O38" s="834"/>
      <c r="P38" s="834"/>
      <c r="Q38" s="834"/>
      <c r="R38" s="834"/>
      <c r="U38" s="343"/>
      <c r="W38" s="50"/>
      <c r="X38" s="50"/>
      <c r="Y38" s="50"/>
      <c r="Z38" s="50"/>
      <c r="AA38" s="50"/>
      <c r="AB38" s="50"/>
      <c r="AC38" s="50"/>
      <c r="AD38" s="50"/>
      <c r="AE38" s="50"/>
      <c r="AF38" s="50"/>
      <c r="AG38" s="50"/>
      <c r="AH38" s="50"/>
      <c r="AI38" s="50"/>
      <c r="AJ38" s="50"/>
      <c r="AK38" s="50"/>
      <c r="AL38" s="50"/>
      <c r="AM38" s="50"/>
      <c r="AN38" s="50"/>
      <c r="AO38" s="50"/>
    </row>
    <row r="39" spans="1:41" x14ac:dyDescent="0.25">
      <c r="A39" s="346">
        <f>ROW()</f>
        <v>39</v>
      </c>
      <c r="B39" s="822" t="s">
        <v>511</v>
      </c>
      <c r="C39" s="823">
        <f>+Staff!H461</f>
        <v>16479874.40302467</v>
      </c>
      <c r="D39" s="823">
        <f t="shared" ref="D39:D50" si="18">+C39-E39</f>
        <v>0</v>
      </c>
      <c r="E39" s="823">
        <f t="shared" ref="E39:E49" si="19">SUM(F39:R39)</f>
        <v>16479874.403024668</v>
      </c>
      <c r="F39" s="824">
        <f>C39/12</f>
        <v>1373322.8669187224</v>
      </c>
      <c r="G39" s="824">
        <f>F39</f>
        <v>1373322.8669187224</v>
      </c>
      <c r="H39" s="824">
        <f t="shared" ref="H39:Q39" si="20">G39</f>
        <v>1373322.8669187224</v>
      </c>
      <c r="I39" s="824">
        <f t="shared" si="20"/>
        <v>1373322.8669187224</v>
      </c>
      <c r="J39" s="824">
        <f t="shared" si="20"/>
        <v>1373322.8669187224</v>
      </c>
      <c r="K39" s="824">
        <f t="shared" si="20"/>
        <v>1373322.8669187224</v>
      </c>
      <c r="L39" s="824">
        <f t="shared" si="20"/>
        <v>1373322.8669187224</v>
      </c>
      <c r="M39" s="824">
        <f t="shared" si="20"/>
        <v>1373322.8669187224</v>
      </c>
      <c r="N39" s="824">
        <f t="shared" si="20"/>
        <v>1373322.8669187224</v>
      </c>
      <c r="O39" s="824">
        <f t="shared" si="20"/>
        <v>1373322.8669187224</v>
      </c>
      <c r="P39" s="824">
        <f t="shared" si="20"/>
        <v>1373322.8669187224</v>
      </c>
      <c r="Q39" s="824">
        <f t="shared" si="20"/>
        <v>1373322.8669187224</v>
      </c>
      <c r="R39" s="1600">
        <v>0</v>
      </c>
      <c r="S39" s="307"/>
      <c r="T39" s="307"/>
      <c r="U39" s="1553" t="s">
        <v>512</v>
      </c>
      <c r="W39" s="50"/>
      <c r="X39" s="50"/>
      <c r="Y39" s="50"/>
      <c r="Z39" s="50"/>
      <c r="AA39" s="50"/>
      <c r="AB39" s="50"/>
      <c r="AC39" s="50"/>
      <c r="AD39" s="50"/>
      <c r="AE39" s="50"/>
      <c r="AF39" s="50"/>
      <c r="AG39" s="50"/>
      <c r="AH39" s="50"/>
      <c r="AI39" s="50"/>
      <c r="AJ39" s="50"/>
      <c r="AK39" s="50"/>
      <c r="AL39" s="50"/>
      <c r="AM39" s="50"/>
      <c r="AN39" s="50"/>
      <c r="AO39" s="50"/>
    </row>
    <row r="40" spans="1:41" x14ac:dyDescent="0.25">
      <c r="A40" s="346">
        <f>ROW()</f>
        <v>40</v>
      </c>
      <c r="B40" s="819" t="s">
        <v>513</v>
      </c>
      <c r="C40" s="531">
        <f>'Gen Optg'!G105</f>
        <v>1061000</v>
      </c>
      <c r="D40" s="531">
        <f t="shared" si="18"/>
        <v>0</v>
      </c>
      <c r="E40" s="531">
        <f>SUM(F40:R40)</f>
        <v>1060999.9999999998</v>
      </c>
      <c r="F40" s="532">
        <f t="shared" ref="F40:F41" si="21">C40/12</f>
        <v>88416.666666666672</v>
      </c>
      <c r="G40" s="532">
        <f t="shared" ref="G40:Q40" si="22">F40</f>
        <v>88416.666666666672</v>
      </c>
      <c r="H40" s="532">
        <f t="shared" si="22"/>
        <v>88416.666666666672</v>
      </c>
      <c r="I40" s="532">
        <f t="shared" si="22"/>
        <v>88416.666666666672</v>
      </c>
      <c r="J40" s="532">
        <f t="shared" si="22"/>
        <v>88416.666666666672</v>
      </c>
      <c r="K40" s="532">
        <f t="shared" si="22"/>
        <v>88416.666666666672</v>
      </c>
      <c r="L40" s="532">
        <f t="shared" si="22"/>
        <v>88416.666666666672</v>
      </c>
      <c r="M40" s="532">
        <f t="shared" si="22"/>
        <v>88416.666666666672</v>
      </c>
      <c r="N40" s="532">
        <f t="shared" si="22"/>
        <v>88416.666666666672</v>
      </c>
      <c r="O40" s="532">
        <f t="shared" si="22"/>
        <v>88416.666666666672</v>
      </c>
      <c r="P40" s="532">
        <f t="shared" si="22"/>
        <v>88416.666666666672</v>
      </c>
      <c r="Q40" s="532">
        <f t="shared" si="22"/>
        <v>88416.666666666672</v>
      </c>
      <c r="R40" s="1599">
        <v>0</v>
      </c>
      <c r="S40" s="307"/>
      <c r="T40" s="307"/>
      <c r="U40" s="1553" t="s">
        <v>514</v>
      </c>
      <c r="W40" s="50"/>
      <c r="X40" s="50"/>
      <c r="Y40" s="50"/>
      <c r="Z40" s="50"/>
      <c r="AA40" s="50"/>
      <c r="AB40" s="50"/>
      <c r="AC40" s="50"/>
      <c r="AD40" s="50"/>
      <c r="AE40" s="50"/>
      <c r="AF40" s="50"/>
      <c r="AG40" s="50"/>
      <c r="AH40" s="50"/>
      <c r="AI40" s="50"/>
      <c r="AJ40" s="50"/>
      <c r="AK40" s="50"/>
      <c r="AL40" s="50"/>
      <c r="AM40" s="50"/>
      <c r="AN40" s="50"/>
      <c r="AO40" s="50"/>
    </row>
    <row r="41" spans="1:41" x14ac:dyDescent="0.25">
      <c r="A41" s="346">
        <f>ROW()</f>
        <v>41</v>
      </c>
      <c r="B41" s="819" t="s">
        <v>515</v>
      </c>
      <c r="C41" s="531">
        <f>+'Gen Optg'!G143</f>
        <v>5757924.3187499996</v>
      </c>
      <c r="D41" s="531">
        <f t="shared" si="18"/>
        <v>0</v>
      </c>
      <c r="E41" s="531">
        <f t="shared" si="19"/>
        <v>5757924.3187499987</v>
      </c>
      <c r="F41" s="532">
        <f t="shared" si="21"/>
        <v>479827.02656249999</v>
      </c>
      <c r="G41" s="532">
        <f t="shared" ref="G41:Q41" si="23">F41</f>
        <v>479827.02656249999</v>
      </c>
      <c r="H41" s="532">
        <f t="shared" si="23"/>
        <v>479827.02656249999</v>
      </c>
      <c r="I41" s="532">
        <f t="shared" si="23"/>
        <v>479827.02656249999</v>
      </c>
      <c r="J41" s="532">
        <f t="shared" si="23"/>
        <v>479827.02656249999</v>
      </c>
      <c r="K41" s="532">
        <f t="shared" si="23"/>
        <v>479827.02656249999</v>
      </c>
      <c r="L41" s="532">
        <f t="shared" si="23"/>
        <v>479827.02656249999</v>
      </c>
      <c r="M41" s="532">
        <f t="shared" si="23"/>
        <v>479827.02656249999</v>
      </c>
      <c r="N41" s="532">
        <f t="shared" si="23"/>
        <v>479827.02656249999</v>
      </c>
      <c r="O41" s="532">
        <f t="shared" si="23"/>
        <v>479827.02656249999</v>
      </c>
      <c r="P41" s="532">
        <f t="shared" si="23"/>
        <v>479827.02656249999</v>
      </c>
      <c r="Q41" s="532">
        <f t="shared" si="23"/>
        <v>479827.02656249999</v>
      </c>
      <c r="R41" s="1599">
        <v>0</v>
      </c>
      <c r="S41" s="307"/>
      <c r="T41" s="307"/>
      <c r="U41" s="1553" t="s">
        <v>516</v>
      </c>
      <c r="W41" s="50"/>
      <c r="X41" s="50"/>
      <c r="Y41" s="50"/>
      <c r="Z41" s="50"/>
      <c r="AA41" s="50"/>
      <c r="AB41" s="50"/>
      <c r="AC41" s="50"/>
      <c r="AD41" s="50"/>
      <c r="AE41" s="50"/>
      <c r="AF41" s="50"/>
      <c r="AG41" s="50"/>
      <c r="AH41" s="50"/>
      <c r="AI41" s="50"/>
      <c r="AJ41" s="50"/>
      <c r="AK41" s="50"/>
      <c r="AL41" s="50"/>
      <c r="AM41" s="50"/>
      <c r="AN41" s="50"/>
      <c r="AO41" s="50"/>
    </row>
    <row r="42" spans="1:41" x14ac:dyDescent="0.25">
      <c r="A42" s="346">
        <f>ROW()</f>
        <v>42</v>
      </c>
      <c r="B42" s="819" t="s">
        <v>517</v>
      </c>
      <c r="C42" s="531">
        <f>'Gen Optg'!G180+'Gen Optg'!G151</f>
        <v>0</v>
      </c>
      <c r="D42" s="531">
        <f t="shared" si="18"/>
        <v>0</v>
      </c>
      <c r="E42" s="531">
        <f t="shared" si="19"/>
        <v>0</v>
      </c>
      <c r="F42" s="532">
        <v>0</v>
      </c>
      <c r="G42" s="532">
        <v>0</v>
      </c>
      <c r="H42" s="532">
        <v>0</v>
      </c>
      <c r="I42" s="532">
        <v>0</v>
      </c>
      <c r="J42" s="532">
        <v>0</v>
      </c>
      <c r="K42" s="532">
        <v>0</v>
      </c>
      <c r="L42" s="532">
        <v>0</v>
      </c>
      <c r="M42" s="532">
        <v>0</v>
      </c>
      <c r="N42" s="532">
        <v>0</v>
      </c>
      <c r="O42" s="532">
        <v>0</v>
      </c>
      <c r="P42" s="532">
        <v>0</v>
      </c>
      <c r="Q42" s="532">
        <v>0</v>
      </c>
      <c r="R42" s="1599">
        <v>0</v>
      </c>
      <c r="S42" s="307"/>
      <c r="T42" s="307"/>
      <c r="U42" s="343" t="s">
        <v>498</v>
      </c>
      <c r="W42" s="50"/>
      <c r="X42" s="50"/>
      <c r="Y42" s="50"/>
      <c r="Z42" s="50"/>
      <c r="AA42" s="50"/>
      <c r="AB42" s="50"/>
      <c r="AC42" s="50"/>
      <c r="AD42" s="50"/>
      <c r="AE42" s="50"/>
      <c r="AF42" s="50"/>
      <c r="AG42" s="50"/>
      <c r="AH42" s="50"/>
      <c r="AI42" s="50"/>
      <c r="AJ42" s="50"/>
      <c r="AK42" s="50"/>
      <c r="AL42" s="50"/>
      <c r="AM42" s="50"/>
      <c r="AN42" s="50"/>
      <c r="AO42" s="50"/>
    </row>
    <row r="43" spans="1:41" x14ac:dyDescent="0.25">
      <c r="A43" s="346">
        <f>ROW()</f>
        <v>43</v>
      </c>
      <c r="B43" s="820" t="s">
        <v>518</v>
      </c>
      <c r="C43" s="531">
        <f>'Gen Optg'!G193</f>
        <v>0</v>
      </c>
      <c r="D43" s="531">
        <f t="shared" si="18"/>
        <v>0</v>
      </c>
      <c r="E43" s="531">
        <f t="shared" si="19"/>
        <v>0</v>
      </c>
      <c r="F43" s="532">
        <v>0</v>
      </c>
      <c r="G43" s="532">
        <v>0</v>
      </c>
      <c r="H43" s="532">
        <v>0</v>
      </c>
      <c r="I43" s="532">
        <v>0</v>
      </c>
      <c r="J43" s="532">
        <v>0</v>
      </c>
      <c r="K43" s="532">
        <v>0</v>
      </c>
      <c r="L43" s="532">
        <v>0</v>
      </c>
      <c r="M43" s="532">
        <v>0</v>
      </c>
      <c r="N43" s="532">
        <v>0</v>
      </c>
      <c r="O43" s="532">
        <v>0</v>
      </c>
      <c r="P43" s="532">
        <v>0</v>
      </c>
      <c r="Q43" s="532">
        <v>0</v>
      </c>
      <c r="R43" s="1599">
        <v>0</v>
      </c>
      <c r="S43" s="307"/>
      <c r="T43" s="307"/>
      <c r="U43" s="343" t="s">
        <v>499</v>
      </c>
      <c r="W43" s="50"/>
      <c r="X43" s="50"/>
      <c r="Y43" s="50"/>
      <c r="Z43" s="50"/>
      <c r="AA43" s="50"/>
      <c r="AB43" s="50"/>
      <c r="AC43" s="50"/>
      <c r="AD43" s="50"/>
      <c r="AE43" s="50"/>
      <c r="AF43" s="50"/>
      <c r="AG43" s="50"/>
      <c r="AH43" s="50"/>
      <c r="AI43" s="50"/>
      <c r="AJ43" s="50"/>
      <c r="AK43" s="50"/>
      <c r="AL43" s="50"/>
      <c r="AM43" s="50"/>
      <c r="AN43" s="50"/>
      <c r="AO43" s="50"/>
    </row>
    <row r="44" spans="1:41" x14ac:dyDescent="0.25">
      <c r="A44" s="346">
        <f>ROW()</f>
        <v>44</v>
      </c>
      <c r="B44" s="820" t="s">
        <v>519</v>
      </c>
      <c r="C44" s="531">
        <f>+'Gen Optg'!G195</f>
        <v>204567.72956250017</v>
      </c>
      <c r="D44" s="531">
        <f t="shared" si="18"/>
        <v>0</v>
      </c>
      <c r="E44" s="531">
        <f t="shared" si="19"/>
        <v>204567.72956250017</v>
      </c>
      <c r="F44" s="532">
        <f t="shared" ref="F44:F46" si="24">C44/12</f>
        <v>17047.310796875016</v>
      </c>
      <c r="G44" s="532">
        <f t="shared" ref="G44:Q44" si="25">F44</f>
        <v>17047.310796875016</v>
      </c>
      <c r="H44" s="532">
        <f t="shared" si="25"/>
        <v>17047.310796875016</v>
      </c>
      <c r="I44" s="532">
        <f t="shared" si="25"/>
        <v>17047.310796875016</v>
      </c>
      <c r="J44" s="532">
        <f t="shared" si="25"/>
        <v>17047.310796875016</v>
      </c>
      <c r="K44" s="532">
        <f t="shared" si="25"/>
        <v>17047.310796875016</v>
      </c>
      <c r="L44" s="532">
        <f t="shared" si="25"/>
        <v>17047.310796875016</v>
      </c>
      <c r="M44" s="532">
        <f t="shared" si="25"/>
        <v>17047.310796875016</v>
      </c>
      <c r="N44" s="532">
        <f t="shared" si="25"/>
        <v>17047.310796875016</v>
      </c>
      <c r="O44" s="532">
        <f t="shared" si="25"/>
        <v>17047.310796875016</v>
      </c>
      <c r="P44" s="532">
        <f t="shared" si="25"/>
        <v>17047.310796875016</v>
      </c>
      <c r="Q44" s="532">
        <f t="shared" si="25"/>
        <v>17047.310796875016</v>
      </c>
      <c r="R44" s="1599">
        <v>0</v>
      </c>
      <c r="S44" s="307"/>
      <c r="T44" s="307"/>
      <c r="U44" s="343"/>
      <c r="W44" s="50"/>
      <c r="X44" s="50"/>
      <c r="Y44" s="50"/>
      <c r="Z44" s="50"/>
      <c r="AA44" s="50"/>
      <c r="AB44" s="50"/>
      <c r="AC44" s="50"/>
      <c r="AD44" s="50"/>
      <c r="AE44" s="50"/>
      <c r="AF44" s="50"/>
      <c r="AG44" s="50"/>
      <c r="AH44" s="50"/>
      <c r="AI44" s="50"/>
      <c r="AJ44" s="50"/>
      <c r="AK44" s="50"/>
      <c r="AL44" s="50"/>
      <c r="AM44" s="50"/>
      <c r="AN44" s="50"/>
      <c r="AO44" s="50"/>
    </row>
    <row r="45" spans="1:41" x14ac:dyDescent="0.25">
      <c r="A45" s="346">
        <f>ROW()</f>
        <v>45</v>
      </c>
      <c r="B45" s="821" t="s">
        <v>130</v>
      </c>
      <c r="C45" s="531">
        <f>Marketing!I44</f>
        <v>237000</v>
      </c>
      <c r="D45" s="531">
        <f t="shared" si="18"/>
        <v>0</v>
      </c>
      <c r="E45" s="531">
        <f t="shared" si="19"/>
        <v>237000</v>
      </c>
      <c r="F45" s="532">
        <f t="shared" si="24"/>
        <v>19750</v>
      </c>
      <c r="G45" s="532">
        <f t="shared" ref="G45:Q45" si="26">F45</f>
        <v>19750</v>
      </c>
      <c r="H45" s="532">
        <f t="shared" si="26"/>
        <v>19750</v>
      </c>
      <c r="I45" s="532">
        <f t="shared" si="26"/>
        <v>19750</v>
      </c>
      <c r="J45" s="532">
        <f t="shared" si="26"/>
        <v>19750</v>
      </c>
      <c r="K45" s="532">
        <f t="shared" si="26"/>
        <v>19750</v>
      </c>
      <c r="L45" s="532">
        <f t="shared" si="26"/>
        <v>19750</v>
      </c>
      <c r="M45" s="532">
        <f t="shared" si="26"/>
        <v>19750</v>
      </c>
      <c r="N45" s="532">
        <f t="shared" si="26"/>
        <v>19750</v>
      </c>
      <c r="O45" s="532">
        <f t="shared" si="26"/>
        <v>19750</v>
      </c>
      <c r="P45" s="532">
        <f t="shared" si="26"/>
        <v>19750</v>
      </c>
      <c r="Q45" s="532">
        <f t="shared" si="26"/>
        <v>19750</v>
      </c>
      <c r="R45" s="1599">
        <v>0</v>
      </c>
      <c r="S45" s="307"/>
      <c r="T45" s="307"/>
      <c r="U45" s="343"/>
      <c r="W45" s="50"/>
      <c r="X45" s="50"/>
      <c r="Y45" s="50"/>
      <c r="Z45" s="50"/>
      <c r="AA45" s="50"/>
      <c r="AB45" s="50"/>
      <c r="AC45" s="50"/>
      <c r="AD45" s="50"/>
      <c r="AE45" s="50"/>
      <c r="AF45" s="50"/>
      <c r="AG45" s="50"/>
      <c r="AH45" s="50"/>
      <c r="AI45" s="50"/>
      <c r="AJ45" s="50"/>
      <c r="AK45" s="50"/>
      <c r="AL45" s="50"/>
      <c r="AM45" s="50"/>
      <c r="AN45" s="50"/>
      <c r="AO45" s="50"/>
    </row>
    <row r="46" spans="1:41" x14ac:dyDescent="0.25">
      <c r="A46" s="346">
        <f>ROW()</f>
        <v>46</v>
      </c>
      <c r="B46" s="819" t="s">
        <v>520</v>
      </c>
      <c r="C46" s="531">
        <f>Facilities!G74</f>
        <v>1588168.5980000002</v>
      </c>
      <c r="D46" s="531">
        <f t="shared" si="18"/>
        <v>0</v>
      </c>
      <c r="E46" s="531">
        <f t="shared" si="19"/>
        <v>1588168.598</v>
      </c>
      <c r="F46" s="532">
        <f t="shared" si="24"/>
        <v>132347.3831666667</v>
      </c>
      <c r="G46" s="532">
        <f t="shared" ref="G46:Q46" si="27">F46</f>
        <v>132347.3831666667</v>
      </c>
      <c r="H46" s="532">
        <f t="shared" si="27"/>
        <v>132347.3831666667</v>
      </c>
      <c r="I46" s="532">
        <f t="shared" si="27"/>
        <v>132347.3831666667</v>
      </c>
      <c r="J46" s="532">
        <f t="shared" si="27"/>
        <v>132347.3831666667</v>
      </c>
      <c r="K46" s="532">
        <f t="shared" si="27"/>
        <v>132347.3831666667</v>
      </c>
      <c r="L46" s="532">
        <f t="shared" si="27"/>
        <v>132347.3831666667</v>
      </c>
      <c r="M46" s="532">
        <f t="shared" si="27"/>
        <v>132347.3831666667</v>
      </c>
      <c r="N46" s="532">
        <f t="shared" si="27"/>
        <v>132347.3831666667</v>
      </c>
      <c r="O46" s="532">
        <f t="shared" si="27"/>
        <v>132347.3831666667</v>
      </c>
      <c r="P46" s="532">
        <f t="shared" si="27"/>
        <v>132347.3831666667</v>
      </c>
      <c r="Q46" s="532">
        <f t="shared" si="27"/>
        <v>132347.3831666667</v>
      </c>
      <c r="R46" s="1599">
        <v>0</v>
      </c>
      <c r="S46" s="307"/>
      <c r="T46" s="307"/>
      <c r="U46" s="343"/>
      <c r="W46" s="50"/>
      <c r="X46" s="50"/>
      <c r="Y46" s="50"/>
      <c r="Z46" s="50"/>
      <c r="AA46" s="50"/>
      <c r="AB46" s="50"/>
      <c r="AC46" s="50"/>
      <c r="AD46" s="50"/>
      <c r="AE46" s="50"/>
      <c r="AF46" s="50"/>
      <c r="AG46" s="50"/>
      <c r="AH46" s="50"/>
      <c r="AI46" s="50"/>
      <c r="AJ46" s="50"/>
      <c r="AK46" s="50"/>
      <c r="AL46" s="50"/>
      <c r="AM46" s="50"/>
      <c r="AN46" s="50"/>
      <c r="AO46" s="50"/>
    </row>
    <row r="47" spans="1:41" x14ac:dyDescent="0.25">
      <c r="A47" s="346">
        <f>ROW()</f>
        <v>47</v>
      </c>
      <c r="B47" s="820" t="s">
        <v>521</v>
      </c>
      <c r="C47" s="531">
        <f>Facilities!G100</f>
        <v>0</v>
      </c>
      <c r="D47" s="531"/>
      <c r="E47" s="531">
        <f>SUM(F47:R47)</f>
        <v>0</v>
      </c>
      <c r="F47" s="532">
        <v>0</v>
      </c>
      <c r="G47" s="532">
        <v>0</v>
      </c>
      <c r="H47" s="532">
        <v>0</v>
      </c>
      <c r="I47" s="532">
        <v>0</v>
      </c>
      <c r="J47" s="532">
        <v>0</v>
      </c>
      <c r="K47" s="532">
        <v>0</v>
      </c>
      <c r="L47" s="532">
        <v>0</v>
      </c>
      <c r="M47" s="532">
        <v>0</v>
      </c>
      <c r="N47" s="532">
        <v>0</v>
      </c>
      <c r="O47" s="532">
        <v>0</v>
      </c>
      <c r="P47" s="532">
        <v>0</v>
      </c>
      <c r="Q47" s="532">
        <v>0</v>
      </c>
      <c r="R47" s="1599">
        <v>0</v>
      </c>
      <c r="S47" s="307"/>
      <c r="T47" s="307"/>
      <c r="U47" s="343"/>
      <c r="W47" s="50"/>
      <c r="X47" s="50"/>
      <c r="Y47" s="50"/>
      <c r="Z47" s="50"/>
      <c r="AA47" s="50"/>
      <c r="AB47" s="50"/>
      <c r="AC47" s="50"/>
      <c r="AD47" s="50"/>
      <c r="AE47" s="50"/>
      <c r="AF47" s="50"/>
      <c r="AG47" s="50"/>
      <c r="AH47" s="50"/>
      <c r="AI47" s="50"/>
      <c r="AJ47" s="50"/>
      <c r="AK47" s="50"/>
      <c r="AL47" s="50"/>
      <c r="AM47" s="50"/>
      <c r="AN47" s="50"/>
      <c r="AO47" s="50"/>
    </row>
    <row r="48" spans="1:41" x14ac:dyDescent="0.25">
      <c r="A48" s="346">
        <f>ROW()</f>
        <v>48</v>
      </c>
      <c r="B48" s="820" t="s">
        <v>191</v>
      </c>
      <c r="C48" s="531">
        <f>+'FFE&amp;T'!G43</f>
        <v>125000</v>
      </c>
      <c r="D48" s="531">
        <f t="shared" si="18"/>
        <v>0</v>
      </c>
      <c r="E48" s="531">
        <f t="shared" si="19"/>
        <v>125000.00000000001</v>
      </c>
      <c r="F48" s="532">
        <f>C48/12</f>
        <v>10416.666666666666</v>
      </c>
      <c r="G48" s="532">
        <f>F48</f>
        <v>10416.666666666666</v>
      </c>
      <c r="H48" s="532">
        <f t="shared" ref="H48:Q48" si="28">G48</f>
        <v>10416.666666666666</v>
      </c>
      <c r="I48" s="532">
        <f t="shared" si="28"/>
        <v>10416.666666666666</v>
      </c>
      <c r="J48" s="532">
        <f t="shared" si="28"/>
        <v>10416.666666666666</v>
      </c>
      <c r="K48" s="532">
        <f t="shared" si="28"/>
        <v>10416.666666666666</v>
      </c>
      <c r="L48" s="532">
        <f t="shared" si="28"/>
        <v>10416.666666666666</v>
      </c>
      <c r="M48" s="532">
        <f t="shared" si="28"/>
        <v>10416.666666666666</v>
      </c>
      <c r="N48" s="532">
        <f t="shared" si="28"/>
        <v>10416.666666666666</v>
      </c>
      <c r="O48" s="532">
        <f t="shared" si="28"/>
        <v>10416.666666666666</v>
      </c>
      <c r="P48" s="532">
        <f t="shared" si="28"/>
        <v>10416.666666666666</v>
      </c>
      <c r="Q48" s="532">
        <f t="shared" si="28"/>
        <v>10416.666666666666</v>
      </c>
      <c r="R48" s="1599">
        <v>0</v>
      </c>
      <c r="S48" s="307"/>
      <c r="T48" s="307"/>
      <c r="U48" s="343"/>
      <c r="W48" s="50"/>
      <c r="X48" s="50"/>
      <c r="Y48" s="50"/>
      <c r="Z48" s="50"/>
      <c r="AA48" s="50"/>
      <c r="AB48" s="50"/>
      <c r="AC48" s="50"/>
      <c r="AD48" s="50"/>
      <c r="AE48" s="50"/>
      <c r="AF48" s="50"/>
      <c r="AG48" s="50"/>
      <c r="AH48" s="50"/>
      <c r="AI48" s="50"/>
      <c r="AJ48" s="50"/>
      <c r="AK48" s="50"/>
      <c r="AL48" s="50"/>
      <c r="AM48" s="50"/>
      <c r="AN48" s="50"/>
      <c r="AO48" s="50"/>
    </row>
    <row r="49" spans="1:41" x14ac:dyDescent="0.25">
      <c r="A49" s="346">
        <f>ROW()</f>
        <v>49</v>
      </c>
      <c r="B49" s="820" t="s">
        <v>522</v>
      </c>
      <c r="C49" s="531">
        <f>'EMO-CMO-BOSP'!F39</f>
        <v>0</v>
      </c>
      <c r="D49" s="531">
        <f t="shared" si="18"/>
        <v>0</v>
      </c>
      <c r="E49" s="531">
        <f t="shared" si="19"/>
        <v>0</v>
      </c>
      <c r="F49" s="532">
        <v>0</v>
      </c>
      <c r="G49" s="532"/>
      <c r="H49" s="532"/>
      <c r="I49" s="532"/>
      <c r="J49" s="532"/>
      <c r="K49" s="532"/>
      <c r="L49" s="532"/>
      <c r="M49" s="532"/>
      <c r="N49" s="532"/>
      <c r="O49" s="532"/>
      <c r="P49" s="532"/>
      <c r="Q49" s="532"/>
      <c r="R49" s="1599">
        <v>0</v>
      </c>
      <c r="S49" s="307"/>
      <c r="T49" s="307"/>
      <c r="U49" s="343"/>
      <c r="W49" s="50"/>
      <c r="X49" s="50"/>
      <c r="Y49" s="50"/>
      <c r="Z49" s="50"/>
      <c r="AA49" s="50"/>
      <c r="AB49" s="50"/>
      <c r="AC49" s="50"/>
      <c r="AD49" s="50"/>
      <c r="AE49" s="50"/>
      <c r="AF49" s="50"/>
      <c r="AG49" s="50"/>
      <c r="AH49" s="50"/>
      <c r="AI49" s="50"/>
      <c r="AJ49" s="50"/>
      <c r="AK49" s="50"/>
      <c r="AL49" s="50"/>
      <c r="AM49" s="50"/>
      <c r="AN49" s="50"/>
      <c r="AO49" s="50"/>
    </row>
    <row r="50" spans="1:41" x14ac:dyDescent="0.25">
      <c r="A50" s="346">
        <f>ROW()</f>
        <v>50</v>
      </c>
      <c r="B50" s="818" t="s">
        <v>128</v>
      </c>
      <c r="C50" s="534">
        <f>+Ins!G51</f>
        <v>83223.839999999997</v>
      </c>
      <c r="D50" s="534">
        <f t="shared" si="18"/>
        <v>0</v>
      </c>
      <c r="E50" s="534">
        <f>SUM(F50:R50)</f>
        <v>83223.839999999997</v>
      </c>
      <c r="F50" s="535">
        <f>C50/12</f>
        <v>6935.32</v>
      </c>
      <c r="G50" s="535">
        <f>F50</f>
        <v>6935.32</v>
      </c>
      <c r="H50" s="535">
        <f t="shared" ref="H50:Q50" si="29">G50</f>
        <v>6935.32</v>
      </c>
      <c r="I50" s="535">
        <f t="shared" si="29"/>
        <v>6935.32</v>
      </c>
      <c r="J50" s="535">
        <f t="shared" si="29"/>
        <v>6935.32</v>
      </c>
      <c r="K50" s="535">
        <f t="shared" si="29"/>
        <v>6935.32</v>
      </c>
      <c r="L50" s="535">
        <f t="shared" si="29"/>
        <v>6935.32</v>
      </c>
      <c r="M50" s="535">
        <f t="shared" si="29"/>
        <v>6935.32</v>
      </c>
      <c r="N50" s="535">
        <f t="shared" si="29"/>
        <v>6935.32</v>
      </c>
      <c r="O50" s="535">
        <f t="shared" si="29"/>
        <v>6935.32</v>
      </c>
      <c r="P50" s="535">
        <f t="shared" si="29"/>
        <v>6935.32</v>
      </c>
      <c r="Q50" s="535">
        <f t="shared" si="29"/>
        <v>6935.32</v>
      </c>
      <c r="R50" s="1601">
        <v>0</v>
      </c>
      <c r="S50" s="307"/>
      <c r="T50" s="307"/>
      <c r="U50" s="343"/>
      <c r="W50" s="50"/>
      <c r="X50" s="50"/>
      <c r="Y50" s="50"/>
      <c r="Z50" s="50"/>
      <c r="AA50" s="50"/>
      <c r="AB50" s="50"/>
      <c r="AC50" s="50"/>
      <c r="AD50" s="50"/>
      <c r="AE50" s="50"/>
      <c r="AF50" s="50"/>
      <c r="AG50" s="50"/>
      <c r="AH50" s="50"/>
      <c r="AI50" s="50"/>
      <c r="AJ50" s="50"/>
      <c r="AK50" s="50"/>
      <c r="AL50" s="50"/>
      <c r="AM50" s="50"/>
      <c r="AN50" s="50"/>
      <c r="AO50" s="50"/>
    </row>
    <row r="51" spans="1:41" x14ac:dyDescent="0.25">
      <c r="A51" s="346">
        <f>ROW()</f>
        <v>51</v>
      </c>
      <c r="B51" s="867" t="s">
        <v>523</v>
      </c>
      <c r="C51" s="868">
        <f t="shared" ref="C51:R51" si="30">SUM(C39:C50)</f>
        <v>25536758.889337167</v>
      </c>
      <c r="D51" s="869">
        <f t="shared" si="30"/>
        <v>0</v>
      </c>
      <c r="E51" s="869">
        <f t="shared" si="30"/>
        <v>25536758.889337163</v>
      </c>
      <c r="F51" s="869">
        <f t="shared" si="30"/>
        <v>2128063.2407780974</v>
      </c>
      <c r="G51" s="869">
        <f t="shared" si="30"/>
        <v>2128063.2407780974</v>
      </c>
      <c r="H51" s="869">
        <f t="shared" si="30"/>
        <v>2128063.2407780974</v>
      </c>
      <c r="I51" s="869">
        <f t="shared" si="30"/>
        <v>2128063.2407780974</v>
      </c>
      <c r="J51" s="869">
        <f t="shared" si="30"/>
        <v>2128063.2407780974</v>
      </c>
      <c r="K51" s="869">
        <f t="shared" si="30"/>
        <v>2128063.2407780974</v>
      </c>
      <c r="L51" s="869">
        <f t="shared" si="30"/>
        <v>2128063.2407780974</v>
      </c>
      <c r="M51" s="869">
        <f t="shared" si="30"/>
        <v>2128063.2407780974</v>
      </c>
      <c r="N51" s="869">
        <f t="shared" si="30"/>
        <v>2128063.2407780974</v>
      </c>
      <c r="O51" s="869">
        <f t="shared" si="30"/>
        <v>2128063.2407780974</v>
      </c>
      <c r="P51" s="869">
        <f t="shared" si="30"/>
        <v>2128063.2407780974</v>
      </c>
      <c r="Q51" s="869">
        <f t="shared" ref="Q51" si="31">SUM(Q39:Q50)</f>
        <v>2128063.2407780974</v>
      </c>
      <c r="R51" s="869">
        <f t="shared" si="30"/>
        <v>0</v>
      </c>
      <c r="U51" s="343"/>
      <c r="W51" s="50"/>
      <c r="X51" s="50"/>
      <c r="Y51" s="50"/>
      <c r="Z51" s="50"/>
      <c r="AA51" s="50"/>
      <c r="AB51" s="50"/>
      <c r="AC51" s="50"/>
      <c r="AD51" s="50"/>
      <c r="AE51" s="50"/>
      <c r="AF51" s="50"/>
      <c r="AG51" s="50"/>
      <c r="AH51" s="50"/>
      <c r="AI51" s="50"/>
      <c r="AJ51" s="50"/>
      <c r="AK51" s="50"/>
      <c r="AL51" s="50"/>
      <c r="AM51" s="50"/>
      <c r="AN51" s="50"/>
      <c r="AO51" s="50"/>
    </row>
    <row r="52" spans="1:41" x14ac:dyDescent="0.25">
      <c r="A52" s="346">
        <f>ROW()</f>
        <v>52</v>
      </c>
      <c r="B52" s="870" t="s">
        <v>524</v>
      </c>
      <c r="C52" s="992">
        <f>+Summary!G52-C51</f>
        <v>0</v>
      </c>
      <c r="D52" s="1229"/>
      <c r="E52" s="1237">
        <f>SUM(F52:R52)</f>
        <v>1450817.9296228322</v>
      </c>
      <c r="F52" s="1237">
        <f t="shared" ref="F52:R52" si="32">F34-F51</f>
        <v>-1849271.5741114307</v>
      </c>
      <c r="G52" s="1237">
        <f t="shared" si="32"/>
        <v>86930.800453569274</v>
      </c>
      <c r="H52" s="1237">
        <f t="shared" si="32"/>
        <v>86930.800453569274</v>
      </c>
      <c r="I52" s="1237">
        <f t="shared" si="32"/>
        <v>86930.800453569274</v>
      </c>
      <c r="J52" s="1237">
        <f t="shared" si="32"/>
        <v>286694.96254356951</v>
      </c>
      <c r="K52" s="1237">
        <f t="shared" si="32"/>
        <v>86930.800453569274</v>
      </c>
      <c r="L52" s="1237">
        <f t="shared" si="32"/>
        <v>86930.800453569274</v>
      </c>
      <c r="M52" s="1237">
        <f t="shared" si="32"/>
        <v>186812.88149856962</v>
      </c>
      <c r="N52" s="1237">
        <f t="shared" si="32"/>
        <v>86930.800453569274</v>
      </c>
      <c r="O52" s="1237">
        <f t="shared" si="32"/>
        <v>186812.88149856962</v>
      </c>
      <c r="P52" s="1237">
        <f t="shared" si="32"/>
        <v>86930.800453569274</v>
      </c>
      <c r="Q52" s="1237">
        <f t="shared" ref="Q52" si="33">Q34-Q51</f>
        <v>95050.800453569274</v>
      </c>
      <c r="R52" s="1237">
        <f t="shared" si="32"/>
        <v>1936202.3745649999</v>
      </c>
      <c r="U52" s="343"/>
      <c r="W52" s="50"/>
      <c r="X52" s="50"/>
      <c r="Y52" s="50"/>
      <c r="Z52" s="50"/>
      <c r="AA52" s="50"/>
      <c r="AB52" s="50"/>
      <c r="AC52" s="50"/>
      <c r="AD52" s="50"/>
      <c r="AE52" s="50"/>
      <c r="AF52" s="50"/>
      <c r="AG52" s="50"/>
      <c r="AH52" s="50"/>
      <c r="AI52" s="50"/>
      <c r="AJ52" s="50"/>
      <c r="AK52" s="50"/>
      <c r="AL52" s="50"/>
      <c r="AM52" s="50"/>
      <c r="AN52" s="50"/>
      <c r="AO52" s="50"/>
    </row>
    <row r="53" spans="1:41" x14ac:dyDescent="0.25">
      <c r="A53" s="346">
        <f>ROW()</f>
        <v>53</v>
      </c>
      <c r="B53" s="1231" t="s">
        <v>525</v>
      </c>
      <c r="C53" s="133">
        <f>+C34-C51</f>
        <v>1450817.999622833</v>
      </c>
      <c r="D53" s="138">
        <f>+D34-D51</f>
        <v>6.9999996572732925E-2</v>
      </c>
      <c r="E53" s="1232">
        <f>+E34-(E51+D51)</f>
        <v>1450817.9296228401</v>
      </c>
      <c r="F53" s="1232">
        <f t="shared" ref="F53:R53" si="34">+F34-F51</f>
        <v>-1849271.5741114307</v>
      </c>
      <c r="G53" s="1232">
        <f t="shared" si="34"/>
        <v>86930.800453569274</v>
      </c>
      <c r="H53" s="1232">
        <f t="shared" si="34"/>
        <v>86930.800453569274</v>
      </c>
      <c r="I53" s="1232">
        <f t="shared" si="34"/>
        <v>86930.800453569274</v>
      </c>
      <c r="J53" s="1232">
        <f t="shared" si="34"/>
        <v>286694.96254356951</v>
      </c>
      <c r="K53" s="1232">
        <f t="shared" si="34"/>
        <v>86930.800453569274</v>
      </c>
      <c r="L53" s="1232">
        <f t="shared" si="34"/>
        <v>86930.800453569274</v>
      </c>
      <c r="M53" s="1232">
        <f t="shared" si="34"/>
        <v>186812.88149856962</v>
      </c>
      <c r="N53" s="1232">
        <f t="shared" si="34"/>
        <v>86930.800453569274</v>
      </c>
      <c r="O53" s="1232">
        <f t="shared" si="34"/>
        <v>186812.88149856962</v>
      </c>
      <c r="P53" s="1232">
        <f t="shared" si="34"/>
        <v>86930.800453569274</v>
      </c>
      <c r="Q53" s="1232">
        <f t="shared" ref="Q53" si="35">+Q34-Q51</f>
        <v>95050.800453569274</v>
      </c>
      <c r="R53" s="1232">
        <f t="shared" si="34"/>
        <v>1936202.3745649999</v>
      </c>
      <c r="U53" s="1765">
        <f>C53</f>
        <v>1450817.999622833</v>
      </c>
      <c r="W53" s="50"/>
      <c r="X53" s="50"/>
      <c r="Y53" s="50"/>
      <c r="Z53" s="50"/>
      <c r="AA53" s="50"/>
      <c r="AB53" s="50"/>
      <c r="AC53" s="50"/>
      <c r="AD53" s="50"/>
      <c r="AE53" s="50"/>
      <c r="AF53" s="50"/>
      <c r="AG53" s="50"/>
      <c r="AH53" s="50"/>
      <c r="AI53" s="50"/>
      <c r="AJ53" s="50"/>
      <c r="AK53" s="50"/>
      <c r="AL53" s="50"/>
      <c r="AM53" s="50"/>
      <c r="AN53" s="50"/>
      <c r="AO53" s="50"/>
    </row>
    <row r="54" spans="1:41" ht="15.75" x14ac:dyDescent="0.25">
      <c r="A54" s="346">
        <f>ROW()</f>
        <v>54</v>
      </c>
      <c r="B54" s="1550" t="s">
        <v>526</v>
      </c>
      <c r="C54" s="1234"/>
      <c r="D54" s="1235"/>
      <c r="E54" s="1236"/>
      <c r="F54" s="1236">
        <f>+F53</f>
        <v>-1849271.5741114307</v>
      </c>
      <c r="G54" s="1236">
        <f>+F54+G53</f>
        <v>-1762340.7736578614</v>
      </c>
      <c r="H54" s="1236">
        <f t="shared" ref="H54:R54" si="36">+G54+H53</f>
        <v>-1675409.9732042921</v>
      </c>
      <c r="I54" s="1236">
        <f t="shared" si="36"/>
        <v>-1588479.1727507228</v>
      </c>
      <c r="J54" s="1236">
        <f t="shared" si="36"/>
        <v>-1301784.2102071533</v>
      </c>
      <c r="K54" s="1236">
        <f t="shared" si="36"/>
        <v>-1214853.4097535841</v>
      </c>
      <c r="L54" s="1236">
        <f t="shared" si="36"/>
        <v>-1127922.6093000148</v>
      </c>
      <c r="M54" s="1236">
        <f t="shared" si="36"/>
        <v>-941109.72780144517</v>
      </c>
      <c r="N54" s="1236">
        <f t="shared" si="36"/>
        <v>-854178.9273478759</v>
      </c>
      <c r="O54" s="1236">
        <f t="shared" si="36"/>
        <v>-667366.04584930628</v>
      </c>
      <c r="P54" s="1236">
        <f t="shared" si="36"/>
        <v>-580435.245395737</v>
      </c>
      <c r="Q54" s="1236">
        <f t="shared" si="36"/>
        <v>-485384.44494216773</v>
      </c>
      <c r="R54" s="1236">
        <f t="shared" si="36"/>
        <v>1450817.9296228322</v>
      </c>
      <c r="U54" s="343"/>
      <c r="W54" s="50"/>
      <c r="X54" s="50"/>
      <c r="Y54" s="50"/>
      <c r="Z54" s="50"/>
      <c r="AA54" s="50"/>
      <c r="AB54" s="50"/>
      <c r="AC54" s="50"/>
      <c r="AD54" s="50"/>
      <c r="AE54" s="50"/>
      <c r="AF54" s="50"/>
      <c r="AG54" s="50"/>
      <c r="AH54" s="50"/>
      <c r="AI54" s="50"/>
      <c r="AJ54" s="50"/>
      <c r="AK54" s="50"/>
      <c r="AL54" s="50"/>
      <c r="AM54" s="50"/>
      <c r="AN54" s="50"/>
      <c r="AO54" s="50"/>
    </row>
    <row r="55" spans="1:41" ht="15.75" x14ac:dyDescent="0.25">
      <c r="A55" s="346">
        <f>ROW()</f>
        <v>55</v>
      </c>
      <c r="B55" s="1270"/>
      <c r="C55" s="1271"/>
      <c r="D55" s="1272"/>
      <c r="E55" s="1273"/>
      <c r="F55" s="1273"/>
      <c r="G55" s="1273"/>
      <c r="H55" s="1273"/>
      <c r="I55" s="1273"/>
      <c r="J55" s="1273"/>
      <c r="K55" s="1273"/>
      <c r="L55" s="1273"/>
      <c r="M55" s="1273"/>
      <c r="N55" s="1273"/>
      <c r="O55" s="1273"/>
      <c r="P55" s="1273"/>
      <c r="Q55" s="1273"/>
      <c r="R55" s="1273"/>
      <c r="U55" s="343"/>
      <c r="W55" s="50"/>
      <c r="X55" s="50"/>
      <c r="Y55" s="50"/>
      <c r="Z55" s="50"/>
      <c r="AA55" s="50"/>
      <c r="AB55" s="50"/>
      <c r="AC55" s="50"/>
      <c r="AD55" s="50"/>
      <c r="AE55" s="50"/>
      <c r="AF55" s="50"/>
      <c r="AG55" s="50"/>
      <c r="AH55" s="50"/>
      <c r="AI55" s="50"/>
      <c r="AJ55" s="50"/>
      <c r="AK55" s="50"/>
      <c r="AL55" s="50"/>
      <c r="AM55" s="50"/>
      <c r="AN55" s="50"/>
      <c r="AO55" s="50"/>
    </row>
    <row r="56" spans="1:41" x14ac:dyDescent="0.25">
      <c r="A56" s="346">
        <f>ROW()</f>
        <v>56</v>
      </c>
      <c r="B56" s="13" t="s">
        <v>527</v>
      </c>
      <c r="C56" s="13"/>
      <c r="D56" s="1230"/>
      <c r="E56" s="1230"/>
      <c r="F56" s="538">
        <f>F51</f>
        <v>2128063.2407780974</v>
      </c>
      <c r="G56" s="538">
        <f t="shared" ref="G56:R56" si="37">F56+G51</f>
        <v>4256126.4815561948</v>
      </c>
      <c r="H56" s="538">
        <f t="shared" si="37"/>
        <v>6384189.7223342918</v>
      </c>
      <c r="I56" s="538">
        <f t="shared" si="37"/>
        <v>8512252.9631123897</v>
      </c>
      <c r="J56" s="538">
        <f t="shared" si="37"/>
        <v>10640316.203890488</v>
      </c>
      <c r="K56" s="538">
        <f t="shared" si="37"/>
        <v>12768379.444668585</v>
      </c>
      <c r="L56" s="538">
        <f t="shared" si="37"/>
        <v>14896442.685446683</v>
      </c>
      <c r="M56" s="538">
        <f t="shared" si="37"/>
        <v>17024505.926224779</v>
      </c>
      <c r="N56" s="538">
        <f t="shared" si="37"/>
        <v>19152569.167002875</v>
      </c>
      <c r="O56" s="538">
        <f t="shared" si="37"/>
        <v>21280632.407780971</v>
      </c>
      <c r="P56" s="538">
        <f t="shared" si="37"/>
        <v>23408695.648559067</v>
      </c>
      <c r="Q56" s="538">
        <f t="shared" si="37"/>
        <v>25536758.889337163</v>
      </c>
      <c r="R56" s="538">
        <f t="shared" si="37"/>
        <v>25536758.889337163</v>
      </c>
      <c r="U56" s="343"/>
      <c r="W56" s="50"/>
      <c r="X56" s="50"/>
      <c r="Y56" s="50"/>
      <c r="Z56" s="50"/>
      <c r="AA56" s="50"/>
      <c r="AB56" s="50"/>
      <c r="AC56" s="50"/>
      <c r="AD56" s="50"/>
      <c r="AE56" s="50"/>
      <c r="AF56" s="50"/>
      <c r="AG56" s="50"/>
      <c r="AH56" s="50"/>
      <c r="AI56" s="50"/>
      <c r="AJ56" s="50"/>
      <c r="AK56" s="50"/>
      <c r="AL56" s="50"/>
      <c r="AM56" s="50"/>
      <c r="AN56" s="50"/>
      <c r="AO56" s="50"/>
    </row>
    <row r="57" spans="1:41" x14ac:dyDescent="0.25">
      <c r="A57" s="346">
        <f>ROW()</f>
        <v>57</v>
      </c>
      <c r="B57" s="14" t="s">
        <v>528</v>
      </c>
      <c r="C57" s="14"/>
      <c r="D57" s="14"/>
      <c r="E57" s="550"/>
      <c r="F57" s="540">
        <f t="shared" ref="F57:R57" si="38">IFERROR(F56/$E51,0)</f>
        <v>8.3333333333333356E-2</v>
      </c>
      <c r="G57" s="540">
        <f t="shared" si="38"/>
        <v>0.16666666666666671</v>
      </c>
      <c r="H57" s="540">
        <f t="shared" si="38"/>
        <v>0.25000000000000006</v>
      </c>
      <c r="I57" s="540">
        <f t="shared" si="38"/>
        <v>0.33333333333333343</v>
      </c>
      <c r="J57" s="540">
        <f t="shared" si="38"/>
        <v>0.4166666666666668</v>
      </c>
      <c r="K57" s="540">
        <f t="shared" si="38"/>
        <v>0.50000000000000011</v>
      </c>
      <c r="L57" s="540">
        <f t="shared" si="38"/>
        <v>0.58333333333333348</v>
      </c>
      <c r="M57" s="540">
        <f t="shared" si="38"/>
        <v>0.66666666666666685</v>
      </c>
      <c r="N57" s="540">
        <f t="shared" si="38"/>
        <v>0.75000000000000011</v>
      </c>
      <c r="O57" s="540">
        <f t="shared" si="38"/>
        <v>0.83333333333333337</v>
      </c>
      <c r="P57" s="540">
        <f t="shared" si="38"/>
        <v>0.91666666666666674</v>
      </c>
      <c r="Q57" s="540">
        <f t="shared" si="38"/>
        <v>1</v>
      </c>
      <c r="R57" s="540">
        <f t="shared" si="38"/>
        <v>1</v>
      </c>
      <c r="U57" s="343"/>
      <c r="W57" s="50"/>
      <c r="X57" s="50"/>
      <c r="Y57" s="50"/>
      <c r="Z57" s="50"/>
      <c r="AA57" s="50"/>
      <c r="AB57" s="50"/>
      <c r="AC57" s="50"/>
      <c r="AD57" s="50"/>
      <c r="AE57" s="50"/>
      <c r="AF57" s="50"/>
      <c r="AG57" s="50"/>
      <c r="AH57" s="50"/>
      <c r="AI57" s="50"/>
      <c r="AJ57" s="50"/>
      <c r="AK57" s="50"/>
      <c r="AL57" s="50"/>
      <c r="AM57" s="50"/>
      <c r="AN57" s="50"/>
      <c r="AO57" s="50"/>
    </row>
    <row r="58" spans="1:41" x14ac:dyDescent="0.25">
      <c r="A58" s="346">
        <f>ROW()</f>
        <v>58</v>
      </c>
      <c r="B58" s="13" t="s">
        <v>529</v>
      </c>
      <c r="C58" s="13"/>
      <c r="D58" s="13"/>
      <c r="E58" s="28"/>
      <c r="F58" s="1233">
        <f t="shared" ref="F58:R58" si="39">IFERROR((F36-F57)/F36,0)</f>
        <v>-7.0668291194021844</v>
      </c>
      <c r="G58" s="1233">
        <f t="shared" si="39"/>
        <v>-0.80365516394644454</v>
      </c>
      <c r="H58" s="1233">
        <f t="shared" si="39"/>
        <v>-0.43283282807750095</v>
      </c>
      <c r="I58" s="1233">
        <f t="shared" si="39"/>
        <v>-0.29927106402236098</v>
      </c>
      <c r="J58" s="1233">
        <f t="shared" si="39"/>
        <v>-0.20413183594303397</v>
      </c>
      <c r="K58" s="1233">
        <f t="shared" si="39"/>
        <v>-0.16793681588646531</v>
      </c>
      <c r="L58" s="1233">
        <f t="shared" si="39"/>
        <v>-0.14338745611933579</v>
      </c>
      <c r="M58" s="1233">
        <f t="shared" si="39"/>
        <v>-0.11865166146130351</v>
      </c>
      <c r="N58" s="1233">
        <f t="shared" si="39"/>
        <v>-0.10614553242808243</v>
      </c>
      <c r="O58" s="1233">
        <f t="shared" si="39"/>
        <v>-9.1027833932566304E-2</v>
      </c>
      <c r="P58" s="1233">
        <f t="shared" si="39"/>
        <v>-8.3683629288661021E-2</v>
      </c>
      <c r="Q58" s="1233">
        <f t="shared" si="39"/>
        <v>-0.18177996435992289</v>
      </c>
      <c r="R58" s="1233">
        <f t="shared" si="39"/>
        <v>-8.9770331833364192E-2</v>
      </c>
      <c r="U58" s="343"/>
      <c r="W58" s="50"/>
      <c r="X58" s="50"/>
      <c r="Y58" s="50"/>
      <c r="Z58" s="50"/>
      <c r="AA58" s="50"/>
      <c r="AB58" s="50"/>
      <c r="AC58" s="50"/>
      <c r="AD58" s="50"/>
      <c r="AE58" s="50"/>
      <c r="AF58" s="50"/>
      <c r="AG58" s="50"/>
      <c r="AH58" s="50"/>
      <c r="AI58" s="50"/>
      <c r="AJ58" s="50"/>
      <c r="AK58" s="50"/>
      <c r="AL58" s="50"/>
      <c r="AM58" s="50"/>
      <c r="AN58" s="50"/>
      <c r="AO58" s="50"/>
    </row>
    <row r="59" spans="1:41" x14ac:dyDescent="0.25">
      <c r="A59" s="346">
        <f>ROW()</f>
        <v>59</v>
      </c>
      <c r="B59" s="13" t="s">
        <v>530</v>
      </c>
      <c r="C59" s="13"/>
      <c r="D59" s="13"/>
      <c r="E59" s="28"/>
      <c r="F59" s="1239">
        <f>+F15</f>
        <v>31</v>
      </c>
      <c r="G59" s="1239">
        <f t="shared" ref="G59:R59" si="40">+F59+G15</f>
        <v>62</v>
      </c>
      <c r="H59" s="1239">
        <f t="shared" si="40"/>
        <v>92</v>
      </c>
      <c r="I59" s="1239">
        <f t="shared" si="40"/>
        <v>123</v>
      </c>
      <c r="J59" s="1239">
        <f t="shared" si="40"/>
        <v>153</v>
      </c>
      <c r="K59" s="1239">
        <f t="shared" si="40"/>
        <v>184</v>
      </c>
      <c r="L59" s="1239">
        <f t="shared" si="40"/>
        <v>215</v>
      </c>
      <c r="M59" s="1239">
        <f t="shared" si="40"/>
        <v>243</v>
      </c>
      <c r="N59" s="1239">
        <f t="shared" si="40"/>
        <v>274</v>
      </c>
      <c r="O59" s="1239">
        <f t="shared" si="40"/>
        <v>304</v>
      </c>
      <c r="P59" s="1239">
        <f t="shared" si="40"/>
        <v>335</v>
      </c>
      <c r="Q59" s="1239">
        <f t="shared" si="40"/>
        <v>365</v>
      </c>
      <c r="R59" s="1239">
        <f t="shared" si="40"/>
        <v>365</v>
      </c>
      <c r="U59" s="343"/>
      <c r="W59" s="50"/>
      <c r="X59" s="50"/>
      <c r="Y59" s="50"/>
      <c r="Z59" s="50"/>
      <c r="AA59" s="50"/>
      <c r="AB59" s="50"/>
      <c r="AC59" s="50"/>
      <c r="AD59" s="50"/>
      <c r="AE59" s="50"/>
      <c r="AF59" s="50"/>
      <c r="AG59" s="50"/>
      <c r="AH59" s="50"/>
      <c r="AI59" s="50"/>
      <c r="AJ59" s="50"/>
      <c r="AK59" s="50"/>
      <c r="AL59" s="50"/>
      <c r="AM59" s="50"/>
      <c r="AN59" s="50"/>
      <c r="AO59" s="50"/>
    </row>
    <row r="60" spans="1:41" x14ac:dyDescent="0.25">
      <c r="A60" s="346">
        <f>ROW()</f>
        <v>60</v>
      </c>
      <c r="B60" s="13"/>
      <c r="C60" s="13"/>
      <c r="D60" s="13"/>
      <c r="E60" s="28"/>
      <c r="F60" s="29"/>
      <c r="G60" s="29"/>
      <c r="H60" s="29"/>
      <c r="I60" s="29"/>
      <c r="J60" s="29"/>
      <c r="K60" s="29"/>
      <c r="L60" s="29"/>
      <c r="M60" s="29"/>
      <c r="N60" s="29"/>
      <c r="O60" s="29"/>
      <c r="P60" s="29"/>
      <c r="Q60" s="29"/>
      <c r="R60" s="29"/>
      <c r="U60" s="343"/>
      <c r="W60" s="50"/>
      <c r="X60" s="50"/>
      <c r="Y60" s="50"/>
      <c r="Z60" s="50"/>
      <c r="AA60" s="50"/>
      <c r="AB60" s="50"/>
      <c r="AC60" s="50"/>
      <c r="AD60" s="50"/>
      <c r="AE60" s="50"/>
      <c r="AF60" s="50"/>
      <c r="AG60" s="50"/>
      <c r="AH60" s="50"/>
      <c r="AI60" s="50"/>
      <c r="AJ60" s="50"/>
      <c r="AK60" s="50"/>
      <c r="AL60" s="50"/>
      <c r="AM60" s="50"/>
      <c r="AN60" s="50"/>
      <c r="AO60" s="50"/>
    </row>
    <row r="61" spans="1:41" x14ac:dyDescent="0.25">
      <c r="A61" s="346">
        <f>ROW()</f>
        <v>61</v>
      </c>
      <c r="B61" s="82" t="s">
        <v>531</v>
      </c>
      <c r="C61" s="82"/>
      <c r="D61" s="82"/>
      <c r="E61" s="766"/>
      <c r="F61" s="767"/>
      <c r="G61" s="767"/>
      <c r="H61" s="767"/>
      <c r="I61" s="767"/>
      <c r="J61" s="767"/>
      <c r="K61" s="767"/>
      <c r="L61" s="767"/>
      <c r="M61" s="767"/>
      <c r="N61" s="767"/>
      <c r="O61" s="767"/>
      <c r="P61" s="767"/>
      <c r="Q61" s="767"/>
      <c r="R61" s="767"/>
      <c r="U61" s="343"/>
      <c r="W61" s="50"/>
      <c r="X61" s="50"/>
      <c r="Y61" s="50"/>
      <c r="Z61" s="50"/>
      <c r="AA61" s="50"/>
      <c r="AB61" s="50"/>
      <c r="AC61" s="50"/>
      <c r="AD61" s="50"/>
      <c r="AE61" s="50"/>
      <c r="AF61" s="50"/>
      <c r="AG61" s="50"/>
      <c r="AH61" s="50"/>
      <c r="AI61" s="50"/>
      <c r="AJ61" s="50"/>
      <c r="AK61" s="50"/>
      <c r="AL61" s="50"/>
      <c r="AM61" s="50"/>
      <c r="AN61" s="50"/>
      <c r="AO61" s="50"/>
    </row>
    <row r="62" spans="1:41" x14ac:dyDescent="0.25">
      <c r="A62" s="346">
        <f>ROW()</f>
        <v>62</v>
      </c>
      <c r="B62" s="31" t="s">
        <v>532</v>
      </c>
      <c r="F62" s="563"/>
      <c r="G62" s="1754">
        <f>+F67</f>
        <v>0</v>
      </c>
      <c r="H62" s="1754">
        <f t="shared" ref="H62:R62" si="41">+G67</f>
        <v>0</v>
      </c>
      <c r="I62" s="1754">
        <f t="shared" si="41"/>
        <v>0</v>
      </c>
      <c r="J62" s="1754">
        <f t="shared" si="41"/>
        <v>0</v>
      </c>
      <c r="K62" s="1754">
        <f t="shared" si="41"/>
        <v>0</v>
      </c>
      <c r="L62" s="1754">
        <f t="shared" si="41"/>
        <v>0</v>
      </c>
      <c r="M62" s="1754">
        <f t="shared" si="41"/>
        <v>0</v>
      </c>
      <c r="N62" s="1754">
        <f t="shared" si="41"/>
        <v>0</v>
      </c>
      <c r="O62" s="1754">
        <f t="shared" si="41"/>
        <v>0</v>
      </c>
      <c r="P62" s="1754">
        <f t="shared" si="41"/>
        <v>0</v>
      </c>
      <c r="Q62" s="1754">
        <f t="shared" si="41"/>
        <v>0</v>
      </c>
      <c r="R62" s="1754">
        <f t="shared" si="41"/>
        <v>0</v>
      </c>
      <c r="U62" s="343"/>
      <c r="W62" s="50"/>
      <c r="X62" s="50"/>
      <c r="Y62" s="50"/>
      <c r="Z62" s="50"/>
      <c r="AA62" s="50"/>
      <c r="AB62" s="50"/>
      <c r="AC62" s="50"/>
      <c r="AD62" s="50"/>
      <c r="AE62" s="50"/>
      <c r="AF62" s="50"/>
      <c r="AG62" s="50"/>
      <c r="AH62" s="50"/>
      <c r="AI62" s="50"/>
      <c r="AJ62" s="50"/>
      <c r="AK62" s="50"/>
      <c r="AL62" s="50"/>
      <c r="AM62" s="50"/>
      <c r="AN62" s="50"/>
      <c r="AO62" s="50"/>
    </row>
    <row r="63" spans="1:41" x14ac:dyDescent="0.25">
      <c r="A63" s="346">
        <f>ROW()</f>
        <v>63</v>
      </c>
      <c r="B63" s="12" t="s">
        <v>533</v>
      </c>
      <c r="C63" s="13"/>
      <c r="D63" s="13"/>
      <c r="E63" s="549">
        <f>SUM(F63:R63)</f>
        <v>0</v>
      </c>
      <c r="F63" s="1238"/>
      <c r="G63" s="1238"/>
      <c r="H63" s="1238"/>
      <c r="I63" s="1238"/>
      <c r="J63" s="1238"/>
      <c r="K63" s="1238"/>
      <c r="L63" s="1238"/>
      <c r="M63" s="1238"/>
      <c r="N63" s="1238"/>
      <c r="O63" s="1238"/>
      <c r="P63" s="1238"/>
      <c r="Q63" s="1238"/>
      <c r="R63" s="1238">
        <f t="shared" ref="R63" si="42">IF(R53&lt;0,-R53,0)</f>
        <v>0</v>
      </c>
      <c r="U63" s="343"/>
      <c r="W63" s="50"/>
      <c r="X63" s="50"/>
      <c r="Y63" s="50"/>
      <c r="Z63" s="50"/>
      <c r="AA63" s="50"/>
      <c r="AB63" s="50"/>
      <c r="AC63" s="50"/>
      <c r="AD63" s="50"/>
      <c r="AE63" s="50"/>
      <c r="AF63" s="50"/>
      <c r="AG63" s="50"/>
      <c r="AH63" s="50"/>
      <c r="AI63" s="50"/>
      <c r="AJ63" s="50"/>
      <c r="AK63" s="50"/>
      <c r="AL63" s="50"/>
      <c r="AM63" s="50"/>
      <c r="AN63" s="50"/>
      <c r="AO63" s="50"/>
    </row>
    <row r="64" spans="1:41" x14ac:dyDescent="0.25">
      <c r="A64" s="346">
        <f>ROW()</f>
        <v>64</v>
      </c>
      <c r="B64" s="12" t="s">
        <v>534</v>
      </c>
      <c r="C64" s="13"/>
      <c r="D64" s="13"/>
      <c r="E64" s="549"/>
      <c r="F64" s="1755">
        <f>SUM(F62:F63)</f>
        <v>0</v>
      </c>
      <c r="G64" s="1755">
        <f>SUM(G62:G63)</f>
        <v>0</v>
      </c>
      <c r="H64" s="1755">
        <f t="shared" ref="H64:R64" si="43">SUM(H62:H63)</f>
        <v>0</v>
      </c>
      <c r="I64" s="1755">
        <f t="shared" si="43"/>
        <v>0</v>
      </c>
      <c r="J64" s="1755">
        <f t="shared" si="43"/>
        <v>0</v>
      </c>
      <c r="K64" s="1755">
        <f t="shared" si="43"/>
        <v>0</v>
      </c>
      <c r="L64" s="1755">
        <f t="shared" si="43"/>
        <v>0</v>
      </c>
      <c r="M64" s="1755">
        <f t="shared" si="43"/>
        <v>0</v>
      </c>
      <c r="N64" s="1755">
        <f t="shared" si="43"/>
        <v>0</v>
      </c>
      <c r="O64" s="1755">
        <f t="shared" si="43"/>
        <v>0</v>
      </c>
      <c r="P64" s="1755">
        <f t="shared" si="43"/>
        <v>0</v>
      </c>
      <c r="Q64" s="1755">
        <f t="shared" ref="Q64" si="44">SUM(Q62:Q63)</f>
        <v>0</v>
      </c>
      <c r="R64" s="1755">
        <f t="shared" si="43"/>
        <v>0</v>
      </c>
      <c r="U64" s="343"/>
      <c r="W64" s="50"/>
      <c r="X64" s="50"/>
      <c r="Y64" s="50"/>
      <c r="Z64" s="50"/>
      <c r="AA64" s="50"/>
      <c r="AB64" s="50"/>
      <c r="AC64" s="50"/>
      <c r="AD64" s="50"/>
      <c r="AE64" s="50"/>
      <c r="AF64" s="50"/>
      <c r="AG64" s="50"/>
      <c r="AH64" s="50"/>
      <c r="AI64" s="50"/>
      <c r="AJ64" s="50"/>
      <c r="AK64" s="50"/>
      <c r="AL64" s="50"/>
      <c r="AM64" s="50"/>
      <c r="AN64" s="50"/>
      <c r="AO64" s="50"/>
    </row>
    <row r="65" spans="1:41" x14ac:dyDescent="0.25">
      <c r="A65" s="346">
        <f>ROW()</f>
        <v>65</v>
      </c>
      <c r="B65" s="12" t="s">
        <v>535</v>
      </c>
      <c r="C65" s="1386">
        <v>7.0000000000000007E-2</v>
      </c>
      <c r="D65" s="13"/>
      <c r="E65" s="1756">
        <f>SUM(F65:R65)</f>
        <v>0</v>
      </c>
      <c r="F65" s="534">
        <f>F62*($C$65/12)</f>
        <v>0</v>
      </c>
      <c r="G65" s="534">
        <f>G62*($C$65/12)</f>
        <v>0</v>
      </c>
      <c r="H65" s="534">
        <f t="shared" ref="H65:R65" si="45">H62*($C$65/12)</f>
        <v>0</v>
      </c>
      <c r="I65" s="534">
        <f t="shared" si="45"/>
        <v>0</v>
      </c>
      <c r="J65" s="534">
        <f t="shared" si="45"/>
        <v>0</v>
      </c>
      <c r="K65" s="534">
        <f t="shared" si="45"/>
        <v>0</v>
      </c>
      <c r="L65" s="534">
        <f t="shared" si="45"/>
        <v>0</v>
      </c>
      <c r="M65" s="534">
        <f t="shared" si="45"/>
        <v>0</v>
      </c>
      <c r="N65" s="534">
        <f t="shared" si="45"/>
        <v>0</v>
      </c>
      <c r="O65" s="534">
        <f t="shared" si="45"/>
        <v>0</v>
      </c>
      <c r="P65" s="534">
        <f t="shared" si="45"/>
        <v>0</v>
      </c>
      <c r="Q65" s="534">
        <f t="shared" si="45"/>
        <v>0</v>
      </c>
      <c r="R65" s="534">
        <f t="shared" si="45"/>
        <v>0</v>
      </c>
      <c r="U65" s="343"/>
      <c r="W65" s="50"/>
      <c r="X65" s="50"/>
      <c r="Y65" s="50"/>
      <c r="Z65" s="50"/>
      <c r="AA65" s="50"/>
      <c r="AB65" s="50"/>
      <c r="AC65" s="50"/>
      <c r="AD65" s="50"/>
      <c r="AE65" s="50"/>
      <c r="AF65" s="50"/>
      <c r="AG65" s="50"/>
      <c r="AH65" s="50"/>
      <c r="AI65" s="50"/>
      <c r="AJ65" s="50"/>
      <c r="AK65" s="50"/>
      <c r="AL65" s="50"/>
      <c r="AM65" s="50"/>
      <c r="AN65" s="50"/>
      <c r="AO65" s="50"/>
    </row>
    <row r="66" spans="1:41" x14ac:dyDescent="0.25">
      <c r="A66" s="346">
        <f>ROW()</f>
        <v>66</v>
      </c>
      <c r="B66" s="12" t="s">
        <v>536</v>
      </c>
      <c r="C66" s="13"/>
      <c r="D66" s="13"/>
      <c r="E66" s="549">
        <f>SUM(F66:R66)</f>
        <v>0</v>
      </c>
      <c r="F66" s="1238">
        <f>IF(F52&gt;0,MIN(F52,(F64+F65)),0)</f>
        <v>0</v>
      </c>
      <c r="G66" s="1238">
        <f>IF(G52&gt;0,MIN(G52,(G64+G65)),0)</f>
        <v>0</v>
      </c>
      <c r="H66" s="1238">
        <f t="shared" ref="H66:R66" si="46">IF(H52&gt;0,MIN(H52,(H64+H65)),0)</f>
        <v>0</v>
      </c>
      <c r="I66" s="1238">
        <f t="shared" si="46"/>
        <v>0</v>
      </c>
      <c r="J66" s="1238">
        <f t="shared" si="46"/>
        <v>0</v>
      </c>
      <c r="K66" s="1238">
        <f t="shared" si="46"/>
        <v>0</v>
      </c>
      <c r="L66" s="1238">
        <f t="shared" si="46"/>
        <v>0</v>
      </c>
      <c r="M66" s="1238">
        <f t="shared" si="46"/>
        <v>0</v>
      </c>
      <c r="N66" s="1238">
        <f t="shared" si="46"/>
        <v>0</v>
      </c>
      <c r="O66" s="1238">
        <f>IF(O52&gt;0,MIN(O52,(O64+O65)),0)</f>
        <v>0</v>
      </c>
      <c r="P66" s="1238">
        <f t="shared" si="46"/>
        <v>0</v>
      </c>
      <c r="Q66" s="1238">
        <f t="shared" si="46"/>
        <v>0</v>
      </c>
      <c r="R66" s="1238">
        <f t="shared" si="46"/>
        <v>0</v>
      </c>
      <c r="U66" s="343"/>
      <c r="W66" s="50"/>
      <c r="X66" s="50"/>
      <c r="Y66" s="50"/>
      <c r="Z66" s="50"/>
      <c r="AA66" s="50"/>
      <c r="AB66" s="50"/>
      <c r="AC66" s="50"/>
      <c r="AD66" s="50"/>
      <c r="AE66" s="50"/>
      <c r="AF66" s="50"/>
      <c r="AG66" s="50"/>
      <c r="AH66" s="50"/>
      <c r="AI66" s="50"/>
      <c r="AJ66" s="50"/>
      <c r="AK66" s="50"/>
      <c r="AL66" s="50"/>
      <c r="AM66" s="50"/>
      <c r="AN66" s="50"/>
      <c r="AO66" s="50"/>
    </row>
    <row r="67" spans="1:41" x14ac:dyDescent="0.25">
      <c r="A67" s="346">
        <f>ROW()</f>
        <v>67</v>
      </c>
      <c r="B67" s="13" t="s">
        <v>537</v>
      </c>
      <c r="C67" s="13"/>
      <c r="D67" s="13"/>
      <c r="E67" s="549"/>
      <c r="F67" s="1757">
        <f t="shared" ref="F67:R67" si="47">F64+F65-F66</f>
        <v>0</v>
      </c>
      <c r="G67" s="1757">
        <f t="shared" si="47"/>
        <v>0</v>
      </c>
      <c r="H67" s="1757">
        <f t="shared" si="47"/>
        <v>0</v>
      </c>
      <c r="I67" s="1757">
        <f t="shared" si="47"/>
        <v>0</v>
      </c>
      <c r="J67" s="1757">
        <f t="shared" si="47"/>
        <v>0</v>
      </c>
      <c r="K67" s="1757">
        <f t="shared" si="47"/>
        <v>0</v>
      </c>
      <c r="L67" s="1757">
        <f t="shared" si="47"/>
        <v>0</v>
      </c>
      <c r="M67" s="1757">
        <f>M64+M65-M66</f>
        <v>0</v>
      </c>
      <c r="N67" s="1757">
        <f t="shared" si="47"/>
        <v>0</v>
      </c>
      <c r="O67" s="1757">
        <f t="shared" si="47"/>
        <v>0</v>
      </c>
      <c r="P67" s="1757">
        <f t="shared" si="47"/>
        <v>0</v>
      </c>
      <c r="Q67" s="1757">
        <f t="shared" ref="Q67" si="48">Q64+Q65-Q66</f>
        <v>0</v>
      </c>
      <c r="R67" s="1757">
        <f t="shared" si="47"/>
        <v>0</v>
      </c>
      <c r="U67" s="343"/>
      <c r="W67" s="50"/>
      <c r="X67" s="50"/>
      <c r="Y67" s="50"/>
      <c r="Z67" s="50"/>
      <c r="AA67" s="50"/>
      <c r="AB67" s="50"/>
      <c r="AC67" s="50"/>
      <c r="AD67" s="50"/>
      <c r="AE67" s="50"/>
      <c r="AF67" s="50"/>
      <c r="AG67" s="50"/>
      <c r="AH67" s="50"/>
      <c r="AI67" s="50"/>
      <c r="AJ67" s="50"/>
      <c r="AK67" s="50"/>
      <c r="AL67" s="50"/>
      <c r="AM67" s="50"/>
      <c r="AN67" s="50"/>
      <c r="AO67" s="50"/>
    </row>
    <row r="68" spans="1:41" x14ac:dyDescent="0.25">
      <c r="A68" s="346">
        <f>ROW()</f>
        <v>68</v>
      </c>
      <c r="B68" s="13" t="s">
        <v>538</v>
      </c>
      <c r="C68" s="13"/>
      <c r="D68" s="13"/>
      <c r="E68" s="1758"/>
      <c r="F68" s="1759">
        <f t="shared" ref="F68:N68" si="49">IF(F63=-F52,MAX(0,E68),F52-F66+E68)</f>
        <v>-1849271.5741114307</v>
      </c>
      <c r="G68" s="1759">
        <f t="shared" si="49"/>
        <v>-1762340.7736578614</v>
      </c>
      <c r="H68" s="1759">
        <f t="shared" si="49"/>
        <v>-1675409.9732042921</v>
      </c>
      <c r="I68" s="1759">
        <f t="shared" si="49"/>
        <v>-1588479.1727507228</v>
      </c>
      <c r="J68" s="1759">
        <f t="shared" si="49"/>
        <v>-1301784.2102071533</v>
      </c>
      <c r="K68" s="1759">
        <f t="shared" si="49"/>
        <v>-1214853.4097535841</v>
      </c>
      <c r="L68" s="1759">
        <f t="shared" si="49"/>
        <v>-1127922.6093000148</v>
      </c>
      <c r="M68" s="1759">
        <f t="shared" si="49"/>
        <v>-941109.72780144517</v>
      </c>
      <c r="N68" s="1759">
        <f t="shared" si="49"/>
        <v>-854178.9273478759</v>
      </c>
      <c r="O68" s="1759">
        <f>IF(O63=-O52,MAX(0,N68),O52-O66+N68)</f>
        <v>-667366.04584930628</v>
      </c>
      <c r="P68" s="1759">
        <f t="shared" ref="P68:R68" si="50">IF(P63=-P52,MAX(0,O68),P52-P66+O68)</f>
        <v>-580435.245395737</v>
      </c>
      <c r="Q68" s="1759">
        <f t="shared" si="50"/>
        <v>-485384.44494216773</v>
      </c>
      <c r="R68" s="1760">
        <f t="shared" si="50"/>
        <v>1450817.9296228322</v>
      </c>
      <c r="U68" s="1378"/>
      <c r="W68" s="50"/>
      <c r="X68" s="50"/>
      <c r="Y68" s="50"/>
      <c r="Z68" s="50"/>
      <c r="AA68" s="50"/>
      <c r="AB68" s="50"/>
      <c r="AC68" s="50"/>
      <c r="AD68" s="50"/>
      <c r="AE68" s="50"/>
      <c r="AF68" s="50"/>
      <c r="AG68" s="50"/>
      <c r="AH68" s="50"/>
      <c r="AI68" s="50"/>
      <c r="AJ68" s="50"/>
      <c r="AK68" s="50"/>
      <c r="AL68" s="50"/>
      <c r="AM68" s="50"/>
      <c r="AN68" s="50"/>
      <c r="AO68" s="50"/>
    </row>
    <row r="69" spans="1:41" x14ac:dyDescent="0.25">
      <c r="A69" s="346">
        <f>ROW()</f>
        <v>69</v>
      </c>
      <c r="B69" s="12"/>
      <c r="C69" s="12"/>
      <c r="D69" s="12"/>
      <c r="E69" s="1761"/>
      <c r="F69" s="1638"/>
      <c r="G69" s="1638"/>
      <c r="H69" s="1638"/>
      <c r="I69" s="1638"/>
      <c r="J69" s="1638"/>
      <c r="K69" s="1638"/>
      <c r="L69" s="1638"/>
      <c r="M69" s="1638"/>
      <c r="N69" s="1638"/>
      <c r="O69" s="1638"/>
      <c r="P69" s="1638"/>
      <c r="Q69" s="1638"/>
      <c r="R69" s="1638"/>
      <c r="U69" s="343"/>
      <c r="W69" s="50"/>
      <c r="X69" s="50"/>
      <c r="Y69" s="50"/>
      <c r="Z69" s="50"/>
      <c r="AA69" s="50"/>
      <c r="AB69" s="50"/>
      <c r="AC69" s="50"/>
      <c r="AD69" s="50"/>
      <c r="AE69" s="50"/>
      <c r="AF69" s="50"/>
      <c r="AG69" s="50"/>
      <c r="AH69" s="50"/>
      <c r="AI69" s="50"/>
      <c r="AJ69" s="50"/>
      <c r="AK69" s="50"/>
      <c r="AL69" s="50"/>
      <c r="AM69" s="50"/>
      <c r="AN69" s="50"/>
      <c r="AO69" s="50"/>
    </row>
    <row r="70" spans="1:41" x14ac:dyDescent="0.25">
      <c r="A70" s="346">
        <f>ROW()</f>
        <v>70</v>
      </c>
      <c r="B70" s="86" t="s">
        <v>539</v>
      </c>
      <c r="C70" s="86"/>
      <c r="D70" s="86"/>
      <c r="E70" s="86"/>
      <c r="F70" s="87"/>
      <c r="G70" s="1645">
        <f t="shared" ref="G70:R70" si="51">IFERROR(MAX(G62,G68)/G51,0)</f>
        <v>0</v>
      </c>
      <c r="H70" s="1645">
        <f t="shared" si="51"/>
        <v>0</v>
      </c>
      <c r="I70" s="1645">
        <f t="shared" si="51"/>
        <v>0</v>
      </c>
      <c r="J70" s="1645">
        <f t="shared" si="51"/>
        <v>0</v>
      </c>
      <c r="K70" s="1645">
        <f t="shared" si="51"/>
        <v>0</v>
      </c>
      <c r="L70" s="1645">
        <f t="shared" si="51"/>
        <v>0</v>
      </c>
      <c r="M70" s="1645">
        <f t="shared" si="51"/>
        <v>0</v>
      </c>
      <c r="N70" s="1645">
        <f t="shared" si="51"/>
        <v>0</v>
      </c>
      <c r="O70" s="1645">
        <f t="shared" si="51"/>
        <v>0</v>
      </c>
      <c r="P70" s="1645">
        <f t="shared" si="51"/>
        <v>0</v>
      </c>
      <c r="Q70" s="1645">
        <f t="shared" si="51"/>
        <v>0</v>
      </c>
      <c r="R70" s="1646">
        <f t="shared" si="51"/>
        <v>0</v>
      </c>
      <c r="U70" s="343"/>
      <c r="W70" s="50"/>
      <c r="X70" s="50"/>
      <c r="Y70" s="50"/>
      <c r="Z70" s="50"/>
      <c r="AA70" s="50"/>
      <c r="AB70" s="50"/>
      <c r="AC70" s="50"/>
      <c r="AD70" s="50"/>
      <c r="AE70" s="50"/>
      <c r="AF70" s="50"/>
      <c r="AG70" s="50"/>
      <c r="AH70" s="50"/>
      <c r="AI70" s="50"/>
      <c r="AJ70" s="50"/>
      <c r="AK70" s="50"/>
      <c r="AL70" s="50"/>
      <c r="AM70" s="50"/>
      <c r="AN70" s="50"/>
      <c r="AO70" s="50"/>
    </row>
    <row r="71" spans="1:41" x14ac:dyDescent="0.25">
      <c r="A71" s="346">
        <f>ROW()</f>
        <v>71</v>
      </c>
      <c r="B71" s="13"/>
      <c r="C71" s="13"/>
      <c r="D71" s="13"/>
      <c r="E71" s="85"/>
      <c r="F71" s="85"/>
      <c r="G71" s="85"/>
      <c r="H71" s="85"/>
      <c r="I71" s="85"/>
      <c r="J71" s="85"/>
      <c r="K71" s="85"/>
      <c r="L71" s="85"/>
      <c r="M71" s="85"/>
      <c r="N71" s="85"/>
      <c r="O71" s="85"/>
      <c r="P71" s="85"/>
      <c r="Q71" s="85"/>
      <c r="R71" s="85"/>
      <c r="U71" s="343"/>
      <c r="W71" s="50"/>
      <c r="X71" s="50"/>
      <c r="Y71" s="50"/>
      <c r="Z71" s="50"/>
      <c r="AA71" s="50"/>
      <c r="AB71" s="50"/>
      <c r="AC71" s="50"/>
      <c r="AD71" s="50"/>
      <c r="AE71" s="50"/>
      <c r="AF71" s="50"/>
      <c r="AG71" s="50"/>
      <c r="AH71" s="50"/>
      <c r="AI71" s="50"/>
      <c r="AJ71" s="50"/>
      <c r="AK71" s="50"/>
      <c r="AL71" s="50"/>
      <c r="AM71" s="50"/>
      <c r="AN71" s="50"/>
      <c r="AO71" s="50"/>
    </row>
    <row r="72" spans="1:41" ht="18.75" x14ac:dyDescent="0.3">
      <c r="A72" s="346">
        <f>ROW()</f>
        <v>72</v>
      </c>
      <c r="B72" s="792" t="s">
        <v>540</v>
      </c>
      <c r="C72" s="792"/>
      <c r="D72" s="792"/>
      <c r="E72" s="165"/>
      <c r="F72" s="165"/>
      <c r="G72" s="165"/>
      <c r="H72" s="165"/>
      <c r="I72" s="165"/>
      <c r="J72" s="165"/>
      <c r="K72" s="165"/>
      <c r="L72" s="165"/>
      <c r="M72" s="165"/>
      <c r="N72" s="165"/>
      <c r="O72" s="165"/>
      <c r="P72" s="165"/>
      <c r="Q72" s="165"/>
      <c r="R72" s="165"/>
      <c r="U72" s="343"/>
      <c r="W72" s="50"/>
      <c r="X72" s="50"/>
      <c r="Y72" s="50"/>
      <c r="Z72" s="50"/>
      <c r="AA72" s="50"/>
      <c r="AB72" s="50"/>
      <c r="AC72" s="50"/>
      <c r="AD72" s="50"/>
      <c r="AE72" s="50"/>
      <c r="AF72" s="50"/>
      <c r="AG72" s="50"/>
      <c r="AH72" s="50"/>
      <c r="AI72" s="50"/>
      <c r="AJ72" s="50"/>
      <c r="AK72" s="50"/>
      <c r="AL72" s="50"/>
      <c r="AM72" s="50"/>
      <c r="AN72" s="50"/>
      <c r="AO72" s="50"/>
    </row>
    <row r="73" spans="1:41" x14ac:dyDescent="0.25">
      <c r="A73" s="346">
        <f>ROW()</f>
        <v>73</v>
      </c>
      <c r="U73" s="343"/>
      <c r="W73" s="50"/>
      <c r="X73" s="50"/>
      <c r="Y73" s="50"/>
      <c r="Z73" s="50"/>
      <c r="AA73" s="50"/>
      <c r="AB73" s="50"/>
      <c r="AC73" s="50"/>
      <c r="AD73" s="50"/>
      <c r="AE73" s="50"/>
      <c r="AF73" s="50"/>
      <c r="AG73" s="50"/>
      <c r="AH73" s="50"/>
      <c r="AI73" s="50"/>
      <c r="AJ73" s="50"/>
      <c r="AK73" s="50"/>
      <c r="AL73" s="50"/>
      <c r="AM73" s="50"/>
      <c r="AN73" s="50"/>
      <c r="AO73" s="50"/>
    </row>
    <row r="74" spans="1:41" x14ac:dyDescent="0.25">
      <c r="A74" s="346">
        <f>ROW()</f>
        <v>74</v>
      </c>
      <c r="B74" s="82" t="s">
        <v>491</v>
      </c>
      <c r="C74" s="82"/>
      <c r="D74" s="82"/>
      <c r="E74" s="88"/>
      <c r="F74" s="89"/>
      <c r="G74" s="89"/>
      <c r="H74" s="89"/>
      <c r="I74" s="89"/>
      <c r="J74" s="89"/>
      <c r="K74" s="89"/>
      <c r="L74" s="89"/>
      <c r="M74" s="89"/>
      <c r="N74" s="89"/>
      <c r="O74" s="89"/>
      <c r="P74" s="89"/>
      <c r="Q74" s="89"/>
      <c r="R74" s="89"/>
      <c r="U74" s="343"/>
      <c r="W74" s="50"/>
      <c r="X74" s="50"/>
      <c r="Y74" s="50"/>
      <c r="Z74" s="50"/>
      <c r="AA74" s="50"/>
      <c r="AB74" s="50"/>
      <c r="AC74" s="50"/>
      <c r="AD74" s="50"/>
      <c r="AE74" s="50"/>
      <c r="AF74" s="50"/>
      <c r="AG74" s="50"/>
      <c r="AH74" s="50"/>
      <c r="AI74" s="50"/>
      <c r="AJ74" s="50"/>
      <c r="AK74" s="50"/>
      <c r="AL74" s="50"/>
      <c r="AM74" s="50"/>
      <c r="AN74" s="50"/>
      <c r="AO74" s="50"/>
    </row>
    <row r="75" spans="1:41" x14ac:dyDescent="0.25">
      <c r="A75" s="346">
        <f>ROW()</f>
        <v>75</v>
      </c>
      <c r="B75" s="12" t="s">
        <v>492</v>
      </c>
      <c r="C75" s="12"/>
      <c r="D75" s="12"/>
      <c r="E75" s="553">
        <f t="shared" ref="E75:R75" si="52">IF(OR(E17=0,E$34=0),0,E17/E$34)</f>
        <v>0.87023730724502468</v>
      </c>
      <c r="F75" s="553">
        <f t="shared" si="52"/>
        <v>0</v>
      </c>
      <c r="G75" s="553">
        <f t="shared" si="52"/>
        <v>0.88358387362149249</v>
      </c>
      <c r="H75" s="553">
        <f t="shared" si="52"/>
        <v>0.88358387362149249</v>
      </c>
      <c r="I75" s="553">
        <f t="shared" si="52"/>
        <v>0.88358387362149249</v>
      </c>
      <c r="J75" s="553">
        <f t="shared" si="52"/>
        <v>0.81048819393504001</v>
      </c>
      <c r="K75" s="553">
        <f t="shared" si="52"/>
        <v>0.88358387362149249</v>
      </c>
      <c r="L75" s="553">
        <f t="shared" si="52"/>
        <v>0.88358387362149249</v>
      </c>
      <c r="M75" s="553">
        <f t="shared" si="52"/>
        <v>0.84545907064572035</v>
      </c>
      <c r="N75" s="553">
        <f t="shared" si="52"/>
        <v>0.88358387362149249</v>
      </c>
      <c r="O75" s="553">
        <f t="shared" si="52"/>
        <v>0.84545907064572035</v>
      </c>
      <c r="P75" s="553">
        <f t="shared" si="52"/>
        <v>0.88358387362149249</v>
      </c>
      <c r="Q75" s="553">
        <f t="shared" si="52"/>
        <v>0.88035655333079277</v>
      </c>
      <c r="R75" s="553">
        <f t="shared" si="52"/>
        <v>1.0108101512062768</v>
      </c>
      <c r="U75" s="343"/>
      <c r="W75" s="50"/>
      <c r="X75" s="50"/>
      <c r="Y75" s="50"/>
      <c r="Z75" s="50"/>
      <c r="AA75" s="50"/>
      <c r="AB75" s="50"/>
      <c r="AC75" s="50"/>
      <c r="AD75" s="50"/>
      <c r="AE75" s="50"/>
      <c r="AF75" s="50"/>
      <c r="AG75" s="50"/>
      <c r="AH75" s="50"/>
      <c r="AI75" s="50"/>
      <c r="AJ75" s="50"/>
      <c r="AK75" s="50"/>
      <c r="AL75" s="50"/>
      <c r="AM75" s="50"/>
      <c r="AN75" s="50"/>
      <c r="AO75" s="50"/>
    </row>
    <row r="76" spans="1:41" x14ac:dyDescent="0.25">
      <c r="A76" s="346">
        <f>ROW()</f>
        <v>76</v>
      </c>
      <c r="B76" s="12" t="str">
        <f>+B18</f>
        <v>CS Sponsorship Fee @ 0.0125</v>
      </c>
      <c r="C76" s="12"/>
      <c r="D76" s="12"/>
      <c r="E76" s="553">
        <f t="shared" ref="E76:R76" si="53">IF(OR(E18=0,E$34=0),0,E18/E$34)</f>
        <v>-9.3067890794679767E-3</v>
      </c>
      <c r="F76" s="553">
        <f t="shared" si="53"/>
        <v>0</v>
      </c>
      <c r="G76" s="553">
        <f t="shared" si="53"/>
        <v>-9.4495244887256389E-3</v>
      </c>
      <c r="H76" s="553">
        <f t="shared" si="53"/>
        <v>-9.4495244887256389E-3</v>
      </c>
      <c r="I76" s="553">
        <f t="shared" si="53"/>
        <v>-9.4495244887256389E-3</v>
      </c>
      <c r="J76" s="553">
        <f t="shared" si="53"/>
        <v>-8.6677997019363913E-3</v>
      </c>
      <c r="K76" s="553">
        <f t="shared" si="53"/>
        <v>-9.4495244887256389E-3</v>
      </c>
      <c r="L76" s="553">
        <f t="shared" si="53"/>
        <v>-9.4495244887256389E-3</v>
      </c>
      <c r="M76" s="553">
        <f t="shared" si="53"/>
        <v>-9.0417971975169185E-3</v>
      </c>
      <c r="N76" s="553">
        <f t="shared" si="53"/>
        <v>-9.4495244887256389E-3</v>
      </c>
      <c r="O76" s="553">
        <f t="shared" si="53"/>
        <v>-9.0417971975169185E-3</v>
      </c>
      <c r="P76" s="553">
        <f t="shared" si="53"/>
        <v>-9.4495244887256389E-3</v>
      </c>
      <c r="Q76" s="553">
        <f t="shared" si="53"/>
        <v>-9.4150097776377895E-3</v>
      </c>
      <c r="R76" s="553">
        <f t="shared" si="53"/>
        <v>-1.0810151206276883E-2</v>
      </c>
      <c r="U76" s="343"/>
      <c r="W76" s="50"/>
      <c r="X76" s="50"/>
      <c r="Y76" s="50"/>
      <c r="Z76" s="50"/>
      <c r="AA76" s="50"/>
      <c r="AB76" s="50"/>
      <c r="AC76" s="50"/>
      <c r="AD76" s="50"/>
      <c r="AE76" s="50"/>
      <c r="AF76" s="50"/>
      <c r="AG76" s="50"/>
      <c r="AH76" s="50"/>
      <c r="AI76" s="50"/>
      <c r="AJ76" s="50"/>
      <c r="AK76" s="50"/>
      <c r="AL76" s="50"/>
      <c r="AM76" s="50"/>
      <c r="AN76" s="50"/>
      <c r="AO76" s="50"/>
    </row>
    <row r="77" spans="1:41" x14ac:dyDescent="0.25">
      <c r="A77" s="346">
        <f>ROW()</f>
        <v>77</v>
      </c>
      <c r="B77" s="12" t="s">
        <v>161</v>
      </c>
      <c r="C77" s="12"/>
      <c r="D77" s="12"/>
      <c r="E77" s="553">
        <f t="shared" ref="E77:R77" si="54">IF(OR(E19=0,E$34=0),0,E19/E$34)</f>
        <v>0</v>
      </c>
      <c r="F77" s="553">
        <f t="shared" si="54"/>
        <v>0</v>
      </c>
      <c r="G77" s="553">
        <f t="shared" si="54"/>
        <v>0</v>
      </c>
      <c r="H77" s="553">
        <f t="shared" si="54"/>
        <v>0</v>
      </c>
      <c r="I77" s="553">
        <f t="shared" si="54"/>
        <v>0</v>
      </c>
      <c r="J77" s="553">
        <f t="shared" si="54"/>
        <v>0</v>
      </c>
      <c r="K77" s="553">
        <f t="shared" si="54"/>
        <v>0</v>
      </c>
      <c r="L77" s="553">
        <f t="shared" si="54"/>
        <v>0</v>
      </c>
      <c r="M77" s="553">
        <f t="shared" si="54"/>
        <v>0</v>
      </c>
      <c r="N77" s="553">
        <f t="shared" si="54"/>
        <v>0</v>
      </c>
      <c r="O77" s="553">
        <f t="shared" si="54"/>
        <v>0</v>
      </c>
      <c r="P77" s="553">
        <f t="shared" si="54"/>
        <v>0</v>
      </c>
      <c r="Q77" s="553">
        <f t="shared" si="54"/>
        <v>0</v>
      </c>
      <c r="R77" s="553">
        <f t="shared" si="54"/>
        <v>0</v>
      </c>
      <c r="U77" s="343"/>
      <c r="W77" s="50"/>
      <c r="X77" s="50"/>
      <c r="Y77" s="50"/>
      <c r="Z77" s="50"/>
      <c r="AA77" s="50"/>
      <c r="AB77" s="50"/>
      <c r="AC77" s="50"/>
      <c r="AD77" s="50"/>
      <c r="AE77" s="50"/>
      <c r="AF77" s="50"/>
      <c r="AG77" s="50"/>
      <c r="AH77" s="50"/>
      <c r="AI77" s="50"/>
      <c r="AJ77" s="50"/>
      <c r="AK77" s="50"/>
      <c r="AL77" s="50"/>
      <c r="AM77" s="50"/>
      <c r="AN77" s="50"/>
      <c r="AO77" s="50"/>
    </row>
    <row r="78" spans="1:41" x14ac:dyDescent="0.25">
      <c r="A78" s="346">
        <f>ROW()</f>
        <v>78</v>
      </c>
      <c r="B78" s="12" t="s">
        <v>162</v>
      </c>
      <c r="C78" s="12"/>
      <c r="D78" s="12"/>
      <c r="E78" s="553">
        <f t="shared" ref="E78:R78" si="55">IF(OR(E20=0,E$34=0),0,E20/E$34)</f>
        <v>3.0087918061229307E-4</v>
      </c>
      <c r="F78" s="553">
        <f t="shared" si="55"/>
        <v>0</v>
      </c>
      <c r="G78" s="553">
        <f t="shared" si="55"/>
        <v>0</v>
      </c>
      <c r="H78" s="553">
        <f t="shared" si="55"/>
        <v>0</v>
      </c>
      <c r="I78" s="553">
        <f t="shared" si="55"/>
        <v>0</v>
      </c>
      <c r="J78" s="553">
        <f t="shared" si="55"/>
        <v>0</v>
      </c>
      <c r="K78" s="553">
        <f t="shared" si="55"/>
        <v>0</v>
      </c>
      <c r="L78" s="553">
        <f t="shared" si="55"/>
        <v>0</v>
      </c>
      <c r="M78" s="553">
        <f t="shared" si="55"/>
        <v>0</v>
      </c>
      <c r="N78" s="553">
        <f t="shared" si="55"/>
        <v>0</v>
      </c>
      <c r="O78" s="553">
        <f t="shared" si="55"/>
        <v>0</v>
      </c>
      <c r="P78" s="553">
        <f t="shared" si="55"/>
        <v>0</v>
      </c>
      <c r="Q78" s="553">
        <f t="shared" si="55"/>
        <v>3.6525341702674397E-3</v>
      </c>
      <c r="R78" s="553">
        <f t="shared" si="55"/>
        <v>0</v>
      </c>
      <c r="U78" s="343"/>
      <c r="W78" s="50"/>
      <c r="X78" s="50"/>
      <c r="Y78" s="50"/>
      <c r="Z78" s="50"/>
      <c r="AA78" s="50"/>
      <c r="AB78" s="50"/>
      <c r="AC78" s="50"/>
      <c r="AD78" s="50"/>
      <c r="AE78" s="50"/>
      <c r="AF78" s="50"/>
      <c r="AG78" s="50"/>
      <c r="AH78" s="50"/>
      <c r="AI78" s="50"/>
      <c r="AJ78" s="50"/>
      <c r="AK78" s="50"/>
      <c r="AL78" s="50"/>
      <c r="AM78" s="50"/>
      <c r="AN78" s="50"/>
      <c r="AO78" s="50"/>
    </row>
    <row r="79" spans="1:41" x14ac:dyDescent="0.25">
      <c r="A79" s="346">
        <f>ROW()</f>
        <v>79</v>
      </c>
      <c r="B79" s="12" t="s">
        <v>163</v>
      </c>
      <c r="C79" s="12"/>
      <c r="D79" s="12"/>
      <c r="E79" s="553">
        <f t="shared" ref="E79:R79" si="56">IF(OR(E22=0,E$34=0),0,E22/E$34)</f>
        <v>0</v>
      </c>
      <c r="F79" s="553">
        <f t="shared" si="56"/>
        <v>0</v>
      </c>
      <c r="G79" s="553">
        <f t="shared" si="56"/>
        <v>0</v>
      </c>
      <c r="H79" s="553">
        <f t="shared" si="56"/>
        <v>0</v>
      </c>
      <c r="I79" s="553">
        <f t="shared" si="56"/>
        <v>0</v>
      </c>
      <c r="J79" s="553">
        <f t="shared" si="56"/>
        <v>0</v>
      </c>
      <c r="K79" s="553">
        <f t="shared" si="56"/>
        <v>0</v>
      </c>
      <c r="L79" s="553">
        <f t="shared" si="56"/>
        <v>0</v>
      </c>
      <c r="M79" s="553">
        <f t="shared" si="56"/>
        <v>0</v>
      </c>
      <c r="N79" s="553">
        <f t="shared" si="56"/>
        <v>0</v>
      </c>
      <c r="O79" s="553">
        <f t="shared" si="56"/>
        <v>0</v>
      </c>
      <c r="P79" s="553">
        <f t="shared" si="56"/>
        <v>0</v>
      </c>
      <c r="Q79" s="553">
        <f t="shared" si="56"/>
        <v>0</v>
      </c>
      <c r="R79" s="553">
        <f t="shared" si="56"/>
        <v>0</v>
      </c>
      <c r="U79" s="343"/>
      <c r="W79" s="50"/>
      <c r="X79" s="50"/>
      <c r="Y79" s="50"/>
      <c r="Z79" s="50"/>
      <c r="AA79" s="50"/>
      <c r="AB79" s="50"/>
      <c r="AC79" s="50"/>
      <c r="AD79" s="50"/>
      <c r="AE79" s="50"/>
      <c r="AF79" s="50"/>
      <c r="AG79" s="50"/>
      <c r="AH79" s="50"/>
      <c r="AI79" s="50"/>
      <c r="AJ79" s="50"/>
      <c r="AK79" s="50"/>
      <c r="AL79" s="50"/>
      <c r="AM79" s="50"/>
      <c r="AN79" s="50"/>
      <c r="AO79" s="50"/>
    </row>
    <row r="80" spans="1:41" x14ac:dyDescent="0.25">
      <c r="A80" s="346">
        <f>ROW()</f>
        <v>80</v>
      </c>
      <c r="B80" s="12" t="s">
        <v>165</v>
      </c>
      <c r="C80" s="12"/>
      <c r="D80" s="12"/>
      <c r="E80" s="553">
        <f t="shared" ref="E80:R80" si="57">IF(OR(E23=0,E$34=0),0,E23/E$34)</f>
        <v>0</v>
      </c>
      <c r="F80" s="554">
        <f t="shared" si="57"/>
        <v>0</v>
      </c>
      <c r="G80" s="553">
        <f t="shared" si="57"/>
        <v>0</v>
      </c>
      <c r="H80" s="553">
        <f t="shared" si="57"/>
        <v>0</v>
      </c>
      <c r="I80" s="553">
        <f t="shared" si="57"/>
        <v>0</v>
      </c>
      <c r="J80" s="554">
        <f t="shared" si="57"/>
        <v>0</v>
      </c>
      <c r="K80" s="553">
        <f t="shared" si="57"/>
        <v>0</v>
      </c>
      <c r="L80" s="553">
        <f t="shared" si="57"/>
        <v>0</v>
      </c>
      <c r="M80" s="553">
        <f t="shared" si="57"/>
        <v>0</v>
      </c>
      <c r="N80" s="554">
        <f t="shared" si="57"/>
        <v>0</v>
      </c>
      <c r="O80" s="553">
        <f t="shared" si="57"/>
        <v>0</v>
      </c>
      <c r="P80" s="553">
        <f t="shared" si="57"/>
        <v>0</v>
      </c>
      <c r="Q80" s="553">
        <f t="shared" si="57"/>
        <v>0</v>
      </c>
      <c r="R80" s="553">
        <f t="shared" si="57"/>
        <v>0</v>
      </c>
      <c r="U80" s="343"/>
      <c r="W80" s="50"/>
      <c r="X80" s="50"/>
      <c r="Y80" s="50"/>
      <c r="Z80" s="50"/>
      <c r="AA80" s="50"/>
      <c r="AB80" s="50"/>
      <c r="AC80" s="50"/>
      <c r="AD80" s="50"/>
      <c r="AE80" s="50"/>
      <c r="AF80" s="50"/>
      <c r="AG80" s="50"/>
      <c r="AH80" s="50"/>
      <c r="AI80" s="50"/>
      <c r="AJ80" s="50"/>
      <c r="AK80" s="50"/>
      <c r="AL80" s="50"/>
      <c r="AM80" s="50"/>
      <c r="AN80" s="50"/>
      <c r="AO80" s="50"/>
    </row>
    <row r="81" spans="1:41" x14ac:dyDescent="0.25">
      <c r="A81" s="346">
        <f>ROW()</f>
        <v>81</v>
      </c>
      <c r="B81" s="12" t="s">
        <v>166</v>
      </c>
      <c r="C81" s="12"/>
      <c r="D81" s="12"/>
      <c r="E81" s="553">
        <f t="shared" ref="E81:R81" si="58">IF(OR(E24=0,E$34=0),0,E24/E$34)</f>
        <v>0</v>
      </c>
      <c r="F81" s="554">
        <f t="shared" si="58"/>
        <v>0</v>
      </c>
      <c r="G81" s="553">
        <f t="shared" si="58"/>
        <v>0</v>
      </c>
      <c r="H81" s="553">
        <f t="shared" si="58"/>
        <v>0</v>
      </c>
      <c r="I81" s="553">
        <f t="shared" si="58"/>
        <v>0</v>
      </c>
      <c r="J81" s="554">
        <f t="shared" si="58"/>
        <v>0</v>
      </c>
      <c r="K81" s="553">
        <f t="shared" si="58"/>
        <v>0</v>
      </c>
      <c r="L81" s="553">
        <f t="shared" si="58"/>
        <v>0</v>
      </c>
      <c r="M81" s="553">
        <f t="shared" si="58"/>
        <v>0</v>
      </c>
      <c r="N81" s="553">
        <f t="shared" si="58"/>
        <v>0</v>
      </c>
      <c r="O81" s="553">
        <f t="shared" si="58"/>
        <v>0</v>
      </c>
      <c r="P81" s="553">
        <f t="shared" si="58"/>
        <v>0</v>
      </c>
      <c r="Q81" s="553">
        <f t="shared" si="58"/>
        <v>0</v>
      </c>
      <c r="R81" s="553">
        <f t="shared" si="58"/>
        <v>0</v>
      </c>
      <c r="U81" s="343"/>
      <c r="W81" s="50"/>
      <c r="X81" s="50"/>
      <c r="Y81" s="50"/>
      <c r="Z81" s="50"/>
      <c r="AA81" s="50"/>
      <c r="AB81" s="50"/>
      <c r="AC81" s="50"/>
      <c r="AD81" s="50"/>
      <c r="AE81" s="50"/>
      <c r="AF81" s="50"/>
      <c r="AG81" s="50"/>
      <c r="AH81" s="50"/>
      <c r="AI81" s="50"/>
      <c r="AJ81" s="50"/>
      <c r="AK81" s="50"/>
      <c r="AL81" s="50"/>
      <c r="AM81" s="50"/>
      <c r="AN81" s="50"/>
      <c r="AO81" s="50"/>
    </row>
    <row r="82" spans="1:41" x14ac:dyDescent="0.25">
      <c r="A82" s="346">
        <f>ROW()</f>
        <v>82</v>
      </c>
      <c r="B82" s="12" t="s">
        <v>167</v>
      </c>
      <c r="C82" s="12"/>
      <c r="D82" s="12"/>
      <c r="E82" s="553">
        <f t="shared" ref="E82:R82" si="59">IF(OR(E25=0,E$34=0),0,E25/E$34)</f>
        <v>1.4804156996389286E-2</v>
      </c>
      <c r="F82" s="554">
        <f t="shared" si="59"/>
        <v>0</v>
      </c>
      <c r="G82" s="553">
        <f t="shared" si="59"/>
        <v>0</v>
      </c>
      <c r="H82" s="553">
        <f t="shared" si="59"/>
        <v>0</v>
      </c>
      <c r="I82" s="553">
        <f t="shared" si="59"/>
        <v>0</v>
      </c>
      <c r="J82" s="554">
        <f t="shared" si="59"/>
        <v>8.2726362339388931E-2</v>
      </c>
      <c r="K82" s="553">
        <f t="shared" si="59"/>
        <v>0</v>
      </c>
      <c r="L82" s="553">
        <f t="shared" si="59"/>
        <v>0</v>
      </c>
      <c r="M82" s="553">
        <f t="shared" si="59"/>
        <v>4.3147916246492952E-2</v>
      </c>
      <c r="N82" s="554">
        <f t="shared" si="59"/>
        <v>0</v>
      </c>
      <c r="O82" s="553">
        <f t="shared" si="59"/>
        <v>4.3147916246492952E-2</v>
      </c>
      <c r="P82" s="553">
        <f t="shared" si="59"/>
        <v>0</v>
      </c>
      <c r="Q82" s="553">
        <f t="shared" si="59"/>
        <v>0</v>
      </c>
      <c r="R82" s="553">
        <f t="shared" si="59"/>
        <v>0</v>
      </c>
      <c r="U82" s="343"/>
      <c r="W82" s="50"/>
      <c r="X82" s="50"/>
      <c r="Y82" s="50"/>
      <c r="Z82" s="50"/>
      <c r="AA82" s="50"/>
      <c r="AB82" s="50"/>
      <c r="AC82" s="50"/>
      <c r="AD82" s="50"/>
      <c r="AE82" s="50"/>
      <c r="AF82" s="50"/>
      <c r="AG82" s="50"/>
      <c r="AH82" s="50"/>
      <c r="AI82" s="50"/>
      <c r="AJ82" s="50"/>
      <c r="AK82" s="50"/>
      <c r="AL82" s="50"/>
      <c r="AM82" s="50"/>
      <c r="AN82" s="50"/>
      <c r="AO82" s="50"/>
    </row>
    <row r="83" spans="1:41" x14ac:dyDescent="0.25">
      <c r="A83" s="346">
        <f>ROW()</f>
        <v>83</v>
      </c>
      <c r="B83" s="12" t="s">
        <v>421</v>
      </c>
      <c r="C83" s="12"/>
      <c r="D83" s="12"/>
      <c r="E83" s="553">
        <f t="shared" ref="E83:R83" si="60">IF(OR(E26=0,E$34=0),0,E26/E$34)</f>
        <v>0.11531231651052415</v>
      </c>
      <c r="F83" s="554">
        <f t="shared" si="60"/>
        <v>0.93020475265281721</v>
      </c>
      <c r="G83" s="553">
        <f t="shared" si="60"/>
        <v>0.11708082663244042</v>
      </c>
      <c r="H83" s="553">
        <f t="shared" si="60"/>
        <v>0.11708082663244042</v>
      </c>
      <c r="I83" s="553">
        <f t="shared" si="60"/>
        <v>0.11708082663244042</v>
      </c>
      <c r="J83" s="554">
        <f t="shared" si="60"/>
        <v>0.10739515574544996</v>
      </c>
      <c r="K83" s="553">
        <f t="shared" si="60"/>
        <v>0.11708082663244042</v>
      </c>
      <c r="L83" s="553">
        <f t="shared" si="60"/>
        <v>0.11708082663244042</v>
      </c>
      <c r="M83" s="553">
        <f t="shared" si="60"/>
        <v>0.1120290329308337</v>
      </c>
      <c r="N83" s="554">
        <f t="shared" si="60"/>
        <v>0.11708082663244042</v>
      </c>
      <c r="O83" s="553">
        <f t="shared" si="60"/>
        <v>0.1120290329308337</v>
      </c>
      <c r="P83" s="553">
        <f t="shared" si="60"/>
        <v>0.11708082663244042</v>
      </c>
      <c r="Q83" s="553">
        <f t="shared" si="60"/>
        <v>0.11665318491248226</v>
      </c>
      <c r="R83" s="553">
        <f t="shared" si="60"/>
        <v>0</v>
      </c>
      <c r="U83" s="343"/>
      <c r="W83" s="50"/>
      <c r="X83" s="50"/>
      <c r="Y83" s="50"/>
      <c r="Z83" s="50"/>
      <c r="AA83" s="50"/>
      <c r="AB83" s="50"/>
      <c r="AC83" s="50"/>
      <c r="AD83" s="50"/>
      <c r="AE83" s="50"/>
      <c r="AF83" s="50"/>
      <c r="AG83" s="50"/>
      <c r="AH83" s="50"/>
      <c r="AI83" s="50"/>
      <c r="AJ83" s="50"/>
      <c r="AK83" s="50"/>
      <c r="AL83" s="50"/>
      <c r="AM83" s="50"/>
      <c r="AN83" s="50"/>
      <c r="AO83" s="50"/>
    </row>
    <row r="84" spans="1:41" x14ac:dyDescent="0.25">
      <c r="A84" s="346">
        <f>ROW()</f>
        <v>84</v>
      </c>
      <c r="B84" s="12" t="s">
        <v>501</v>
      </c>
      <c r="C84" s="12"/>
      <c r="D84" s="12"/>
      <c r="E84" s="553">
        <f t="shared" ref="E84:R84" si="61">IF(OR(E27=0,E$34=0),0,E27/E$34)</f>
        <v>0</v>
      </c>
      <c r="F84" s="554">
        <f t="shared" si="61"/>
        <v>0</v>
      </c>
      <c r="G84" s="553">
        <f t="shared" si="61"/>
        <v>0</v>
      </c>
      <c r="H84" s="553">
        <f t="shared" si="61"/>
        <v>0</v>
      </c>
      <c r="I84" s="553">
        <f t="shared" si="61"/>
        <v>0</v>
      </c>
      <c r="J84" s="554">
        <f t="shared" si="61"/>
        <v>0</v>
      </c>
      <c r="K84" s="553">
        <f t="shared" si="61"/>
        <v>0</v>
      </c>
      <c r="L84" s="553">
        <f t="shared" si="61"/>
        <v>0</v>
      </c>
      <c r="M84" s="553">
        <f t="shared" si="61"/>
        <v>0</v>
      </c>
      <c r="N84" s="554">
        <f t="shared" si="61"/>
        <v>0</v>
      </c>
      <c r="O84" s="553">
        <f t="shared" si="61"/>
        <v>0</v>
      </c>
      <c r="P84" s="553">
        <f t="shared" si="61"/>
        <v>0</v>
      </c>
      <c r="Q84" s="553">
        <f t="shared" si="61"/>
        <v>0</v>
      </c>
      <c r="R84" s="553">
        <f t="shared" si="61"/>
        <v>0</v>
      </c>
      <c r="U84" s="343"/>
      <c r="W84" s="50"/>
      <c r="X84" s="50"/>
      <c r="Y84" s="50"/>
      <c r="Z84" s="50"/>
      <c r="AA84" s="50"/>
      <c r="AB84" s="50"/>
      <c r="AC84" s="50"/>
      <c r="AD84" s="50"/>
      <c r="AE84" s="50"/>
      <c r="AF84" s="50"/>
      <c r="AG84" s="50"/>
      <c r="AH84" s="50"/>
      <c r="AI84" s="50"/>
      <c r="AJ84" s="50"/>
      <c r="AK84" s="50"/>
      <c r="AL84" s="50"/>
      <c r="AM84" s="50"/>
      <c r="AN84" s="50"/>
      <c r="AO84" s="50"/>
    </row>
    <row r="85" spans="1:41" x14ac:dyDescent="0.25">
      <c r="A85" s="346">
        <f>ROW()</f>
        <v>85</v>
      </c>
      <c r="B85" s="12" t="s">
        <v>502</v>
      </c>
      <c r="C85" s="12"/>
      <c r="D85" s="12"/>
      <c r="E85" s="553">
        <f t="shared" ref="E85:R85" si="62">IF(OR(E28=0,E$34=0),0,E28/E$34)</f>
        <v>0</v>
      </c>
      <c r="F85" s="554">
        <f t="shared" si="62"/>
        <v>0</v>
      </c>
      <c r="G85" s="553">
        <f t="shared" si="62"/>
        <v>0</v>
      </c>
      <c r="H85" s="553">
        <f t="shared" si="62"/>
        <v>0</v>
      </c>
      <c r="I85" s="553">
        <f t="shared" si="62"/>
        <v>0</v>
      </c>
      <c r="J85" s="554">
        <f t="shared" si="62"/>
        <v>0</v>
      </c>
      <c r="K85" s="553">
        <f t="shared" si="62"/>
        <v>0</v>
      </c>
      <c r="L85" s="553">
        <f t="shared" si="62"/>
        <v>0</v>
      </c>
      <c r="M85" s="553">
        <f t="shared" si="62"/>
        <v>0</v>
      </c>
      <c r="N85" s="554">
        <f t="shared" si="62"/>
        <v>0</v>
      </c>
      <c r="O85" s="553">
        <f t="shared" si="62"/>
        <v>0</v>
      </c>
      <c r="P85" s="553">
        <f t="shared" si="62"/>
        <v>0</v>
      </c>
      <c r="Q85" s="553">
        <f t="shared" si="62"/>
        <v>0</v>
      </c>
      <c r="R85" s="553">
        <f t="shared" si="62"/>
        <v>0</v>
      </c>
      <c r="U85" s="343"/>
      <c r="W85" s="50"/>
      <c r="X85" s="50"/>
      <c r="Y85" s="50"/>
      <c r="Z85" s="50"/>
      <c r="AA85" s="50"/>
      <c r="AB85" s="50"/>
      <c r="AC85" s="50"/>
      <c r="AD85" s="50"/>
      <c r="AE85" s="50"/>
      <c r="AF85" s="50"/>
      <c r="AG85" s="50"/>
      <c r="AH85" s="50"/>
      <c r="AI85" s="50"/>
      <c r="AJ85" s="50"/>
      <c r="AK85" s="50"/>
      <c r="AL85" s="50"/>
      <c r="AM85" s="50"/>
      <c r="AN85" s="50"/>
      <c r="AO85" s="50"/>
    </row>
    <row r="86" spans="1:41" x14ac:dyDescent="0.25">
      <c r="A86" s="346">
        <f>ROW()</f>
        <v>86</v>
      </c>
      <c r="B86" s="12" t="s">
        <v>176</v>
      </c>
      <c r="C86" s="12"/>
      <c r="D86" s="12"/>
      <c r="E86" s="553">
        <f t="shared" ref="E86:R86" si="63">IF(OR(E29=0,E$34=0),0,E29/E$34)</f>
        <v>0</v>
      </c>
      <c r="F86" s="554">
        <f t="shared" si="63"/>
        <v>0</v>
      </c>
      <c r="G86" s="553">
        <f t="shared" si="63"/>
        <v>0</v>
      </c>
      <c r="H86" s="553">
        <f t="shared" si="63"/>
        <v>0</v>
      </c>
      <c r="I86" s="553">
        <f t="shared" si="63"/>
        <v>0</v>
      </c>
      <c r="J86" s="554">
        <f t="shared" si="63"/>
        <v>0</v>
      </c>
      <c r="K86" s="553">
        <f t="shared" si="63"/>
        <v>0</v>
      </c>
      <c r="L86" s="553">
        <f t="shared" si="63"/>
        <v>0</v>
      </c>
      <c r="M86" s="553">
        <f t="shared" si="63"/>
        <v>0</v>
      </c>
      <c r="N86" s="554">
        <f t="shared" si="63"/>
        <v>0</v>
      </c>
      <c r="O86" s="553">
        <f t="shared" si="63"/>
        <v>0</v>
      </c>
      <c r="P86" s="553">
        <f t="shared" si="63"/>
        <v>0</v>
      </c>
      <c r="Q86" s="553">
        <f t="shared" si="63"/>
        <v>0</v>
      </c>
      <c r="R86" s="553">
        <f t="shared" si="63"/>
        <v>0</v>
      </c>
      <c r="U86" s="343"/>
      <c r="W86" s="50"/>
      <c r="X86" s="50"/>
      <c r="Y86" s="50"/>
      <c r="Z86" s="50"/>
      <c r="AA86" s="50"/>
      <c r="AB86" s="50"/>
      <c r="AC86" s="50"/>
      <c r="AD86" s="50"/>
      <c r="AE86" s="50"/>
      <c r="AF86" s="50"/>
      <c r="AG86" s="50"/>
      <c r="AH86" s="50"/>
      <c r="AI86" s="50"/>
      <c r="AJ86" s="50"/>
      <c r="AK86" s="50"/>
      <c r="AL86" s="50"/>
      <c r="AM86" s="50"/>
      <c r="AN86" s="50"/>
      <c r="AO86" s="50"/>
    </row>
    <row r="87" spans="1:41" x14ac:dyDescent="0.25">
      <c r="A87" s="346">
        <f>ROW()</f>
        <v>87</v>
      </c>
      <c r="B87" s="12" t="s">
        <v>503</v>
      </c>
      <c r="C87" s="12"/>
      <c r="D87" s="12"/>
      <c r="E87" s="553">
        <f t="shared" ref="E87:R87" si="64">IF(OR(E30=0,E$34=0),0,E30/E$34)</f>
        <v>0</v>
      </c>
      <c r="F87" s="554">
        <f t="shared" si="64"/>
        <v>0</v>
      </c>
      <c r="G87" s="553">
        <f t="shared" si="64"/>
        <v>0</v>
      </c>
      <c r="H87" s="553">
        <f t="shared" si="64"/>
        <v>0</v>
      </c>
      <c r="I87" s="553">
        <f t="shared" si="64"/>
        <v>0</v>
      </c>
      <c r="J87" s="554">
        <f t="shared" si="64"/>
        <v>0</v>
      </c>
      <c r="K87" s="553">
        <f t="shared" si="64"/>
        <v>0</v>
      </c>
      <c r="L87" s="553">
        <f t="shared" si="64"/>
        <v>0</v>
      </c>
      <c r="M87" s="553">
        <f t="shared" si="64"/>
        <v>0</v>
      </c>
      <c r="N87" s="554">
        <f t="shared" si="64"/>
        <v>0</v>
      </c>
      <c r="O87" s="553">
        <f t="shared" si="64"/>
        <v>0</v>
      </c>
      <c r="P87" s="553">
        <f t="shared" si="64"/>
        <v>0</v>
      </c>
      <c r="Q87" s="553">
        <f t="shared" si="64"/>
        <v>0</v>
      </c>
      <c r="R87" s="553">
        <f t="shared" si="64"/>
        <v>0</v>
      </c>
      <c r="U87" s="343"/>
      <c r="W87" s="50"/>
      <c r="X87" s="50"/>
      <c r="Y87" s="50"/>
      <c r="Z87" s="50"/>
      <c r="AA87" s="50"/>
      <c r="AB87" s="50"/>
      <c r="AC87" s="50"/>
      <c r="AD87" s="50"/>
      <c r="AE87" s="50"/>
      <c r="AF87" s="50"/>
      <c r="AG87" s="50"/>
      <c r="AH87" s="50"/>
      <c r="AI87" s="50"/>
      <c r="AJ87" s="50"/>
      <c r="AK87" s="50"/>
      <c r="AL87" s="50"/>
      <c r="AM87" s="50"/>
      <c r="AN87" s="50"/>
      <c r="AO87" s="50"/>
    </row>
    <row r="88" spans="1:41" x14ac:dyDescent="0.25">
      <c r="A88" s="346">
        <f>ROW()</f>
        <v>88</v>
      </c>
      <c r="B88" s="12" t="s">
        <v>175</v>
      </c>
      <c r="C88" s="12"/>
      <c r="D88" s="12"/>
      <c r="E88" s="553">
        <f t="shared" ref="E88:R88" si="65">IF(OR(E31=0,E$34=0),0,E31/E$34)</f>
        <v>8.6521291469175421E-3</v>
      </c>
      <c r="F88" s="554">
        <f t="shared" si="65"/>
        <v>6.9795247347182773E-2</v>
      </c>
      <c r="G88" s="553">
        <f t="shared" si="65"/>
        <v>8.7848242347926837E-3</v>
      </c>
      <c r="H88" s="553">
        <f t="shared" si="65"/>
        <v>8.7848242347926837E-3</v>
      </c>
      <c r="I88" s="553">
        <f t="shared" si="65"/>
        <v>8.7848242347926837E-3</v>
      </c>
      <c r="J88" s="554">
        <f t="shared" si="65"/>
        <v>8.0580876820573796E-3</v>
      </c>
      <c r="K88" s="553">
        <f t="shared" si="65"/>
        <v>8.7848242347926837E-3</v>
      </c>
      <c r="L88" s="553">
        <f t="shared" si="65"/>
        <v>8.7848242347926837E-3</v>
      </c>
      <c r="M88" s="553">
        <f t="shared" si="65"/>
        <v>8.4057773744696876E-3</v>
      </c>
      <c r="N88" s="554">
        <f t="shared" si="65"/>
        <v>8.7848242347926837E-3</v>
      </c>
      <c r="O88" s="553">
        <f t="shared" si="65"/>
        <v>8.4057773744696876E-3</v>
      </c>
      <c r="P88" s="553">
        <f t="shared" si="65"/>
        <v>8.7848242347926837E-3</v>
      </c>
      <c r="Q88" s="553">
        <f t="shared" si="65"/>
        <v>8.7527373640953112E-3</v>
      </c>
      <c r="R88" s="553">
        <f t="shared" si="65"/>
        <v>0</v>
      </c>
      <c r="U88" s="343"/>
      <c r="W88" s="50"/>
      <c r="X88" s="50"/>
      <c r="Y88" s="50"/>
      <c r="Z88" s="50"/>
      <c r="AA88" s="50"/>
      <c r="AB88" s="50"/>
      <c r="AC88" s="50"/>
      <c r="AD88" s="50"/>
      <c r="AE88" s="50"/>
      <c r="AF88" s="50"/>
      <c r="AG88" s="50"/>
      <c r="AH88" s="50"/>
      <c r="AI88" s="50"/>
      <c r="AJ88" s="50"/>
      <c r="AK88" s="50"/>
      <c r="AL88" s="50"/>
      <c r="AM88" s="50"/>
      <c r="AN88" s="50"/>
      <c r="AO88" s="50"/>
    </row>
    <row r="89" spans="1:41" x14ac:dyDescent="0.25">
      <c r="A89" s="346">
        <f>ROW()</f>
        <v>89</v>
      </c>
      <c r="B89" s="12" t="s">
        <v>541</v>
      </c>
      <c r="C89" s="12"/>
      <c r="D89" s="12"/>
      <c r="E89" s="553">
        <f t="shared" ref="E89:R89" si="66">IF(OR(E32=0,E$34=0),0,E32/E$34)</f>
        <v>0</v>
      </c>
      <c r="F89" s="554">
        <f t="shared" si="66"/>
        <v>0</v>
      </c>
      <c r="G89" s="553">
        <f t="shared" si="66"/>
        <v>0</v>
      </c>
      <c r="H89" s="553">
        <f t="shared" si="66"/>
        <v>0</v>
      </c>
      <c r="I89" s="553">
        <f t="shared" si="66"/>
        <v>0</v>
      </c>
      <c r="J89" s="554">
        <f t="shared" si="66"/>
        <v>0</v>
      </c>
      <c r="K89" s="553">
        <f t="shared" si="66"/>
        <v>0</v>
      </c>
      <c r="L89" s="553">
        <f t="shared" si="66"/>
        <v>0</v>
      </c>
      <c r="M89" s="553">
        <f t="shared" si="66"/>
        <v>0</v>
      </c>
      <c r="N89" s="554">
        <f t="shared" si="66"/>
        <v>0</v>
      </c>
      <c r="O89" s="553">
        <f t="shared" si="66"/>
        <v>0</v>
      </c>
      <c r="P89" s="553">
        <f t="shared" si="66"/>
        <v>0</v>
      </c>
      <c r="Q89" s="553">
        <f t="shared" si="66"/>
        <v>0</v>
      </c>
      <c r="R89" s="553">
        <f t="shared" si="66"/>
        <v>0</v>
      </c>
      <c r="U89" s="343"/>
      <c r="W89" s="50"/>
      <c r="X89" s="50"/>
      <c r="Y89" s="50"/>
      <c r="Z89" s="50"/>
      <c r="AA89" s="50"/>
      <c r="AB89" s="50"/>
      <c r="AC89" s="50"/>
      <c r="AD89" s="50"/>
      <c r="AE89" s="50"/>
      <c r="AF89" s="50"/>
      <c r="AG89" s="50"/>
      <c r="AH89" s="50"/>
      <c r="AI89" s="50"/>
      <c r="AJ89" s="50"/>
      <c r="AK89" s="50"/>
      <c r="AL89" s="50"/>
      <c r="AM89" s="50"/>
      <c r="AN89" s="50"/>
      <c r="AO89" s="50"/>
    </row>
    <row r="90" spans="1:41" x14ac:dyDescent="0.25">
      <c r="A90" s="346">
        <f>ROW()</f>
        <v>90</v>
      </c>
      <c r="B90" s="12" t="s">
        <v>542</v>
      </c>
      <c r="C90" s="13"/>
      <c r="D90" s="13"/>
      <c r="E90" s="551">
        <f t="shared" ref="E90:R90" si="67">IF(OR(E33=0,E$34=0),0,E33/E$34)</f>
        <v>0</v>
      </c>
      <c r="F90" s="552">
        <f t="shared" si="67"/>
        <v>0</v>
      </c>
      <c r="G90" s="551">
        <f t="shared" si="67"/>
        <v>0</v>
      </c>
      <c r="H90" s="551">
        <f t="shared" si="67"/>
        <v>0</v>
      </c>
      <c r="I90" s="551">
        <f t="shared" si="67"/>
        <v>0</v>
      </c>
      <c r="J90" s="552">
        <f t="shared" si="67"/>
        <v>0</v>
      </c>
      <c r="K90" s="551">
        <f t="shared" si="67"/>
        <v>0</v>
      </c>
      <c r="L90" s="551">
        <f t="shared" si="67"/>
        <v>0</v>
      </c>
      <c r="M90" s="551">
        <f t="shared" si="67"/>
        <v>0</v>
      </c>
      <c r="N90" s="552">
        <f t="shared" si="67"/>
        <v>0</v>
      </c>
      <c r="O90" s="551">
        <f t="shared" si="67"/>
        <v>0</v>
      </c>
      <c r="P90" s="551">
        <f t="shared" si="67"/>
        <v>0</v>
      </c>
      <c r="Q90" s="551">
        <f t="shared" si="67"/>
        <v>0</v>
      </c>
      <c r="R90" s="551">
        <f t="shared" si="67"/>
        <v>0</v>
      </c>
      <c r="U90" s="343"/>
      <c r="W90" s="50"/>
      <c r="X90" s="50"/>
      <c r="Y90" s="50"/>
      <c r="Z90" s="50"/>
      <c r="AA90" s="50"/>
      <c r="AB90" s="50"/>
      <c r="AC90" s="50"/>
      <c r="AD90" s="50"/>
      <c r="AE90" s="50"/>
      <c r="AF90" s="50"/>
      <c r="AG90" s="50"/>
      <c r="AH90" s="50"/>
      <c r="AI90" s="50"/>
      <c r="AJ90" s="50"/>
      <c r="AK90" s="50"/>
      <c r="AL90" s="50"/>
      <c r="AM90" s="50"/>
      <c r="AN90" s="50"/>
      <c r="AO90" s="50"/>
    </row>
    <row r="91" spans="1:41" x14ac:dyDescent="0.25">
      <c r="A91" s="346">
        <f>ROW()</f>
        <v>91</v>
      </c>
      <c r="B91" s="12" t="s">
        <v>543</v>
      </c>
      <c r="C91" s="13"/>
      <c r="D91" s="13"/>
      <c r="E91" s="567">
        <f>SUM(E75:E90)</f>
        <v>0.99999999999999978</v>
      </c>
      <c r="F91" s="567">
        <f t="shared" ref="F91:R91" si="68">SUM(F75:F90)</f>
        <v>1</v>
      </c>
      <c r="G91" s="567">
        <f t="shared" si="68"/>
        <v>1</v>
      </c>
      <c r="H91" s="567">
        <f t="shared" si="68"/>
        <v>1</v>
      </c>
      <c r="I91" s="567">
        <f t="shared" si="68"/>
        <v>1</v>
      </c>
      <c r="J91" s="567">
        <f t="shared" si="68"/>
        <v>0.99999999999999989</v>
      </c>
      <c r="K91" s="567">
        <f t="shared" si="68"/>
        <v>1</v>
      </c>
      <c r="L91" s="567">
        <f t="shared" si="68"/>
        <v>1</v>
      </c>
      <c r="M91" s="567">
        <f t="shared" si="68"/>
        <v>0.99999999999999967</v>
      </c>
      <c r="N91" s="567">
        <f t="shared" si="68"/>
        <v>1</v>
      </c>
      <c r="O91" s="567">
        <f t="shared" si="68"/>
        <v>0.99999999999999967</v>
      </c>
      <c r="P91" s="567">
        <f t="shared" si="68"/>
        <v>1</v>
      </c>
      <c r="Q91" s="567">
        <f t="shared" ref="Q91" si="69">SUM(Q75:Q90)</f>
        <v>1</v>
      </c>
      <c r="R91" s="567">
        <f t="shared" si="68"/>
        <v>0.99999999999999989</v>
      </c>
      <c r="U91" s="343"/>
      <c r="W91" s="50"/>
      <c r="X91" s="50"/>
      <c r="Y91" s="50"/>
      <c r="Z91" s="50"/>
      <c r="AA91" s="50"/>
      <c r="AB91" s="50"/>
      <c r="AC91" s="50"/>
      <c r="AD91" s="50"/>
      <c r="AE91" s="50"/>
      <c r="AF91" s="50"/>
      <c r="AG91" s="50"/>
      <c r="AH91" s="50"/>
      <c r="AI91" s="50"/>
      <c r="AJ91" s="50"/>
      <c r="AK91" s="50"/>
      <c r="AL91" s="50"/>
      <c r="AM91" s="50"/>
      <c r="AN91" s="50"/>
      <c r="AO91" s="50"/>
    </row>
    <row r="92" spans="1:41" x14ac:dyDescent="0.25">
      <c r="A92" s="346">
        <f>ROW()</f>
        <v>92</v>
      </c>
      <c r="B92" s="13" t="s">
        <v>507</v>
      </c>
      <c r="C92" s="13"/>
      <c r="D92" s="13"/>
      <c r="E92" s="556"/>
      <c r="F92" s="557">
        <f t="shared" ref="F92:R92" si="70">IFERROR(F35/$E$34,0)</f>
        <v>1.0330370471453474E-2</v>
      </c>
      <c r="G92" s="557">
        <f t="shared" si="70"/>
        <v>9.2404950790036661E-2</v>
      </c>
      <c r="H92" s="557">
        <f t="shared" si="70"/>
        <v>0.17447953110861983</v>
      </c>
      <c r="I92" s="557">
        <f t="shared" si="70"/>
        <v>0.25655411142720302</v>
      </c>
      <c r="J92" s="557">
        <f t="shared" si="70"/>
        <v>0.34603077024398082</v>
      </c>
      <c r="K92" s="557">
        <f t="shared" si="70"/>
        <v>0.4281053505625641</v>
      </c>
      <c r="L92" s="557">
        <f t="shared" si="70"/>
        <v>0.51017993088114721</v>
      </c>
      <c r="M92" s="557">
        <f t="shared" si="70"/>
        <v>0.59595555044882775</v>
      </c>
      <c r="N92" s="557">
        <f t="shared" si="70"/>
        <v>0.67803013076741092</v>
      </c>
      <c r="O92" s="557">
        <f t="shared" si="70"/>
        <v>0.76380575033509146</v>
      </c>
      <c r="P92" s="557">
        <f t="shared" si="70"/>
        <v>0.84588033065367463</v>
      </c>
      <c r="Q92" s="557">
        <f t="shared" si="70"/>
        <v>0.84618120983428691</v>
      </c>
      <c r="R92" s="557">
        <f t="shared" si="70"/>
        <v>0.91762454050080444</v>
      </c>
      <c r="U92" s="343"/>
      <c r="W92" s="50"/>
      <c r="X92" s="50"/>
      <c r="Y92" s="50"/>
      <c r="Z92" s="50"/>
      <c r="AA92" s="50"/>
      <c r="AB92" s="50"/>
      <c r="AC92" s="50"/>
      <c r="AD92" s="50"/>
      <c r="AE92" s="50"/>
      <c r="AF92" s="50"/>
      <c r="AG92" s="50"/>
      <c r="AH92" s="50"/>
      <c r="AI92" s="50"/>
      <c r="AJ92" s="50"/>
      <c r="AK92" s="50"/>
      <c r="AL92" s="50"/>
      <c r="AM92" s="50"/>
      <c r="AN92" s="50"/>
      <c r="AO92" s="50"/>
    </row>
    <row r="93" spans="1:41" x14ac:dyDescent="0.25">
      <c r="A93" s="346">
        <f>ROW()</f>
        <v>93</v>
      </c>
      <c r="B93" s="13"/>
      <c r="C93" s="13"/>
      <c r="D93" s="13"/>
      <c r="E93" s="556"/>
      <c r="F93" s="557"/>
      <c r="G93" s="557"/>
      <c r="H93" s="557"/>
      <c r="I93" s="557"/>
      <c r="J93" s="557"/>
      <c r="K93" s="557"/>
      <c r="L93" s="557"/>
      <c r="M93" s="557"/>
      <c r="N93" s="557"/>
      <c r="O93" s="557"/>
      <c r="P93" s="557"/>
      <c r="Q93" s="557"/>
      <c r="R93" s="557"/>
      <c r="U93" s="343"/>
      <c r="W93" s="50"/>
      <c r="X93" s="50"/>
      <c r="Y93" s="50"/>
      <c r="Z93" s="50"/>
      <c r="AA93" s="50"/>
      <c r="AB93" s="50"/>
      <c r="AC93" s="50"/>
      <c r="AD93" s="50"/>
      <c r="AE93" s="50"/>
      <c r="AF93" s="50"/>
      <c r="AG93" s="50"/>
      <c r="AH93" s="50"/>
      <c r="AI93" s="50"/>
      <c r="AJ93" s="50"/>
      <c r="AK93" s="50"/>
      <c r="AL93" s="50"/>
      <c r="AM93" s="50"/>
      <c r="AN93" s="50"/>
      <c r="AO93" s="50"/>
    </row>
    <row r="94" spans="1:41" ht="18.75" x14ac:dyDescent="0.3">
      <c r="A94" s="346">
        <f>ROW()</f>
        <v>94</v>
      </c>
      <c r="B94" s="78" t="s">
        <v>544</v>
      </c>
      <c r="C94" s="13"/>
      <c r="D94" s="13"/>
      <c r="E94" s="556"/>
      <c r="F94" s="557"/>
      <c r="G94" s="557"/>
      <c r="H94" s="557"/>
      <c r="I94" s="557"/>
      <c r="J94" s="557"/>
      <c r="K94" s="557"/>
      <c r="L94" s="557"/>
      <c r="M94" s="557"/>
      <c r="N94" s="557"/>
      <c r="O94" s="557"/>
      <c r="P94" s="557"/>
      <c r="Q94" s="557"/>
      <c r="R94" s="557"/>
      <c r="U94" s="343"/>
      <c r="W94" s="50"/>
      <c r="X94" s="50"/>
      <c r="Y94" s="50"/>
      <c r="Z94" s="50"/>
      <c r="AA94" s="50"/>
      <c r="AB94" s="50"/>
      <c r="AC94" s="50"/>
      <c r="AD94" s="50"/>
      <c r="AE94" s="50"/>
      <c r="AF94" s="50"/>
      <c r="AG94" s="50"/>
      <c r="AH94" s="50"/>
      <c r="AI94" s="50"/>
      <c r="AJ94" s="50"/>
      <c r="AK94" s="50"/>
      <c r="AL94" s="50"/>
      <c r="AM94" s="50"/>
      <c r="AN94" s="50"/>
      <c r="AO94" s="50"/>
    </row>
    <row r="95" spans="1:41" x14ac:dyDescent="0.25">
      <c r="A95" s="346">
        <f>ROW()</f>
        <v>95</v>
      </c>
      <c r="B95" s="12"/>
      <c r="C95" s="12"/>
      <c r="D95" s="12"/>
      <c r="E95" s="558"/>
      <c r="F95" s="559"/>
      <c r="G95" s="558"/>
      <c r="H95" s="558"/>
      <c r="I95" s="558"/>
      <c r="J95" s="559"/>
      <c r="K95" s="558"/>
      <c r="L95" s="558"/>
      <c r="M95" s="558"/>
      <c r="N95" s="559"/>
      <c r="O95" s="558"/>
      <c r="P95" s="558"/>
      <c r="Q95" s="558"/>
      <c r="R95" s="558"/>
      <c r="U95" s="343"/>
      <c r="W95" s="50"/>
      <c r="X95" s="50"/>
      <c r="Y95" s="50"/>
      <c r="Z95" s="50"/>
      <c r="AA95" s="50"/>
      <c r="AB95" s="50"/>
      <c r="AC95" s="50"/>
      <c r="AD95" s="50"/>
      <c r="AE95" s="50"/>
      <c r="AF95" s="50"/>
      <c r="AG95" s="50"/>
      <c r="AH95" s="50"/>
      <c r="AI95" s="50"/>
      <c r="AJ95" s="50"/>
      <c r="AK95" s="50"/>
      <c r="AL95" s="50"/>
      <c r="AM95" s="50"/>
      <c r="AN95" s="50"/>
      <c r="AO95" s="50"/>
    </row>
    <row r="96" spans="1:41" x14ac:dyDescent="0.25">
      <c r="A96" s="346">
        <f>ROW()</f>
        <v>96</v>
      </c>
      <c r="B96" s="83" t="s">
        <v>187</v>
      </c>
      <c r="C96" s="83"/>
      <c r="D96" s="83"/>
      <c r="E96" s="543"/>
      <c r="F96" s="543"/>
      <c r="G96" s="543"/>
      <c r="H96" s="543"/>
      <c r="I96" s="543"/>
      <c r="J96" s="543"/>
      <c r="K96" s="543"/>
      <c r="L96" s="543"/>
      <c r="M96" s="543"/>
      <c r="N96" s="543"/>
      <c r="O96" s="543"/>
      <c r="P96" s="543"/>
      <c r="Q96" s="543"/>
      <c r="R96" s="543"/>
      <c r="U96" s="343"/>
      <c r="W96" s="50"/>
      <c r="X96" s="50"/>
      <c r="Y96" s="50"/>
      <c r="Z96" s="50"/>
      <c r="AA96" s="50"/>
      <c r="AB96" s="50"/>
      <c r="AC96" s="50"/>
      <c r="AD96" s="50"/>
      <c r="AE96" s="50"/>
      <c r="AF96" s="50"/>
      <c r="AG96" s="50"/>
      <c r="AH96" s="50"/>
      <c r="AI96" s="50"/>
      <c r="AJ96" s="50"/>
      <c r="AK96" s="50"/>
      <c r="AL96" s="50"/>
      <c r="AM96" s="50"/>
      <c r="AN96" s="50"/>
      <c r="AO96" s="50"/>
    </row>
    <row r="97" spans="1:41" x14ac:dyDescent="0.25">
      <c r="A97" s="346">
        <f>ROW()</f>
        <v>97</v>
      </c>
      <c r="B97" s="12" t="s">
        <v>545</v>
      </c>
      <c r="C97" s="12"/>
      <c r="D97" s="12"/>
      <c r="E97" s="871">
        <f t="shared" ref="E97:R97" si="71">IFERROR(E39/E$34,0)</f>
        <v>0.61064668805117783</v>
      </c>
      <c r="F97" s="871">
        <f t="shared" si="71"/>
        <v>4.9259824848377427</v>
      </c>
      <c r="G97" s="871">
        <f t="shared" si="71"/>
        <v>0.62001199161469267</v>
      </c>
      <c r="H97" s="871">
        <f t="shared" si="71"/>
        <v>0.62001199161469267</v>
      </c>
      <c r="I97" s="871">
        <f t="shared" si="71"/>
        <v>0.62001199161469267</v>
      </c>
      <c r="J97" s="871">
        <f t="shared" si="71"/>
        <v>0.56872065494160939</v>
      </c>
      <c r="K97" s="871">
        <f t="shared" si="71"/>
        <v>0.62001199161469267</v>
      </c>
      <c r="L97" s="871">
        <f t="shared" si="71"/>
        <v>0.62001199161469267</v>
      </c>
      <c r="M97" s="871">
        <f t="shared" si="71"/>
        <v>0.59325976612868059</v>
      </c>
      <c r="N97" s="871">
        <f t="shared" si="71"/>
        <v>0.62001199161469267</v>
      </c>
      <c r="O97" s="871">
        <f t="shared" si="71"/>
        <v>0.59325976612868059</v>
      </c>
      <c r="P97" s="871">
        <f t="shared" si="71"/>
        <v>0.62001199161469267</v>
      </c>
      <c r="Q97" s="871">
        <f t="shared" si="71"/>
        <v>0.61774737662934442</v>
      </c>
      <c r="R97" s="871">
        <f t="shared" si="71"/>
        <v>0</v>
      </c>
      <c r="U97" s="343"/>
      <c r="W97" s="50"/>
      <c r="X97" s="50"/>
      <c r="Y97" s="50"/>
      <c r="Z97" s="50"/>
      <c r="AA97" s="50"/>
      <c r="AB97" s="50"/>
      <c r="AC97" s="50"/>
      <c r="AD97" s="50"/>
      <c r="AE97" s="50"/>
      <c r="AF97" s="50"/>
      <c r="AG97" s="50"/>
      <c r="AH97" s="50"/>
      <c r="AI97" s="50"/>
      <c r="AJ97" s="50"/>
      <c r="AK97" s="50"/>
      <c r="AL97" s="50"/>
      <c r="AM97" s="50"/>
      <c r="AN97" s="50"/>
      <c r="AO97" s="50"/>
    </row>
    <row r="98" spans="1:41" x14ac:dyDescent="0.25">
      <c r="A98" s="346">
        <f>ROW()</f>
        <v>98</v>
      </c>
      <c r="B98" s="12" t="s">
        <v>546</v>
      </c>
      <c r="C98" s="12"/>
      <c r="D98" s="12"/>
      <c r="E98" s="553">
        <f>IFERROR(#REF!/E$34,0)</f>
        <v>0</v>
      </c>
      <c r="F98" s="553">
        <f>IFERROR(#REF!/F$34,0)</f>
        <v>0</v>
      </c>
      <c r="G98" s="553">
        <f>IFERROR(#REF!/G$34,0)</f>
        <v>0</v>
      </c>
      <c r="H98" s="553">
        <f>IFERROR(#REF!/H$34,0)</f>
        <v>0</v>
      </c>
      <c r="I98" s="553">
        <f>IFERROR(#REF!/I$34,0)</f>
        <v>0</v>
      </c>
      <c r="J98" s="553">
        <f>IFERROR(#REF!/J$34,0)</f>
        <v>0</v>
      </c>
      <c r="K98" s="553">
        <f>IFERROR(#REF!/K$34,0)</f>
        <v>0</v>
      </c>
      <c r="L98" s="553">
        <f>IFERROR(#REF!/L$34,0)</f>
        <v>0</v>
      </c>
      <c r="M98" s="553">
        <f>IFERROR(#REF!/M$34,0)</f>
        <v>0</v>
      </c>
      <c r="N98" s="553">
        <f>IFERROR(#REF!/N$34,0)</f>
        <v>0</v>
      </c>
      <c r="O98" s="553">
        <f>IFERROR(#REF!/O$34,0)</f>
        <v>0</v>
      </c>
      <c r="P98" s="553">
        <f>IFERROR(#REF!/P$34,0)</f>
        <v>0</v>
      </c>
      <c r="Q98" s="553">
        <f>IFERROR(#REF!/Q$34,0)</f>
        <v>0</v>
      </c>
      <c r="R98" s="553">
        <f>IFERROR(#REF!/R$34,0)</f>
        <v>0</v>
      </c>
      <c r="U98" s="343"/>
      <c r="W98" s="50"/>
      <c r="X98" s="50"/>
      <c r="Y98" s="50"/>
      <c r="Z98" s="50"/>
      <c r="AA98" s="50"/>
      <c r="AB98" s="50"/>
      <c r="AC98" s="50"/>
      <c r="AD98" s="50"/>
      <c r="AE98" s="50"/>
      <c r="AF98" s="50"/>
      <c r="AG98" s="50"/>
      <c r="AH98" s="50"/>
      <c r="AI98" s="50"/>
      <c r="AJ98" s="50"/>
      <c r="AK98" s="50"/>
      <c r="AL98" s="50"/>
      <c r="AM98" s="50"/>
      <c r="AN98" s="50"/>
      <c r="AO98" s="50"/>
    </row>
    <row r="99" spans="1:41" x14ac:dyDescent="0.25">
      <c r="A99" s="346">
        <f>ROW()</f>
        <v>99</v>
      </c>
      <c r="B99" s="12" t="s">
        <v>547</v>
      </c>
      <c r="C99" s="12"/>
      <c r="D99" s="12"/>
      <c r="E99" s="553">
        <f>IFERROR(#REF!/E$34,0)</f>
        <v>0</v>
      </c>
      <c r="F99" s="553">
        <f>IFERROR(#REF!/F$34,0)</f>
        <v>0</v>
      </c>
      <c r="G99" s="553">
        <f>IFERROR(#REF!/G$34,0)</f>
        <v>0</v>
      </c>
      <c r="H99" s="553">
        <f>IFERROR(#REF!/H$34,0)</f>
        <v>0</v>
      </c>
      <c r="I99" s="553">
        <f>IFERROR(#REF!/I$34,0)</f>
        <v>0</v>
      </c>
      <c r="J99" s="553">
        <f>IFERROR(#REF!/J$34,0)</f>
        <v>0</v>
      </c>
      <c r="K99" s="553">
        <f>IFERROR(#REF!/K$34,0)</f>
        <v>0</v>
      </c>
      <c r="L99" s="553">
        <f>IFERROR(#REF!/L$34,0)</f>
        <v>0</v>
      </c>
      <c r="M99" s="553">
        <f>IFERROR(#REF!/M$34,0)</f>
        <v>0</v>
      </c>
      <c r="N99" s="553">
        <f>IFERROR(#REF!/N$34,0)</f>
        <v>0</v>
      </c>
      <c r="O99" s="553">
        <f>IFERROR(#REF!/O$34,0)</f>
        <v>0</v>
      </c>
      <c r="P99" s="553">
        <f>IFERROR(#REF!/P$34,0)</f>
        <v>0</v>
      </c>
      <c r="Q99" s="553">
        <f>IFERROR(#REF!/Q$34,0)</f>
        <v>0</v>
      </c>
      <c r="R99" s="553">
        <f>IFERROR(#REF!/R$34,0)</f>
        <v>0</v>
      </c>
      <c r="U99" s="343"/>
      <c r="W99" s="50"/>
      <c r="X99" s="50"/>
      <c r="Y99" s="50"/>
      <c r="Z99" s="50"/>
      <c r="AA99" s="50"/>
      <c r="AB99" s="50"/>
      <c r="AC99" s="50"/>
      <c r="AD99" s="50"/>
      <c r="AE99" s="50"/>
      <c r="AF99" s="50"/>
      <c r="AG99" s="50"/>
      <c r="AH99" s="50"/>
      <c r="AI99" s="50"/>
      <c r="AJ99" s="50"/>
      <c r="AK99" s="50"/>
      <c r="AL99" s="50"/>
      <c r="AM99" s="50"/>
      <c r="AN99" s="50"/>
      <c r="AO99" s="50"/>
    </row>
    <row r="100" spans="1:41" x14ac:dyDescent="0.25">
      <c r="A100" s="346">
        <f>ROW()</f>
        <v>100</v>
      </c>
      <c r="B100" s="12" t="s">
        <v>548</v>
      </c>
      <c r="C100" s="12"/>
      <c r="D100" s="12"/>
      <c r="E100" s="553">
        <f>IFERROR(#REF!/E$34,0)</f>
        <v>0</v>
      </c>
      <c r="F100" s="553">
        <f>IFERROR(#REF!/F$34,0)</f>
        <v>0</v>
      </c>
      <c r="G100" s="553">
        <f>IFERROR(#REF!/G$34,0)</f>
        <v>0</v>
      </c>
      <c r="H100" s="553">
        <f>IFERROR(#REF!/H$34,0)</f>
        <v>0</v>
      </c>
      <c r="I100" s="553">
        <f>IFERROR(#REF!/I$34,0)</f>
        <v>0</v>
      </c>
      <c r="J100" s="553">
        <f>IFERROR(#REF!/J$34,0)</f>
        <v>0</v>
      </c>
      <c r="K100" s="553">
        <f>IFERROR(#REF!/K$34,0)</f>
        <v>0</v>
      </c>
      <c r="L100" s="553">
        <f>IFERROR(#REF!/L$34,0)</f>
        <v>0</v>
      </c>
      <c r="M100" s="553">
        <f>IFERROR(#REF!/M$34,0)</f>
        <v>0</v>
      </c>
      <c r="N100" s="553">
        <f>IFERROR(#REF!/N$34,0)</f>
        <v>0</v>
      </c>
      <c r="O100" s="553">
        <f>IFERROR(#REF!/O$34,0)</f>
        <v>0</v>
      </c>
      <c r="P100" s="553">
        <f>IFERROR(#REF!/P$34,0)</f>
        <v>0</v>
      </c>
      <c r="Q100" s="553">
        <f>IFERROR(#REF!/Q$34,0)</f>
        <v>0</v>
      </c>
      <c r="R100" s="553">
        <f>IFERROR(#REF!/R$34,0)</f>
        <v>0</v>
      </c>
      <c r="U100" s="343"/>
      <c r="W100" s="50"/>
      <c r="X100" s="50"/>
      <c r="Y100" s="50"/>
      <c r="Z100" s="50"/>
      <c r="AA100" s="50"/>
      <c r="AB100" s="50"/>
      <c r="AC100" s="50"/>
      <c r="AD100" s="50"/>
      <c r="AE100" s="50"/>
      <c r="AF100" s="50"/>
      <c r="AG100" s="50"/>
      <c r="AH100" s="50"/>
      <c r="AI100" s="50"/>
      <c r="AJ100" s="50"/>
      <c r="AK100" s="50"/>
      <c r="AL100" s="50"/>
      <c r="AM100" s="50"/>
      <c r="AN100" s="50"/>
      <c r="AO100" s="50"/>
    </row>
    <row r="101" spans="1:41" x14ac:dyDescent="0.25">
      <c r="A101" s="346">
        <f>ROW()</f>
        <v>101</v>
      </c>
      <c r="B101" s="12" t="s">
        <v>549</v>
      </c>
      <c r="C101" s="12"/>
      <c r="D101" s="12"/>
      <c r="E101" s="553">
        <f>IFERROR(#REF!/E$34,0)</f>
        <v>0</v>
      </c>
      <c r="F101" s="553">
        <f>IFERROR(#REF!/F$34,0)</f>
        <v>0</v>
      </c>
      <c r="G101" s="553">
        <f>IFERROR(#REF!/G$34,0)</f>
        <v>0</v>
      </c>
      <c r="H101" s="553">
        <f>IFERROR(#REF!/H$34,0)</f>
        <v>0</v>
      </c>
      <c r="I101" s="553">
        <f>IFERROR(#REF!/I$34,0)</f>
        <v>0</v>
      </c>
      <c r="J101" s="553">
        <f>IFERROR(#REF!/J$34,0)</f>
        <v>0</v>
      </c>
      <c r="K101" s="553">
        <f>IFERROR(#REF!/K$34,0)</f>
        <v>0</v>
      </c>
      <c r="L101" s="553">
        <f>IFERROR(#REF!/L$34,0)</f>
        <v>0</v>
      </c>
      <c r="M101" s="553">
        <f>IFERROR(#REF!/M$34,0)</f>
        <v>0</v>
      </c>
      <c r="N101" s="553">
        <f>IFERROR(#REF!/N$34,0)</f>
        <v>0</v>
      </c>
      <c r="O101" s="553">
        <f>IFERROR(#REF!/O$34,0)</f>
        <v>0</v>
      </c>
      <c r="P101" s="553">
        <f>IFERROR(#REF!/P$34,0)</f>
        <v>0</v>
      </c>
      <c r="Q101" s="553">
        <f>IFERROR(#REF!/Q$34,0)</f>
        <v>0</v>
      </c>
      <c r="R101" s="553">
        <f>IFERROR(#REF!/R$34,0)</f>
        <v>0</v>
      </c>
      <c r="U101" s="343"/>
      <c r="W101" s="50"/>
      <c r="X101" s="50"/>
      <c r="Y101" s="50"/>
      <c r="Z101" s="50"/>
      <c r="AA101" s="50"/>
      <c r="AB101" s="50"/>
      <c r="AC101" s="50"/>
      <c r="AD101" s="50"/>
      <c r="AE101" s="50"/>
      <c r="AF101" s="50"/>
      <c r="AG101" s="50"/>
      <c r="AH101" s="50"/>
      <c r="AI101" s="50"/>
      <c r="AJ101" s="50"/>
      <c r="AK101" s="50"/>
      <c r="AL101" s="50"/>
      <c r="AM101" s="50"/>
      <c r="AN101" s="50"/>
      <c r="AO101" s="50"/>
    </row>
    <row r="102" spans="1:41" x14ac:dyDescent="0.25">
      <c r="A102" s="346">
        <f>ROW()</f>
        <v>102</v>
      </c>
      <c r="B102" s="12" t="s">
        <v>513</v>
      </c>
      <c r="C102" s="12"/>
      <c r="D102" s="12"/>
      <c r="E102" s="553">
        <f t="shared" ref="E102:R102" si="72">IFERROR(E40/E$34,0)</f>
        <v>3.9314385545522516E-2</v>
      </c>
      <c r="F102" s="553">
        <f t="shared" si="72"/>
        <v>0.31714243013002541</v>
      </c>
      <c r="G102" s="553">
        <f t="shared" si="72"/>
        <v>3.9917338385931644E-2</v>
      </c>
      <c r="H102" s="553">
        <f t="shared" si="72"/>
        <v>3.9917338385931644E-2</v>
      </c>
      <c r="I102" s="553">
        <f t="shared" si="72"/>
        <v>3.9917338385931644E-2</v>
      </c>
      <c r="J102" s="553">
        <f t="shared" si="72"/>
        <v>3.661512218699306E-2</v>
      </c>
      <c r="K102" s="553">
        <f t="shared" si="72"/>
        <v>3.9917338385931644E-2</v>
      </c>
      <c r="L102" s="553">
        <f t="shared" si="72"/>
        <v>3.9917338385931644E-2</v>
      </c>
      <c r="M102" s="553">
        <f t="shared" si="72"/>
        <v>3.8194988412472541E-2</v>
      </c>
      <c r="N102" s="553">
        <f t="shared" si="72"/>
        <v>3.9917338385931644E-2</v>
      </c>
      <c r="O102" s="553">
        <f t="shared" si="72"/>
        <v>3.8194988412472541E-2</v>
      </c>
      <c r="P102" s="553">
        <f t="shared" si="72"/>
        <v>3.9917338385931644E-2</v>
      </c>
      <c r="Q102" s="553">
        <f t="shared" si="72"/>
        <v>3.9771538943490906E-2</v>
      </c>
      <c r="R102" s="553">
        <f t="shared" si="72"/>
        <v>0</v>
      </c>
      <c r="U102" s="343"/>
      <c r="W102" s="50"/>
      <c r="X102" s="50"/>
      <c r="Y102" s="50"/>
      <c r="Z102" s="50"/>
      <c r="AA102" s="50"/>
      <c r="AB102" s="50"/>
      <c r="AC102" s="50"/>
      <c r="AD102" s="50"/>
      <c r="AE102" s="50"/>
      <c r="AF102" s="50"/>
      <c r="AG102" s="50"/>
      <c r="AH102" s="50"/>
      <c r="AI102" s="50"/>
      <c r="AJ102" s="50"/>
      <c r="AK102" s="50"/>
      <c r="AL102" s="50"/>
      <c r="AM102" s="50"/>
      <c r="AN102" s="50"/>
      <c r="AO102" s="50"/>
    </row>
    <row r="103" spans="1:41" x14ac:dyDescent="0.25">
      <c r="A103" s="346">
        <f>ROW()</f>
        <v>103</v>
      </c>
      <c r="B103" s="12" t="s">
        <v>550</v>
      </c>
      <c r="C103" s="12"/>
      <c r="D103" s="12"/>
      <c r="E103" s="553">
        <f t="shared" ref="E103:R103" si="73">IFERROR(E41/E$34,0)</f>
        <v>0.21335462451392798</v>
      </c>
      <c r="F103" s="553">
        <f t="shared" si="73"/>
        <v>1.7210952977880734</v>
      </c>
      <c r="G103" s="553">
        <f t="shared" si="73"/>
        <v>0.21662677986063023</v>
      </c>
      <c r="H103" s="553">
        <f t="shared" si="73"/>
        <v>0.21662677986063023</v>
      </c>
      <c r="I103" s="553">
        <f t="shared" si="73"/>
        <v>0.21662677986063023</v>
      </c>
      <c r="J103" s="553">
        <f t="shared" si="73"/>
        <v>0.19870603437746467</v>
      </c>
      <c r="K103" s="553">
        <f t="shared" si="73"/>
        <v>0.21662677986063023</v>
      </c>
      <c r="L103" s="553">
        <f t="shared" si="73"/>
        <v>0.21662677986063023</v>
      </c>
      <c r="M103" s="553">
        <f t="shared" si="73"/>
        <v>0.20727978570645625</v>
      </c>
      <c r="N103" s="553">
        <f t="shared" si="73"/>
        <v>0.21662677986063023</v>
      </c>
      <c r="O103" s="553">
        <f t="shared" si="73"/>
        <v>0.20727978570645625</v>
      </c>
      <c r="P103" s="553">
        <f t="shared" si="73"/>
        <v>0.21662677986063023</v>
      </c>
      <c r="Q103" s="553">
        <f t="shared" si="73"/>
        <v>0.21583554314499429</v>
      </c>
      <c r="R103" s="553">
        <f t="shared" si="73"/>
        <v>0</v>
      </c>
      <c r="U103" s="343"/>
      <c r="W103" s="50"/>
      <c r="X103" s="50"/>
      <c r="Y103" s="50"/>
      <c r="Z103" s="50"/>
      <c r="AA103" s="50"/>
      <c r="AB103" s="50"/>
      <c r="AC103" s="50"/>
      <c r="AD103" s="50"/>
      <c r="AE103" s="50"/>
      <c r="AF103" s="50"/>
      <c r="AG103" s="50"/>
      <c r="AH103" s="50"/>
      <c r="AI103" s="50"/>
      <c r="AJ103" s="50"/>
      <c r="AK103" s="50"/>
      <c r="AL103" s="50"/>
      <c r="AM103" s="50"/>
      <c r="AN103" s="50"/>
      <c r="AO103" s="50"/>
    </row>
    <row r="104" spans="1:41" x14ac:dyDescent="0.25">
      <c r="A104" s="346">
        <f>ROW()</f>
        <v>104</v>
      </c>
      <c r="B104" s="12" t="s">
        <v>551</v>
      </c>
      <c r="C104" s="12"/>
      <c r="D104" s="12"/>
      <c r="E104" s="553">
        <f>IFERROR(#REF!/E$34,0)</f>
        <v>0</v>
      </c>
      <c r="F104" s="553">
        <f>IFERROR(#REF!/F$34,0)</f>
        <v>0</v>
      </c>
      <c r="G104" s="553">
        <f>IFERROR(#REF!/G$34,0)</f>
        <v>0</v>
      </c>
      <c r="H104" s="553">
        <f>IFERROR(#REF!/H$34,0)</f>
        <v>0</v>
      </c>
      <c r="I104" s="553">
        <f>IFERROR(#REF!/I$34,0)</f>
        <v>0</v>
      </c>
      <c r="J104" s="553">
        <f>IFERROR(#REF!/J$34,0)</f>
        <v>0</v>
      </c>
      <c r="K104" s="553">
        <f>IFERROR(#REF!/K$34,0)</f>
        <v>0</v>
      </c>
      <c r="L104" s="553">
        <f>IFERROR(#REF!/L$34,0)</f>
        <v>0</v>
      </c>
      <c r="M104" s="553">
        <f>IFERROR(#REF!/M$34,0)</f>
        <v>0</v>
      </c>
      <c r="N104" s="553">
        <f>IFERROR(#REF!/N$34,0)</f>
        <v>0</v>
      </c>
      <c r="O104" s="553">
        <f>IFERROR(#REF!/O$34,0)</f>
        <v>0</v>
      </c>
      <c r="P104" s="553">
        <f>IFERROR(#REF!/P$34,0)</f>
        <v>0</v>
      </c>
      <c r="Q104" s="553">
        <f>IFERROR(#REF!/Q$34,0)</f>
        <v>0</v>
      </c>
      <c r="R104" s="553">
        <f>IFERROR(#REF!/R$34,0)</f>
        <v>0</v>
      </c>
      <c r="U104" s="343"/>
      <c r="W104" s="50"/>
      <c r="X104" s="50"/>
      <c r="Y104" s="50"/>
      <c r="Z104" s="50"/>
      <c r="AA104" s="50"/>
      <c r="AB104" s="50"/>
      <c r="AC104" s="50"/>
      <c r="AD104" s="50"/>
      <c r="AE104" s="50"/>
      <c r="AF104" s="50"/>
      <c r="AG104" s="50"/>
      <c r="AH104" s="50"/>
      <c r="AI104" s="50"/>
      <c r="AJ104" s="50"/>
      <c r="AK104" s="50"/>
      <c r="AL104" s="50"/>
      <c r="AM104" s="50"/>
      <c r="AN104" s="50"/>
      <c r="AO104" s="50"/>
    </row>
    <row r="105" spans="1:41" x14ac:dyDescent="0.25">
      <c r="A105" s="346">
        <f>ROW()</f>
        <v>105</v>
      </c>
      <c r="B105" s="12" t="s">
        <v>174</v>
      </c>
      <c r="C105" s="12"/>
      <c r="D105" s="12"/>
      <c r="E105" s="553">
        <f t="shared" ref="E105:R105" si="74">IFERROR(E42/E$34,0)</f>
        <v>0</v>
      </c>
      <c r="F105" s="553">
        <f t="shared" si="74"/>
        <v>0</v>
      </c>
      <c r="G105" s="553">
        <f t="shared" si="74"/>
        <v>0</v>
      </c>
      <c r="H105" s="553">
        <f t="shared" si="74"/>
        <v>0</v>
      </c>
      <c r="I105" s="553">
        <f t="shared" si="74"/>
        <v>0</v>
      </c>
      <c r="J105" s="553">
        <f t="shared" si="74"/>
        <v>0</v>
      </c>
      <c r="K105" s="553">
        <f t="shared" si="74"/>
        <v>0</v>
      </c>
      <c r="L105" s="553">
        <f t="shared" si="74"/>
        <v>0</v>
      </c>
      <c r="M105" s="553">
        <f t="shared" si="74"/>
        <v>0</v>
      </c>
      <c r="N105" s="553">
        <f t="shared" si="74"/>
        <v>0</v>
      </c>
      <c r="O105" s="553">
        <f t="shared" si="74"/>
        <v>0</v>
      </c>
      <c r="P105" s="553">
        <f t="shared" si="74"/>
        <v>0</v>
      </c>
      <c r="Q105" s="553">
        <f t="shared" si="74"/>
        <v>0</v>
      </c>
      <c r="R105" s="553">
        <f t="shared" si="74"/>
        <v>0</v>
      </c>
      <c r="U105" s="343"/>
      <c r="W105" s="50"/>
      <c r="X105" s="50"/>
      <c r="Y105" s="50"/>
      <c r="Z105" s="50"/>
      <c r="AA105" s="50"/>
      <c r="AB105" s="50"/>
      <c r="AC105" s="50"/>
      <c r="AD105" s="50"/>
      <c r="AE105" s="50"/>
      <c r="AF105" s="50"/>
      <c r="AG105" s="50"/>
      <c r="AH105" s="50"/>
      <c r="AI105" s="50"/>
      <c r="AJ105" s="50"/>
      <c r="AK105" s="50"/>
      <c r="AL105" s="50"/>
      <c r="AM105" s="50"/>
      <c r="AN105" s="50"/>
      <c r="AO105" s="50"/>
    </row>
    <row r="106" spans="1:41" x14ac:dyDescent="0.25">
      <c r="A106" s="346">
        <f>ROW()</f>
        <v>106</v>
      </c>
      <c r="B106" s="116" t="s">
        <v>518</v>
      </c>
      <c r="C106" s="12"/>
      <c r="D106" s="12"/>
      <c r="E106" s="553">
        <f t="shared" ref="E106:R106" si="75">IFERROR(E43/E$34,0)</f>
        <v>0</v>
      </c>
      <c r="F106" s="553">
        <f t="shared" si="75"/>
        <v>0</v>
      </c>
      <c r="G106" s="553">
        <f t="shared" si="75"/>
        <v>0</v>
      </c>
      <c r="H106" s="553">
        <f t="shared" si="75"/>
        <v>0</v>
      </c>
      <c r="I106" s="553">
        <f t="shared" si="75"/>
        <v>0</v>
      </c>
      <c r="J106" s="553">
        <f t="shared" si="75"/>
        <v>0</v>
      </c>
      <c r="K106" s="553">
        <f t="shared" si="75"/>
        <v>0</v>
      </c>
      <c r="L106" s="553">
        <f t="shared" si="75"/>
        <v>0</v>
      </c>
      <c r="M106" s="553">
        <f t="shared" si="75"/>
        <v>0</v>
      </c>
      <c r="N106" s="553">
        <f t="shared" si="75"/>
        <v>0</v>
      </c>
      <c r="O106" s="553">
        <f t="shared" si="75"/>
        <v>0</v>
      </c>
      <c r="P106" s="553">
        <f t="shared" si="75"/>
        <v>0</v>
      </c>
      <c r="Q106" s="553">
        <f t="shared" si="75"/>
        <v>0</v>
      </c>
      <c r="R106" s="553">
        <f t="shared" si="75"/>
        <v>0</v>
      </c>
      <c r="U106" s="343"/>
      <c r="W106" s="50"/>
      <c r="X106" s="50"/>
      <c r="Y106" s="50"/>
      <c r="Z106" s="50"/>
      <c r="AA106" s="50"/>
      <c r="AB106" s="50"/>
      <c r="AC106" s="50"/>
      <c r="AD106" s="50"/>
      <c r="AE106" s="50"/>
      <c r="AF106" s="50"/>
      <c r="AG106" s="50"/>
      <c r="AH106" s="50"/>
      <c r="AI106" s="50"/>
      <c r="AJ106" s="50"/>
      <c r="AK106" s="50"/>
      <c r="AL106" s="50"/>
      <c r="AM106" s="50"/>
      <c r="AN106" s="50"/>
      <c r="AO106" s="50"/>
    </row>
    <row r="107" spans="1:41" x14ac:dyDescent="0.25">
      <c r="A107" s="346">
        <f>ROW()</f>
        <v>107</v>
      </c>
      <c r="B107" s="33" t="s">
        <v>130</v>
      </c>
      <c r="C107" s="12"/>
      <c r="D107" s="12"/>
      <c r="E107" s="553">
        <f t="shared" ref="E107:R107" si="76">IFERROR(E45/E$34,0)</f>
        <v>8.781818448905597E-3</v>
      </c>
      <c r="F107" s="553">
        <f t="shared" si="76"/>
        <v>7.0841428784934976E-2</v>
      </c>
      <c r="G107" s="553">
        <f t="shared" si="76"/>
        <v>8.9165025423805847E-3</v>
      </c>
      <c r="H107" s="553">
        <f t="shared" si="76"/>
        <v>8.9165025423805847E-3</v>
      </c>
      <c r="I107" s="553">
        <f t="shared" si="76"/>
        <v>8.9165025423805847E-3</v>
      </c>
      <c r="J107" s="553">
        <f t="shared" si="76"/>
        <v>8.178872722259525E-3</v>
      </c>
      <c r="K107" s="553">
        <f t="shared" si="76"/>
        <v>8.9165025423805847E-3</v>
      </c>
      <c r="L107" s="553">
        <f t="shared" si="76"/>
        <v>8.9165025423805847E-3</v>
      </c>
      <c r="M107" s="553">
        <f t="shared" si="76"/>
        <v>8.5317740374703036E-3</v>
      </c>
      <c r="N107" s="553">
        <f t="shared" si="76"/>
        <v>8.9165025423805847E-3</v>
      </c>
      <c r="O107" s="553">
        <f t="shared" si="76"/>
        <v>8.5317740374703036E-3</v>
      </c>
      <c r="P107" s="553">
        <f t="shared" si="76"/>
        <v>8.9165025423805847E-3</v>
      </c>
      <c r="Q107" s="553">
        <f t="shared" si="76"/>
        <v>8.8839347121652621E-3</v>
      </c>
      <c r="R107" s="553">
        <f t="shared" si="76"/>
        <v>0</v>
      </c>
      <c r="U107" s="343"/>
      <c r="W107" s="50"/>
      <c r="X107" s="50"/>
      <c r="Y107" s="50"/>
      <c r="Z107" s="50"/>
      <c r="AA107" s="50"/>
      <c r="AB107" s="50"/>
      <c r="AC107" s="50"/>
      <c r="AD107" s="50"/>
      <c r="AE107" s="50"/>
      <c r="AF107" s="50"/>
      <c r="AG107" s="50"/>
      <c r="AH107" s="50"/>
      <c r="AI107" s="50"/>
      <c r="AJ107" s="50"/>
      <c r="AK107" s="50"/>
      <c r="AL107" s="50"/>
      <c r="AM107" s="50"/>
      <c r="AN107" s="50"/>
      <c r="AO107" s="50"/>
    </row>
    <row r="108" spans="1:41" x14ac:dyDescent="0.25">
      <c r="A108" s="346">
        <f>ROW()</f>
        <v>108</v>
      </c>
      <c r="B108" s="12" t="s">
        <v>552</v>
      </c>
      <c r="C108" s="12"/>
      <c r="D108" s="12"/>
      <c r="E108" s="553">
        <f t="shared" ref="E108:R108" si="77">IFERROR(E46/E$34,0)</f>
        <v>5.8848136261134755E-2</v>
      </c>
      <c r="F108" s="553">
        <f t="shared" si="77"/>
        <v>0.47471785921386944</v>
      </c>
      <c r="G108" s="553">
        <f t="shared" si="77"/>
        <v>5.9750672328253207E-2</v>
      </c>
      <c r="H108" s="553">
        <f t="shared" si="77"/>
        <v>5.9750672328253207E-2</v>
      </c>
      <c r="I108" s="553">
        <f t="shared" si="77"/>
        <v>5.9750672328253207E-2</v>
      </c>
      <c r="J108" s="553">
        <f t="shared" si="77"/>
        <v>5.480771655920403E-2</v>
      </c>
      <c r="K108" s="553">
        <f t="shared" si="77"/>
        <v>5.9750672328253207E-2</v>
      </c>
      <c r="L108" s="553">
        <f t="shared" si="77"/>
        <v>5.9750672328253207E-2</v>
      </c>
      <c r="M108" s="553">
        <f t="shared" si="77"/>
        <v>5.7172555322962088E-2</v>
      </c>
      <c r="N108" s="553">
        <f t="shared" si="77"/>
        <v>5.9750672328253207E-2</v>
      </c>
      <c r="O108" s="553">
        <f t="shared" si="77"/>
        <v>5.7172555322962088E-2</v>
      </c>
      <c r="P108" s="553">
        <f t="shared" si="77"/>
        <v>5.9750672328253207E-2</v>
      </c>
      <c r="Q108" s="553">
        <f t="shared" si="77"/>
        <v>5.9532430955877812E-2</v>
      </c>
      <c r="R108" s="553">
        <f t="shared" si="77"/>
        <v>0</v>
      </c>
      <c r="U108" s="343"/>
      <c r="W108" s="50"/>
      <c r="X108" s="50"/>
      <c r="Y108" s="50"/>
      <c r="Z108" s="50"/>
      <c r="AA108" s="50"/>
      <c r="AB108" s="50"/>
      <c r="AC108" s="50"/>
      <c r="AD108" s="50"/>
      <c r="AE108" s="50"/>
      <c r="AF108" s="50"/>
      <c r="AG108" s="50"/>
      <c r="AH108" s="50"/>
      <c r="AI108" s="50"/>
      <c r="AJ108" s="50"/>
      <c r="AK108" s="50"/>
      <c r="AL108" s="50"/>
      <c r="AM108" s="50"/>
      <c r="AN108" s="50"/>
      <c r="AO108" s="50"/>
    </row>
    <row r="109" spans="1:41" x14ac:dyDescent="0.25">
      <c r="A109" s="346">
        <f>ROW()</f>
        <v>109</v>
      </c>
      <c r="B109" s="12" t="s">
        <v>553</v>
      </c>
      <c r="C109" s="12"/>
      <c r="D109" s="12"/>
      <c r="E109" s="553">
        <f>IFERROR(#REF!/E$34,0)</f>
        <v>0</v>
      </c>
      <c r="F109" s="553">
        <f>IFERROR(#REF!/F$34,0)</f>
        <v>0</v>
      </c>
      <c r="G109" s="553">
        <f>IFERROR(#REF!/G$34,0)</f>
        <v>0</v>
      </c>
      <c r="H109" s="553">
        <f>IFERROR(#REF!/H$34,0)</f>
        <v>0</v>
      </c>
      <c r="I109" s="553">
        <f>IFERROR(#REF!/I$34,0)</f>
        <v>0</v>
      </c>
      <c r="J109" s="553">
        <f>IFERROR(#REF!/J$34,0)</f>
        <v>0</v>
      </c>
      <c r="K109" s="553">
        <f>IFERROR(#REF!/K$34,0)</f>
        <v>0</v>
      </c>
      <c r="L109" s="553">
        <f>IFERROR(#REF!/L$34,0)</f>
        <v>0</v>
      </c>
      <c r="M109" s="553">
        <f>IFERROR(#REF!/M$34,0)</f>
        <v>0</v>
      </c>
      <c r="N109" s="553">
        <f>IFERROR(#REF!/N$34,0)</f>
        <v>0</v>
      </c>
      <c r="O109" s="553">
        <f>IFERROR(#REF!/O$34,0)</f>
        <v>0</v>
      </c>
      <c r="P109" s="553">
        <f>IFERROR(#REF!/P$34,0)</f>
        <v>0</v>
      </c>
      <c r="Q109" s="553">
        <f>IFERROR(#REF!/Q$34,0)</f>
        <v>0</v>
      </c>
      <c r="R109" s="553">
        <f>IFERROR(#REF!/R$34,0)</f>
        <v>0</v>
      </c>
      <c r="U109" s="343"/>
      <c r="W109" s="50"/>
      <c r="X109" s="50"/>
      <c r="Y109" s="50"/>
      <c r="Z109" s="50"/>
      <c r="AA109" s="50"/>
      <c r="AB109" s="50"/>
      <c r="AC109" s="50"/>
      <c r="AD109" s="50"/>
      <c r="AE109" s="50"/>
      <c r="AF109" s="50"/>
      <c r="AG109" s="50"/>
      <c r="AH109" s="50"/>
      <c r="AI109" s="50"/>
      <c r="AJ109" s="50"/>
      <c r="AK109" s="50"/>
      <c r="AL109" s="50"/>
      <c r="AM109" s="50"/>
      <c r="AN109" s="50"/>
      <c r="AO109" s="50"/>
    </row>
    <row r="110" spans="1:41" x14ac:dyDescent="0.25">
      <c r="A110" s="346">
        <f>ROW()</f>
        <v>110</v>
      </c>
      <c r="B110" s="12" t="s">
        <v>554</v>
      </c>
      <c r="C110" s="12"/>
      <c r="D110" s="12"/>
      <c r="E110" s="553">
        <f>IFERROR(#REF!/E$34,0)</f>
        <v>0</v>
      </c>
      <c r="F110" s="553">
        <f>IFERROR(#REF!/F$34,0)</f>
        <v>0</v>
      </c>
      <c r="G110" s="553">
        <f>IFERROR(#REF!/G$34,0)</f>
        <v>0</v>
      </c>
      <c r="H110" s="553">
        <f>IFERROR(#REF!/H$34,0)</f>
        <v>0</v>
      </c>
      <c r="I110" s="553">
        <f>IFERROR(#REF!/I$34,0)</f>
        <v>0</v>
      </c>
      <c r="J110" s="553">
        <f>IFERROR(#REF!/J$34,0)</f>
        <v>0</v>
      </c>
      <c r="K110" s="553">
        <f>IFERROR(#REF!/K$34,0)</f>
        <v>0</v>
      </c>
      <c r="L110" s="553">
        <f>IFERROR(#REF!/L$34,0)</f>
        <v>0</v>
      </c>
      <c r="M110" s="553">
        <f>IFERROR(#REF!/M$34,0)</f>
        <v>0</v>
      </c>
      <c r="N110" s="553">
        <f>IFERROR(#REF!/N$34,0)</f>
        <v>0</v>
      </c>
      <c r="O110" s="553">
        <f>IFERROR(#REF!/O$34,0)</f>
        <v>0</v>
      </c>
      <c r="P110" s="553">
        <f>IFERROR(#REF!/P$34,0)</f>
        <v>0</v>
      </c>
      <c r="Q110" s="553">
        <f>IFERROR(#REF!/Q$34,0)</f>
        <v>0</v>
      </c>
      <c r="R110" s="553">
        <f>IFERROR(#REF!/R$34,0)</f>
        <v>0</v>
      </c>
      <c r="U110" s="343"/>
      <c r="W110" s="50"/>
      <c r="X110" s="50"/>
      <c r="Y110" s="50"/>
      <c r="Z110" s="50"/>
      <c r="AA110" s="50"/>
      <c r="AB110" s="50"/>
      <c r="AC110" s="50"/>
      <c r="AD110" s="50"/>
      <c r="AE110" s="50"/>
      <c r="AF110" s="50"/>
      <c r="AG110" s="50"/>
      <c r="AH110" s="50"/>
      <c r="AI110" s="50"/>
      <c r="AJ110" s="50"/>
      <c r="AK110" s="50"/>
      <c r="AL110" s="50"/>
      <c r="AM110" s="50"/>
      <c r="AN110" s="50"/>
      <c r="AO110" s="50"/>
    </row>
    <row r="111" spans="1:41" x14ac:dyDescent="0.25">
      <c r="A111" s="346">
        <f>ROW()</f>
        <v>111</v>
      </c>
      <c r="B111" s="116" t="s">
        <v>555</v>
      </c>
      <c r="C111" s="12"/>
      <c r="D111" s="12"/>
      <c r="E111" s="553">
        <f>IFERROR(#REF!/E$34,0)</f>
        <v>0</v>
      </c>
      <c r="F111" s="553">
        <f>IFERROR(#REF!/F$34,0)</f>
        <v>0</v>
      </c>
      <c r="G111" s="553">
        <f>IFERROR(#REF!/G$34,0)</f>
        <v>0</v>
      </c>
      <c r="H111" s="553">
        <f>IFERROR(#REF!/H$34,0)</f>
        <v>0</v>
      </c>
      <c r="I111" s="553">
        <f>IFERROR(#REF!/I$34,0)</f>
        <v>0</v>
      </c>
      <c r="J111" s="553">
        <f>IFERROR(#REF!/J$34,0)</f>
        <v>0</v>
      </c>
      <c r="K111" s="553">
        <f>IFERROR(#REF!/K$34,0)</f>
        <v>0</v>
      </c>
      <c r="L111" s="553">
        <f>IFERROR(#REF!/L$34,0)</f>
        <v>0</v>
      </c>
      <c r="M111" s="553">
        <f>IFERROR(#REF!/M$34,0)</f>
        <v>0</v>
      </c>
      <c r="N111" s="553">
        <f>IFERROR(#REF!/N$34,0)</f>
        <v>0</v>
      </c>
      <c r="O111" s="553">
        <f>IFERROR(#REF!/O$34,0)</f>
        <v>0</v>
      </c>
      <c r="P111" s="553">
        <f>IFERROR(#REF!/P$34,0)</f>
        <v>0</v>
      </c>
      <c r="Q111" s="553">
        <f>IFERROR(#REF!/Q$34,0)</f>
        <v>0</v>
      </c>
      <c r="R111" s="553">
        <f>IFERROR(#REF!/R$34,0)</f>
        <v>0</v>
      </c>
      <c r="U111" s="343"/>
      <c r="W111" s="50"/>
      <c r="X111" s="50"/>
      <c r="Y111" s="50"/>
      <c r="Z111" s="50"/>
      <c r="AA111" s="50"/>
      <c r="AB111" s="50"/>
      <c r="AC111" s="50"/>
      <c r="AD111" s="50"/>
      <c r="AE111" s="50"/>
      <c r="AF111" s="50"/>
      <c r="AG111" s="50"/>
      <c r="AH111" s="50"/>
      <c r="AI111" s="50"/>
      <c r="AJ111" s="50"/>
      <c r="AK111" s="50"/>
      <c r="AL111" s="50"/>
      <c r="AM111" s="50"/>
      <c r="AN111" s="50"/>
      <c r="AO111" s="50"/>
    </row>
    <row r="112" spans="1:41" x14ac:dyDescent="0.25">
      <c r="A112" s="346">
        <f>ROW()</f>
        <v>112</v>
      </c>
      <c r="B112" s="116" t="s">
        <v>556</v>
      </c>
      <c r="C112" s="12"/>
      <c r="D112" s="12"/>
      <c r="E112" s="553">
        <f>IFERROR(#REF!/E$34,0)</f>
        <v>0</v>
      </c>
      <c r="F112" s="553">
        <f>IFERROR(#REF!/F$34,0)</f>
        <v>0</v>
      </c>
      <c r="G112" s="553">
        <f>IFERROR(#REF!/G$34,0)</f>
        <v>0</v>
      </c>
      <c r="H112" s="553">
        <f>IFERROR(#REF!/H$34,0)</f>
        <v>0</v>
      </c>
      <c r="I112" s="553">
        <f>IFERROR(#REF!/I$34,0)</f>
        <v>0</v>
      </c>
      <c r="J112" s="553">
        <f>IFERROR(#REF!/J$34,0)</f>
        <v>0</v>
      </c>
      <c r="K112" s="553">
        <f>IFERROR(#REF!/K$34,0)</f>
        <v>0</v>
      </c>
      <c r="L112" s="553">
        <f>IFERROR(#REF!/L$34,0)</f>
        <v>0</v>
      </c>
      <c r="M112" s="553">
        <f>IFERROR(#REF!/M$34,0)</f>
        <v>0</v>
      </c>
      <c r="N112" s="553">
        <f>IFERROR(#REF!/N$34,0)</f>
        <v>0</v>
      </c>
      <c r="O112" s="553">
        <f>IFERROR(#REF!/O$34,0)</f>
        <v>0</v>
      </c>
      <c r="P112" s="553">
        <f>IFERROR(#REF!/P$34,0)</f>
        <v>0</v>
      </c>
      <c r="Q112" s="553">
        <f>IFERROR(#REF!/Q$34,0)</f>
        <v>0</v>
      </c>
      <c r="R112" s="553">
        <f>IFERROR(#REF!/R$34,0)</f>
        <v>0</v>
      </c>
      <c r="U112" s="343"/>
      <c r="W112" s="50"/>
      <c r="X112" s="50"/>
      <c r="Y112" s="50"/>
      <c r="Z112" s="50"/>
      <c r="AA112" s="50"/>
      <c r="AB112" s="50"/>
      <c r="AC112" s="50"/>
      <c r="AD112" s="50"/>
      <c r="AE112" s="50"/>
      <c r="AF112" s="50"/>
      <c r="AG112" s="50"/>
      <c r="AH112" s="50"/>
      <c r="AI112" s="50"/>
      <c r="AJ112" s="50"/>
      <c r="AK112" s="50"/>
      <c r="AL112" s="50"/>
      <c r="AM112" s="50"/>
      <c r="AN112" s="50"/>
      <c r="AO112" s="50"/>
    </row>
    <row r="113" spans="1:41" x14ac:dyDescent="0.25">
      <c r="A113" s="346">
        <f>ROW()</f>
        <v>113</v>
      </c>
      <c r="B113" s="116" t="s">
        <v>557</v>
      </c>
      <c r="C113" s="12"/>
      <c r="D113" s="12"/>
      <c r="E113" s="553">
        <f>IFERROR(#REF!/E$34,0)</f>
        <v>0</v>
      </c>
      <c r="F113" s="553">
        <f>IFERROR(#REF!/F$34,0)</f>
        <v>0</v>
      </c>
      <c r="G113" s="553">
        <f>IFERROR(#REF!/G$34,0)</f>
        <v>0</v>
      </c>
      <c r="H113" s="553">
        <f>IFERROR(#REF!/H$34,0)</f>
        <v>0</v>
      </c>
      <c r="I113" s="553">
        <f>IFERROR(#REF!/I$34,0)</f>
        <v>0</v>
      </c>
      <c r="J113" s="553">
        <f>IFERROR(#REF!/J$34,0)</f>
        <v>0</v>
      </c>
      <c r="K113" s="553">
        <f>IFERROR(#REF!/K$34,0)</f>
        <v>0</v>
      </c>
      <c r="L113" s="553">
        <f>IFERROR(#REF!/L$34,0)</f>
        <v>0</v>
      </c>
      <c r="M113" s="553">
        <f>IFERROR(#REF!/M$34,0)</f>
        <v>0</v>
      </c>
      <c r="N113" s="553">
        <f>IFERROR(#REF!/N$34,0)</f>
        <v>0</v>
      </c>
      <c r="O113" s="553">
        <f>IFERROR(#REF!/O$34,0)</f>
        <v>0</v>
      </c>
      <c r="P113" s="553">
        <f>IFERROR(#REF!/P$34,0)</f>
        <v>0</v>
      </c>
      <c r="Q113" s="553">
        <f>IFERROR(#REF!/Q$34,0)</f>
        <v>0</v>
      </c>
      <c r="R113" s="553">
        <f>IFERROR(#REF!/R$34,0)</f>
        <v>0</v>
      </c>
      <c r="U113" s="343"/>
      <c r="W113" s="50"/>
      <c r="X113" s="50"/>
      <c r="Y113" s="50"/>
      <c r="Z113" s="50"/>
      <c r="AA113" s="50"/>
      <c r="AB113" s="50"/>
      <c r="AC113" s="50"/>
      <c r="AD113" s="50"/>
      <c r="AE113" s="50"/>
      <c r="AF113" s="50"/>
      <c r="AG113" s="50"/>
      <c r="AH113" s="50"/>
      <c r="AI113" s="50"/>
      <c r="AJ113" s="50"/>
      <c r="AK113" s="50"/>
      <c r="AL113" s="50"/>
      <c r="AM113" s="50"/>
      <c r="AN113" s="50"/>
      <c r="AO113" s="50"/>
    </row>
    <row r="114" spans="1:41" x14ac:dyDescent="0.25">
      <c r="A114" s="346">
        <f>ROW()</f>
        <v>114</v>
      </c>
      <c r="B114" s="12" t="s">
        <v>521</v>
      </c>
      <c r="C114" s="12"/>
      <c r="D114" s="12"/>
      <c r="E114" s="553">
        <f t="shared" ref="E114:R114" si="78">IFERROR(E47/E$34,0)</f>
        <v>0</v>
      </c>
      <c r="F114" s="553">
        <f t="shared" si="78"/>
        <v>0</v>
      </c>
      <c r="G114" s="553">
        <f t="shared" si="78"/>
        <v>0</v>
      </c>
      <c r="H114" s="553">
        <f t="shared" si="78"/>
        <v>0</v>
      </c>
      <c r="I114" s="553">
        <f t="shared" si="78"/>
        <v>0</v>
      </c>
      <c r="J114" s="553">
        <f t="shared" si="78"/>
        <v>0</v>
      </c>
      <c r="K114" s="553">
        <f t="shared" si="78"/>
        <v>0</v>
      </c>
      <c r="L114" s="553">
        <f t="shared" si="78"/>
        <v>0</v>
      </c>
      <c r="M114" s="553">
        <f t="shared" si="78"/>
        <v>0</v>
      </c>
      <c r="N114" s="553">
        <f t="shared" si="78"/>
        <v>0</v>
      </c>
      <c r="O114" s="553">
        <f t="shared" si="78"/>
        <v>0</v>
      </c>
      <c r="P114" s="553">
        <f t="shared" si="78"/>
        <v>0</v>
      </c>
      <c r="Q114" s="553">
        <f t="shared" si="78"/>
        <v>0</v>
      </c>
      <c r="R114" s="553">
        <f t="shared" si="78"/>
        <v>0</v>
      </c>
      <c r="U114" s="343"/>
      <c r="W114" s="50"/>
      <c r="X114" s="50"/>
      <c r="Y114" s="50"/>
      <c r="Z114" s="50"/>
      <c r="AA114" s="50"/>
      <c r="AB114" s="50"/>
      <c r="AC114" s="50"/>
      <c r="AD114" s="50"/>
      <c r="AE114" s="50"/>
      <c r="AF114" s="50"/>
      <c r="AG114" s="50"/>
      <c r="AH114" s="50"/>
      <c r="AI114" s="50"/>
      <c r="AJ114" s="50"/>
      <c r="AK114" s="50"/>
      <c r="AL114" s="50"/>
      <c r="AM114" s="50"/>
      <c r="AN114" s="50"/>
      <c r="AO114" s="50"/>
    </row>
    <row r="115" spans="1:41" x14ac:dyDescent="0.25">
      <c r="A115" s="346">
        <f>ROW()</f>
        <v>115</v>
      </c>
      <c r="B115" s="116" t="s">
        <v>191</v>
      </c>
      <c r="C115" s="12"/>
      <c r="D115" s="12"/>
      <c r="E115" s="553">
        <f t="shared" ref="E115:R115" si="79">IFERROR(E48/E$34,0)</f>
        <v>4.6317607852877632E-3</v>
      </c>
      <c r="F115" s="553">
        <f t="shared" si="79"/>
        <v>3.736362277686444E-2</v>
      </c>
      <c r="G115" s="553">
        <f t="shared" si="79"/>
        <v>4.7027966995678181E-3</v>
      </c>
      <c r="H115" s="553">
        <f t="shared" si="79"/>
        <v>4.7027966995678181E-3</v>
      </c>
      <c r="I115" s="553">
        <f t="shared" si="79"/>
        <v>4.7027966995678181E-3</v>
      </c>
      <c r="J115" s="553">
        <f t="shared" si="79"/>
        <v>4.313751435790888E-3</v>
      </c>
      <c r="K115" s="553">
        <f t="shared" si="79"/>
        <v>4.7027966995678181E-3</v>
      </c>
      <c r="L115" s="553">
        <f t="shared" si="79"/>
        <v>4.7027966995678181E-3</v>
      </c>
      <c r="M115" s="553">
        <f t="shared" si="79"/>
        <v>4.4998808214505815E-3</v>
      </c>
      <c r="N115" s="553">
        <f t="shared" si="79"/>
        <v>4.7027966995678181E-3</v>
      </c>
      <c r="O115" s="553">
        <f t="shared" si="79"/>
        <v>4.4998808214505815E-3</v>
      </c>
      <c r="P115" s="553">
        <f t="shared" si="79"/>
        <v>4.7027966995678181E-3</v>
      </c>
      <c r="Q115" s="553">
        <f t="shared" si="79"/>
        <v>4.6856195739268256E-3</v>
      </c>
      <c r="R115" s="553">
        <f t="shared" si="79"/>
        <v>0</v>
      </c>
      <c r="U115" s="343"/>
      <c r="W115" s="50"/>
      <c r="X115" s="50"/>
      <c r="Y115" s="50"/>
      <c r="Z115" s="50"/>
      <c r="AA115" s="50"/>
      <c r="AB115" s="50"/>
      <c r="AC115" s="50"/>
      <c r="AD115" s="50"/>
      <c r="AE115" s="50"/>
      <c r="AF115" s="50"/>
      <c r="AG115" s="50"/>
      <c r="AH115" s="50"/>
      <c r="AI115" s="50"/>
      <c r="AJ115" s="50"/>
      <c r="AK115" s="50"/>
      <c r="AL115" s="50"/>
      <c r="AM115" s="50"/>
      <c r="AN115" s="50"/>
      <c r="AO115" s="50"/>
    </row>
    <row r="116" spans="1:41" x14ac:dyDescent="0.25">
      <c r="A116" s="346">
        <f>ROW()</f>
        <v>116</v>
      </c>
      <c r="B116" s="116" t="s">
        <v>128</v>
      </c>
      <c r="C116" s="12"/>
      <c r="D116" s="12"/>
      <c r="E116" s="551">
        <f t="shared" ref="E116:R116" si="80">IFERROR(E50/E$34,0)</f>
        <v>3.0837833481045045E-3</v>
      </c>
      <c r="F116" s="551">
        <f t="shared" si="80"/>
        <v>2.4876353310416974E-2</v>
      </c>
      <c r="G116" s="551">
        <f t="shared" si="80"/>
        <v>3.1310784006188816E-3</v>
      </c>
      <c r="H116" s="551">
        <f t="shared" si="80"/>
        <v>3.1310784006188816E-3</v>
      </c>
      <c r="I116" s="551">
        <f t="shared" si="80"/>
        <v>3.1310784006188816E-3</v>
      </c>
      <c r="J116" s="551">
        <f t="shared" si="80"/>
        <v>2.8720556743362493E-3</v>
      </c>
      <c r="K116" s="551">
        <f t="shared" si="80"/>
        <v>3.1310784006188816E-3</v>
      </c>
      <c r="L116" s="551">
        <f t="shared" si="80"/>
        <v>3.1310784006188816E-3</v>
      </c>
      <c r="M116" s="551">
        <f t="shared" si="80"/>
        <v>2.9959788920277744E-3</v>
      </c>
      <c r="N116" s="551">
        <f t="shared" si="80"/>
        <v>3.1310784006188816E-3</v>
      </c>
      <c r="O116" s="551">
        <f t="shared" si="80"/>
        <v>2.9959788920277744E-3</v>
      </c>
      <c r="P116" s="551">
        <f t="shared" si="80"/>
        <v>3.1310784006188816E-3</v>
      </c>
      <c r="Q116" s="551">
        <f t="shared" si="80"/>
        <v>3.1196420297708348E-3</v>
      </c>
      <c r="R116" s="551">
        <f t="shared" si="80"/>
        <v>0</v>
      </c>
      <c r="U116" s="343"/>
      <c r="W116" s="50"/>
      <c r="X116" s="50"/>
      <c r="Y116" s="50"/>
      <c r="Z116" s="50"/>
      <c r="AA116" s="50"/>
      <c r="AB116" s="50"/>
      <c r="AC116" s="50"/>
      <c r="AD116" s="50"/>
      <c r="AE116" s="50"/>
      <c r="AF116" s="50"/>
      <c r="AG116" s="50"/>
      <c r="AH116" s="50"/>
      <c r="AI116" s="50"/>
      <c r="AJ116" s="50"/>
      <c r="AK116" s="50"/>
      <c r="AL116" s="50"/>
      <c r="AM116" s="50"/>
      <c r="AN116" s="50"/>
      <c r="AO116" s="50"/>
    </row>
    <row r="117" spans="1:41" x14ac:dyDescent="0.25">
      <c r="A117" s="346">
        <f>ROW()</f>
        <v>117</v>
      </c>
      <c r="B117" s="13" t="s">
        <v>523</v>
      </c>
      <c r="C117" s="12"/>
      <c r="D117" s="13"/>
      <c r="E117" s="562">
        <f t="shared" ref="E117:R117" si="81">IFERROR(E48/E$34,0)</f>
        <v>4.6317607852877632E-3</v>
      </c>
      <c r="F117" s="562">
        <f t="shared" si="81"/>
        <v>3.736362277686444E-2</v>
      </c>
      <c r="G117" s="562">
        <f t="shared" si="81"/>
        <v>4.7027966995678181E-3</v>
      </c>
      <c r="H117" s="562">
        <f t="shared" si="81"/>
        <v>4.7027966995678181E-3</v>
      </c>
      <c r="I117" s="562">
        <f t="shared" si="81"/>
        <v>4.7027966995678181E-3</v>
      </c>
      <c r="J117" s="562">
        <f t="shared" si="81"/>
        <v>4.313751435790888E-3</v>
      </c>
      <c r="K117" s="562">
        <f t="shared" si="81"/>
        <v>4.7027966995678181E-3</v>
      </c>
      <c r="L117" s="562">
        <f t="shared" si="81"/>
        <v>4.7027966995678181E-3</v>
      </c>
      <c r="M117" s="562">
        <f t="shared" si="81"/>
        <v>4.4998808214505815E-3</v>
      </c>
      <c r="N117" s="562">
        <f t="shared" si="81"/>
        <v>4.7027966995678181E-3</v>
      </c>
      <c r="O117" s="562">
        <f t="shared" si="81"/>
        <v>4.4998808214505815E-3</v>
      </c>
      <c r="P117" s="562">
        <f t="shared" si="81"/>
        <v>4.7027966995678181E-3</v>
      </c>
      <c r="Q117" s="562">
        <f t="shared" si="81"/>
        <v>4.6856195739268256E-3</v>
      </c>
      <c r="R117" s="562">
        <f t="shared" si="81"/>
        <v>0</v>
      </c>
      <c r="U117" s="343"/>
      <c r="W117" s="50"/>
      <c r="X117" s="50"/>
      <c r="Y117" s="50"/>
      <c r="Z117" s="50"/>
      <c r="AA117" s="50"/>
      <c r="AB117" s="50"/>
      <c r="AC117" s="50"/>
      <c r="AD117" s="50"/>
      <c r="AE117" s="50"/>
      <c r="AF117" s="50"/>
      <c r="AG117" s="50"/>
      <c r="AH117" s="50"/>
      <c r="AI117" s="50"/>
      <c r="AJ117" s="50"/>
      <c r="AK117" s="50"/>
      <c r="AL117" s="50"/>
      <c r="AM117" s="50"/>
      <c r="AN117" s="50"/>
      <c r="AO117" s="50"/>
    </row>
    <row r="118" spans="1:41" x14ac:dyDescent="0.25">
      <c r="A118" s="346">
        <f>ROW()</f>
        <v>118</v>
      </c>
      <c r="B118" s="13" t="s">
        <v>527</v>
      </c>
      <c r="C118" s="12"/>
      <c r="D118" s="13"/>
      <c r="E118" s="560"/>
      <c r="F118" s="561">
        <f t="shared" ref="F118:R118" si="82">IFERROR(F50/F$34,0)</f>
        <v>2.4876353310416974E-2</v>
      </c>
      <c r="G118" s="561">
        <f t="shared" si="82"/>
        <v>3.1310784006188816E-3</v>
      </c>
      <c r="H118" s="561">
        <f t="shared" si="82"/>
        <v>3.1310784006188816E-3</v>
      </c>
      <c r="I118" s="561">
        <f t="shared" si="82"/>
        <v>3.1310784006188816E-3</v>
      </c>
      <c r="J118" s="561">
        <f t="shared" si="82"/>
        <v>2.8720556743362493E-3</v>
      </c>
      <c r="K118" s="561">
        <f t="shared" si="82"/>
        <v>3.1310784006188816E-3</v>
      </c>
      <c r="L118" s="561">
        <f t="shared" si="82"/>
        <v>3.1310784006188816E-3</v>
      </c>
      <c r="M118" s="561">
        <f t="shared" si="82"/>
        <v>2.9959788920277744E-3</v>
      </c>
      <c r="N118" s="561">
        <f t="shared" si="82"/>
        <v>3.1310784006188816E-3</v>
      </c>
      <c r="O118" s="561">
        <f t="shared" si="82"/>
        <v>2.9959788920277744E-3</v>
      </c>
      <c r="P118" s="561">
        <f t="shared" si="82"/>
        <v>3.1310784006188816E-3</v>
      </c>
      <c r="Q118" s="561">
        <f t="shared" si="82"/>
        <v>3.1196420297708348E-3</v>
      </c>
      <c r="R118" s="561">
        <f t="shared" si="82"/>
        <v>0</v>
      </c>
      <c r="U118" s="343"/>
      <c r="W118" s="50"/>
      <c r="X118" s="50"/>
      <c r="Y118" s="50"/>
      <c r="Z118" s="50"/>
      <c r="AA118" s="50"/>
      <c r="AB118" s="50"/>
      <c r="AC118" s="50"/>
      <c r="AD118" s="50"/>
      <c r="AE118" s="50"/>
      <c r="AF118" s="50"/>
      <c r="AG118" s="50"/>
      <c r="AH118" s="50"/>
      <c r="AI118" s="50"/>
      <c r="AJ118" s="50"/>
      <c r="AK118" s="50"/>
      <c r="AL118" s="50"/>
      <c r="AM118" s="50"/>
      <c r="AN118" s="50"/>
      <c r="AO118" s="50"/>
    </row>
    <row r="119" spans="1:41" x14ac:dyDescent="0.25">
      <c r="A119" s="346">
        <f>ROW()</f>
        <v>119</v>
      </c>
      <c r="B119" s="117" t="s">
        <v>558</v>
      </c>
      <c r="C119" s="84"/>
      <c r="D119" s="84"/>
      <c r="E119" s="84"/>
      <c r="F119" s="84"/>
      <c r="G119" s="84"/>
      <c r="H119" s="84"/>
      <c r="I119" s="84"/>
      <c r="J119" s="84"/>
      <c r="K119" s="84"/>
      <c r="L119" s="84"/>
      <c r="M119" s="84"/>
      <c r="N119" s="84"/>
      <c r="O119" s="84"/>
      <c r="P119" s="84"/>
      <c r="Q119" s="84"/>
      <c r="R119" s="84"/>
      <c r="U119" s="343"/>
      <c r="W119" s="50"/>
      <c r="X119" s="50"/>
      <c r="Y119" s="50"/>
      <c r="Z119" s="50"/>
      <c r="AA119" s="50"/>
      <c r="AB119" s="50"/>
      <c r="AC119" s="50"/>
      <c r="AD119" s="50"/>
      <c r="AE119" s="50"/>
      <c r="AF119" s="50"/>
      <c r="AG119" s="50"/>
      <c r="AH119" s="50"/>
      <c r="AI119" s="50"/>
      <c r="AJ119" s="50"/>
      <c r="AK119" s="50"/>
      <c r="AL119" s="50"/>
      <c r="AM119" s="50"/>
      <c r="AN119" s="50"/>
      <c r="AO119" s="50"/>
    </row>
    <row r="120" spans="1:41" x14ac:dyDescent="0.25">
      <c r="A120" s="346">
        <f>ROW()</f>
        <v>120</v>
      </c>
      <c r="B120" s="12"/>
      <c r="C120" s="12"/>
      <c r="D120" s="12"/>
      <c r="E120" s="28"/>
      <c r="F120" s="568"/>
      <c r="G120" s="568"/>
      <c r="H120" s="568"/>
      <c r="I120" s="568"/>
      <c r="J120" s="568"/>
      <c r="K120" s="568"/>
      <c r="L120" s="568"/>
      <c r="M120" s="568"/>
      <c r="N120" s="568"/>
      <c r="O120" s="568"/>
      <c r="P120" s="568"/>
      <c r="Q120" s="568"/>
      <c r="R120" s="568"/>
      <c r="U120" s="343"/>
      <c r="W120" s="50"/>
      <c r="X120" s="50"/>
      <c r="Y120" s="50"/>
      <c r="Z120" s="50"/>
      <c r="AA120" s="50"/>
      <c r="AB120" s="50"/>
      <c r="AC120" s="50"/>
      <c r="AD120" s="50"/>
      <c r="AE120" s="50"/>
      <c r="AF120" s="50"/>
      <c r="AG120" s="50"/>
      <c r="AH120" s="50"/>
      <c r="AI120" s="50"/>
      <c r="AJ120" s="50"/>
      <c r="AK120" s="50"/>
      <c r="AL120" s="50"/>
      <c r="AM120" s="50"/>
      <c r="AN120" s="50"/>
      <c r="AO120" s="50"/>
    </row>
    <row r="121" spans="1:41" x14ac:dyDescent="0.25">
      <c r="A121" s="346">
        <f>ROW()</f>
        <v>121</v>
      </c>
      <c r="B121" s="12" t="s">
        <v>559</v>
      </c>
      <c r="C121" s="12"/>
      <c r="D121" s="12"/>
      <c r="E121" s="566">
        <f t="shared" ref="E121:R121" si="83">IF(OR(E67=0,E$34=0),0,MAX(E67,E68)/E$34)</f>
        <v>0</v>
      </c>
      <c r="F121" s="555">
        <f t="shared" si="83"/>
        <v>0</v>
      </c>
      <c r="G121" s="555">
        <f t="shared" si="83"/>
        <v>0</v>
      </c>
      <c r="H121" s="555">
        <f t="shared" si="83"/>
        <v>0</v>
      </c>
      <c r="I121" s="555">
        <f t="shared" si="83"/>
        <v>0</v>
      </c>
      <c r="J121" s="555">
        <f t="shared" si="83"/>
        <v>0</v>
      </c>
      <c r="K121" s="555">
        <f t="shared" si="83"/>
        <v>0</v>
      </c>
      <c r="L121" s="555">
        <f t="shared" si="83"/>
        <v>0</v>
      </c>
      <c r="M121" s="555">
        <f t="shared" si="83"/>
        <v>0</v>
      </c>
      <c r="N121" s="555">
        <f t="shared" si="83"/>
        <v>0</v>
      </c>
      <c r="O121" s="555">
        <f t="shared" si="83"/>
        <v>0</v>
      </c>
      <c r="P121" s="555">
        <f t="shared" si="83"/>
        <v>0</v>
      </c>
      <c r="Q121" s="555">
        <f t="shared" si="83"/>
        <v>0</v>
      </c>
      <c r="R121" s="555">
        <f t="shared" si="83"/>
        <v>0</v>
      </c>
      <c r="U121" s="343"/>
      <c r="W121" s="50"/>
      <c r="X121" s="50"/>
      <c r="Y121" s="50"/>
      <c r="Z121" s="50"/>
      <c r="AA121" s="50"/>
      <c r="AB121" s="50"/>
      <c r="AC121" s="50"/>
      <c r="AD121" s="50"/>
      <c r="AE121" s="50"/>
      <c r="AF121" s="50"/>
      <c r="AG121" s="50"/>
      <c r="AH121" s="50"/>
      <c r="AI121" s="50"/>
      <c r="AJ121" s="50"/>
      <c r="AK121" s="50"/>
      <c r="AL121" s="50"/>
      <c r="AM121" s="50"/>
      <c r="AN121" s="50"/>
      <c r="AO121" s="50"/>
    </row>
    <row r="122" spans="1:41" x14ac:dyDescent="0.25">
      <c r="A122" s="346">
        <f>ROW()</f>
        <v>122</v>
      </c>
      <c r="B122" s="12"/>
      <c r="C122" s="12"/>
      <c r="D122" s="12"/>
      <c r="E122" s="560"/>
      <c r="F122" s="574"/>
      <c r="G122" s="574"/>
      <c r="H122" s="574"/>
      <c r="I122" s="574"/>
      <c r="J122" s="574"/>
      <c r="K122" s="574"/>
      <c r="L122" s="574"/>
      <c r="M122" s="574"/>
      <c r="N122" s="574"/>
      <c r="O122" s="574"/>
      <c r="P122" s="574"/>
      <c r="Q122" s="574"/>
      <c r="R122" s="574"/>
      <c r="U122" s="343"/>
      <c r="W122" s="50"/>
      <c r="X122" s="50"/>
      <c r="Y122" s="50"/>
      <c r="Z122" s="50"/>
      <c r="AA122" s="50"/>
      <c r="AB122" s="50"/>
      <c r="AC122" s="50"/>
      <c r="AD122" s="50"/>
      <c r="AE122" s="50"/>
      <c r="AF122" s="50"/>
      <c r="AG122" s="50"/>
      <c r="AH122" s="50"/>
      <c r="AI122" s="50"/>
      <c r="AJ122" s="50"/>
      <c r="AK122" s="50"/>
      <c r="AL122" s="50"/>
      <c r="AM122" s="50"/>
      <c r="AN122" s="50"/>
      <c r="AO122" s="50"/>
    </row>
    <row r="123" spans="1:41" x14ac:dyDescent="0.25">
      <c r="A123" s="346">
        <f>ROW()</f>
        <v>123</v>
      </c>
      <c r="B123" s="12" t="s">
        <v>560</v>
      </c>
      <c r="C123" s="12"/>
      <c r="D123" s="12"/>
      <c r="E123" s="570"/>
      <c r="F123" s="784">
        <v>0.01</v>
      </c>
      <c r="G123" s="571">
        <f t="shared" ref="G123:P123" si="84">F125</f>
        <v>0.01</v>
      </c>
      <c r="H123" s="571">
        <f t="shared" si="84"/>
        <v>0.01</v>
      </c>
      <c r="I123" s="571">
        <f t="shared" si="84"/>
        <v>0.01</v>
      </c>
      <c r="J123" s="571">
        <f t="shared" si="84"/>
        <v>0.01</v>
      </c>
      <c r="K123" s="571">
        <f t="shared" si="84"/>
        <v>0.01</v>
      </c>
      <c r="L123" s="571">
        <f t="shared" si="84"/>
        <v>0.01</v>
      </c>
      <c r="M123" s="571">
        <f t="shared" si="84"/>
        <v>0.01</v>
      </c>
      <c r="N123" s="571">
        <f t="shared" si="84"/>
        <v>0.01</v>
      </c>
      <c r="O123" s="571">
        <f t="shared" si="84"/>
        <v>0.01</v>
      </c>
      <c r="P123" s="571">
        <f t="shared" si="84"/>
        <v>0.01</v>
      </c>
      <c r="Q123" s="571">
        <f>O125</f>
        <v>0.01</v>
      </c>
      <c r="R123" s="571">
        <f>P125</f>
        <v>0.01</v>
      </c>
      <c r="U123" s="343"/>
      <c r="W123" s="50"/>
      <c r="X123" s="50"/>
      <c r="Y123" s="50"/>
      <c r="Z123" s="50"/>
      <c r="AA123" s="50"/>
      <c r="AB123" s="50"/>
      <c r="AC123" s="50"/>
      <c r="AD123" s="50"/>
      <c r="AE123" s="50"/>
      <c r="AF123" s="50"/>
      <c r="AG123" s="50"/>
      <c r="AH123" s="50"/>
      <c r="AI123" s="50"/>
      <c r="AJ123" s="50"/>
      <c r="AK123" s="50"/>
      <c r="AL123" s="50"/>
      <c r="AM123" s="50"/>
      <c r="AN123" s="50"/>
      <c r="AO123" s="50"/>
    </row>
    <row r="124" spans="1:41" x14ac:dyDescent="0.25">
      <c r="A124" s="346">
        <f>ROW()</f>
        <v>124</v>
      </c>
      <c r="B124" s="12"/>
      <c r="C124" s="12"/>
      <c r="D124" s="12"/>
      <c r="E124" s="565"/>
      <c r="F124" s="564"/>
      <c r="G124" s="569"/>
      <c r="H124" s="569"/>
      <c r="I124" s="569"/>
      <c r="J124" s="569"/>
      <c r="K124" s="569"/>
      <c r="L124" s="569"/>
      <c r="M124" s="569"/>
      <c r="N124" s="569"/>
      <c r="O124" s="569"/>
      <c r="P124" s="569"/>
      <c r="Q124" s="569"/>
      <c r="R124" s="569"/>
      <c r="U124" s="343"/>
      <c r="W124" s="50"/>
      <c r="X124" s="50"/>
      <c r="Y124" s="50"/>
      <c r="Z124" s="50"/>
      <c r="AA124" s="50"/>
      <c r="AB124" s="50"/>
      <c r="AC124" s="50"/>
      <c r="AD124" s="50"/>
      <c r="AE124" s="50"/>
      <c r="AF124" s="50"/>
      <c r="AG124" s="50"/>
      <c r="AH124" s="50"/>
      <c r="AI124" s="50"/>
      <c r="AJ124" s="50"/>
      <c r="AK124" s="50"/>
      <c r="AL124" s="50"/>
      <c r="AM124" s="50"/>
      <c r="AN124" s="50"/>
      <c r="AO124" s="50"/>
    </row>
    <row r="125" spans="1:41" x14ac:dyDescent="0.25">
      <c r="A125" s="346">
        <f>ROW()</f>
        <v>125</v>
      </c>
      <c r="B125" s="13" t="s">
        <v>561</v>
      </c>
      <c r="C125" s="13"/>
      <c r="D125" s="13"/>
      <c r="E125" s="572">
        <f>SUM(E123,E121)</f>
        <v>0</v>
      </c>
      <c r="F125" s="573">
        <f>SUM(F123,F121)</f>
        <v>0.01</v>
      </c>
      <c r="G125" s="573">
        <f>SUM(G123,G121)</f>
        <v>0.01</v>
      </c>
      <c r="H125" s="573">
        <f t="shared" ref="H125:R125" si="85">SUM(H123,H121)</f>
        <v>0.01</v>
      </c>
      <c r="I125" s="573">
        <f t="shared" si="85"/>
        <v>0.01</v>
      </c>
      <c r="J125" s="573">
        <f t="shared" si="85"/>
        <v>0.01</v>
      </c>
      <c r="K125" s="573">
        <f t="shared" si="85"/>
        <v>0.01</v>
      </c>
      <c r="L125" s="573">
        <f t="shared" si="85"/>
        <v>0.01</v>
      </c>
      <c r="M125" s="573">
        <f t="shared" si="85"/>
        <v>0.01</v>
      </c>
      <c r="N125" s="573">
        <f t="shared" si="85"/>
        <v>0.01</v>
      </c>
      <c r="O125" s="573">
        <f t="shared" si="85"/>
        <v>0.01</v>
      </c>
      <c r="P125" s="573">
        <f t="shared" si="85"/>
        <v>0.01</v>
      </c>
      <c r="Q125" s="573">
        <f t="shared" ref="Q125" si="86">SUM(Q123,Q121)</f>
        <v>0.01</v>
      </c>
      <c r="R125" s="573">
        <f t="shared" si="85"/>
        <v>0.01</v>
      </c>
      <c r="U125" s="343"/>
      <c r="W125" s="50"/>
      <c r="X125" s="50"/>
      <c r="Y125" s="50"/>
      <c r="Z125" s="50"/>
      <c r="AA125" s="50"/>
      <c r="AB125" s="50"/>
      <c r="AC125" s="50"/>
      <c r="AD125" s="50"/>
      <c r="AE125" s="50"/>
      <c r="AF125" s="50"/>
      <c r="AG125" s="50"/>
      <c r="AH125" s="50"/>
      <c r="AI125" s="50"/>
      <c r="AJ125" s="50"/>
      <c r="AK125" s="50"/>
      <c r="AL125" s="50"/>
      <c r="AM125" s="50"/>
      <c r="AN125" s="50"/>
      <c r="AO125" s="50"/>
    </row>
    <row r="126" spans="1:41" x14ac:dyDescent="0.25">
      <c r="A126" s="346">
        <f>ROW()</f>
        <v>126</v>
      </c>
      <c r="U126" s="343"/>
      <c r="W126" s="50"/>
      <c r="X126" s="50"/>
      <c r="Y126" s="50"/>
      <c r="Z126" s="50"/>
      <c r="AA126" s="50"/>
      <c r="AB126" s="50"/>
      <c r="AC126" s="50"/>
      <c r="AD126" s="50"/>
      <c r="AE126" s="50"/>
      <c r="AF126" s="50"/>
      <c r="AG126" s="50"/>
      <c r="AH126" s="50"/>
      <c r="AI126" s="50"/>
      <c r="AJ126" s="50"/>
      <c r="AK126" s="50"/>
      <c r="AL126" s="50"/>
      <c r="AM126" s="50"/>
      <c r="AN126" s="50"/>
      <c r="AO126" s="50"/>
    </row>
    <row r="127" spans="1:41" x14ac:dyDescent="0.25">
      <c r="A127" s="346">
        <f>ROW()</f>
        <v>127</v>
      </c>
      <c r="B127" s="33" t="s">
        <v>562</v>
      </c>
      <c r="F127" s="221">
        <f>IFERROR(#REF!/F39,0)</f>
        <v>0</v>
      </c>
      <c r="G127" s="221">
        <f>IFERROR(#REF!/G39,0)</f>
        <v>0</v>
      </c>
      <c r="H127" s="221">
        <f>IFERROR(#REF!/H39,0)</f>
        <v>0</v>
      </c>
      <c r="I127" s="221">
        <f>IFERROR(#REF!/I39,0)</f>
        <v>0</v>
      </c>
      <c r="J127" s="221">
        <f>IFERROR(#REF!/J39,0)</f>
        <v>0</v>
      </c>
      <c r="K127" s="221">
        <f>IFERROR(#REF!/K39,0)</f>
        <v>0</v>
      </c>
      <c r="L127" s="221">
        <f>IFERROR(#REF!/L39,0)</f>
        <v>0</v>
      </c>
      <c r="M127" s="221">
        <f>IFERROR(#REF!/M39,0)</f>
        <v>0</v>
      </c>
      <c r="N127" s="221">
        <f>IFERROR(#REF!/N39,0)</f>
        <v>0</v>
      </c>
      <c r="O127" s="221">
        <f>IFERROR(#REF!/O39,0)</f>
        <v>0</v>
      </c>
      <c r="P127" s="221">
        <f>IFERROR(#REF!/P39,0)</f>
        <v>0</v>
      </c>
      <c r="Q127" s="221">
        <f>IFERROR(#REF!/Q39,0)</f>
        <v>0</v>
      </c>
      <c r="R127" s="221">
        <f>IFERROR(#REF!/R39,0)</f>
        <v>0</v>
      </c>
      <c r="U127" s="343"/>
      <c r="W127" s="50"/>
      <c r="X127" s="50"/>
      <c r="Y127" s="50"/>
      <c r="Z127" s="50"/>
      <c r="AA127" s="50"/>
      <c r="AB127" s="50"/>
      <c r="AC127" s="50"/>
      <c r="AD127" s="50"/>
      <c r="AE127" s="50"/>
      <c r="AF127" s="50"/>
      <c r="AG127" s="50"/>
      <c r="AH127" s="50"/>
      <c r="AI127" s="50"/>
      <c r="AJ127" s="50"/>
      <c r="AK127" s="50"/>
      <c r="AL127" s="50"/>
      <c r="AM127" s="50"/>
      <c r="AN127" s="50"/>
      <c r="AO127" s="50"/>
    </row>
    <row r="128" spans="1:41" x14ac:dyDescent="0.25">
      <c r="A128" s="346">
        <f>ROW()</f>
        <v>128</v>
      </c>
      <c r="B128" s="90" t="s">
        <v>563</v>
      </c>
      <c r="C128" s="90"/>
      <c r="D128" s="90"/>
      <c r="F128" s="50">
        <f>Statistics!$G$21</f>
        <v>122</v>
      </c>
      <c r="G128" s="50">
        <f>Statistics!$G$21</f>
        <v>122</v>
      </c>
      <c r="H128" s="50">
        <f>Statistics!$G$21</f>
        <v>122</v>
      </c>
      <c r="I128" s="50">
        <f>Statistics!$G$21</f>
        <v>122</v>
      </c>
      <c r="J128" s="50">
        <f>Statistics!$G$21</f>
        <v>122</v>
      </c>
      <c r="K128" s="50">
        <f>Statistics!$G$21</f>
        <v>122</v>
      </c>
      <c r="L128" s="50">
        <f>Statistics!$G$21</f>
        <v>122</v>
      </c>
      <c r="M128" s="50">
        <f>Statistics!$G$21</f>
        <v>122</v>
      </c>
      <c r="N128" s="50">
        <f>Statistics!$G$21</f>
        <v>122</v>
      </c>
      <c r="O128" s="50">
        <f>Statistics!$G$21</f>
        <v>122</v>
      </c>
      <c r="P128" s="50">
        <f>Statistics!$G$21</f>
        <v>122</v>
      </c>
      <c r="Q128" s="50">
        <f>Statistics!$G$21</f>
        <v>122</v>
      </c>
      <c r="R128" s="50">
        <f>Statistics!$G$21</f>
        <v>122</v>
      </c>
      <c r="U128" s="343"/>
      <c r="W128" s="50"/>
      <c r="X128" s="50"/>
      <c r="Y128" s="50"/>
      <c r="Z128" s="50"/>
      <c r="AA128" s="50"/>
      <c r="AB128" s="50"/>
      <c r="AC128" s="50"/>
      <c r="AD128" s="50"/>
      <c r="AE128" s="50"/>
      <c r="AF128" s="50"/>
      <c r="AG128" s="50"/>
      <c r="AH128" s="50"/>
      <c r="AI128" s="50"/>
      <c r="AJ128" s="50"/>
      <c r="AK128" s="50"/>
      <c r="AL128" s="50"/>
      <c r="AM128" s="50"/>
      <c r="AN128" s="50"/>
      <c r="AO128" s="50"/>
    </row>
    <row r="129" spans="1:41" x14ac:dyDescent="0.25">
      <c r="A129" s="346">
        <f>ROW()</f>
        <v>129</v>
      </c>
      <c r="B129" s="33" t="s">
        <v>564</v>
      </c>
      <c r="F129" s="55">
        <f>IFERROR(#REF!/Statistics!$H$21,0)</f>
        <v>0</v>
      </c>
      <c r="G129" s="55">
        <f>IFERROR(#REF!/Statistics!$H$21,0)</f>
        <v>0</v>
      </c>
      <c r="H129" s="55">
        <f>IFERROR(#REF!/Statistics!$H$21,0)</f>
        <v>0</v>
      </c>
      <c r="I129" s="55">
        <f>IFERROR(#REF!/Statistics!$H$21,0)</f>
        <v>0</v>
      </c>
      <c r="J129" s="55">
        <f>IFERROR(#REF!/Statistics!$H$21,0)</f>
        <v>0</v>
      </c>
      <c r="K129" s="55">
        <f>IFERROR(#REF!/Statistics!$H$21,0)</f>
        <v>0</v>
      </c>
      <c r="L129" s="55">
        <f>IFERROR(#REF!/Statistics!$H$21,0)</f>
        <v>0</v>
      </c>
      <c r="M129" s="55">
        <f>IFERROR(#REF!/Statistics!$H$21,0)</f>
        <v>0</v>
      </c>
      <c r="N129" s="55">
        <f>IFERROR(#REF!/Statistics!$H$21,0)</f>
        <v>0</v>
      </c>
      <c r="O129" s="55">
        <f>IFERROR(#REF!/Statistics!$H$21,0)</f>
        <v>0</v>
      </c>
      <c r="P129" s="55">
        <f>IFERROR(#REF!/Statistics!$H$21,0)</f>
        <v>0</v>
      </c>
      <c r="Q129" s="55">
        <f>IFERROR(#REF!/Statistics!$H$21,0)</f>
        <v>0</v>
      </c>
      <c r="R129" s="55">
        <f>IFERROR(#REF!/Statistics!$H$21,0)</f>
        <v>0</v>
      </c>
      <c r="U129" s="343"/>
      <c r="W129" s="50"/>
      <c r="X129" s="50"/>
      <c r="Y129" s="50"/>
      <c r="Z129" s="50"/>
      <c r="AA129" s="50"/>
      <c r="AB129" s="50"/>
      <c r="AC129" s="50"/>
      <c r="AD129" s="50"/>
      <c r="AE129" s="50"/>
      <c r="AF129" s="50"/>
      <c r="AG129" s="50"/>
      <c r="AH129" s="50"/>
      <c r="AI129" s="50"/>
      <c r="AJ129" s="50"/>
      <c r="AK129" s="50"/>
      <c r="AL129" s="50"/>
      <c r="AM129" s="50"/>
      <c r="AN129" s="50"/>
      <c r="AO129" s="50"/>
    </row>
    <row r="130" spans="1:41" x14ac:dyDescent="0.25">
      <c r="A130" s="346">
        <f>ROW()</f>
        <v>130</v>
      </c>
      <c r="B130" s="33" t="s">
        <v>565</v>
      </c>
      <c r="F130" s="55">
        <f>IFERROR(F39/Statistics!$H$21,0)</f>
        <v>11256.744810809199</v>
      </c>
      <c r="G130" s="55">
        <f>IFERROR(G39/Statistics!$H$21,0)</f>
        <v>11256.744810809199</v>
      </c>
      <c r="H130" s="55">
        <f>IFERROR(H39/Statistics!$H$21,0)</f>
        <v>11256.744810809199</v>
      </c>
      <c r="I130" s="55">
        <f>IFERROR(I39/Statistics!$H$21,0)</f>
        <v>11256.744810809199</v>
      </c>
      <c r="J130" s="55">
        <f>IFERROR(J39/Statistics!$H$21,0)</f>
        <v>11256.744810809199</v>
      </c>
      <c r="K130" s="55">
        <f>IFERROR(K39/Statistics!$H$21,0)</f>
        <v>11256.744810809199</v>
      </c>
      <c r="L130" s="55">
        <f>IFERROR(L39/Statistics!$H$21,0)</f>
        <v>11256.744810809199</v>
      </c>
      <c r="M130" s="55">
        <f>IFERROR(M39/Statistics!$H$21,0)</f>
        <v>11256.744810809199</v>
      </c>
      <c r="N130" s="55">
        <f>IFERROR(N39/Statistics!$H$21,0)</f>
        <v>11256.744810809199</v>
      </c>
      <c r="O130" s="55">
        <f>IFERROR(O39/Statistics!$H$21,0)</f>
        <v>11256.744810809199</v>
      </c>
      <c r="P130" s="55">
        <f>IFERROR(P39/Statistics!$H$21,0)</f>
        <v>11256.744810809199</v>
      </c>
      <c r="Q130" s="55">
        <f>IFERROR(Q39/Statistics!$H$21,0)</f>
        <v>11256.744810809199</v>
      </c>
      <c r="R130" s="55">
        <f>IFERROR(R39/Statistics!$H$21,0)</f>
        <v>0</v>
      </c>
      <c r="U130" s="343"/>
      <c r="W130" s="50"/>
      <c r="X130" s="50"/>
      <c r="Y130" s="50"/>
      <c r="Z130" s="50"/>
      <c r="AA130" s="50"/>
      <c r="AB130" s="50"/>
      <c r="AC130" s="50"/>
      <c r="AD130" s="50"/>
      <c r="AE130" s="50"/>
      <c r="AF130" s="50"/>
      <c r="AG130" s="50"/>
      <c r="AH130" s="50"/>
      <c r="AI130" s="50"/>
      <c r="AJ130" s="50"/>
      <c r="AK130" s="50"/>
      <c r="AL130" s="50"/>
      <c r="AM130" s="50"/>
      <c r="AN130" s="50"/>
      <c r="AO130" s="50"/>
    </row>
    <row r="132" spans="1:41" x14ac:dyDescent="0.25">
      <c r="A132" s="80"/>
      <c r="B132" s="80"/>
    </row>
  </sheetData>
  <sheetProtection algorithmName="SHA-512" hashValue="KRw25z3tRc2MkZkt1kz5cz+CakLKTWCa1cwE1K+ULxEcAvSbghEqSMLqJb5t2dFZ3eh0wbibHMpYPGM2w0MpNw==" saltValue="JHL3m8s2gJzEdizcP05abw==" spinCount="100000" sheet="1" objects="1" scenarios="1"/>
  <conditionalFormatting sqref="D1">
    <cfRule type="expression" dxfId="50" priority="14" stopIfTrue="1">
      <formula>MOD(ROW(),2)=0</formula>
    </cfRule>
  </conditionalFormatting>
  <conditionalFormatting sqref="E63:E66">
    <cfRule type="cellIs" dxfId="49" priority="191" stopIfTrue="1" operator="equal">
      <formula>0</formula>
    </cfRule>
  </conditionalFormatting>
  <conditionalFormatting sqref="E65:R65">
    <cfRule type="cellIs" dxfId="48" priority="4" stopIfTrue="1" operator="equal">
      <formula>0</formula>
    </cfRule>
  </conditionalFormatting>
  <conditionalFormatting sqref="E67:R68">
    <cfRule type="cellIs" dxfId="47" priority="3" stopIfTrue="1" operator="equal">
      <formula>0</formula>
    </cfRule>
  </conditionalFormatting>
  <conditionalFormatting sqref="E75:R91">
    <cfRule type="cellIs" dxfId="46" priority="5" stopIfTrue="1" operator="equal">
      <formula>0</formula>
    </cfRule>
  </conditionalFormatting>
  <conditionalFormatting sqref="E97:R118">
    <cfRule type="cellIs" dxfId="45" priority="6" stopIfTrue="1" operator="equal">
      <formula>0</formula>
    </cfRule>
  </conditionalFormatting>
  <conditionalFormatting sqref="E121:R125">
    <cfRule type="cellIs" dxfId="44" priority="8" stopIfTrue="1" operator="equal">
      <formula>0</formula>
    </cfRule>
  </conditionalFormatting>
  <conditionalFormatting sqref="F127:R130">
    <cfRule type="cellIs" dxfId="43" priority="10" stopIfTrue="1" operator="equal">
      <formula>0</formula>
    </cfRule>
  </conditionalFormatting>
  <hyperlinks>
    <hyperlink ref="D1" location="HypLink1" display="HypLink1" xr:uid="{02E0081D-2110-4DA5-BE04-548076665262}"/>
  </hyperlinks>
  <pageMargins left="0.25" right="0.25" top="0.5" bottom="0.45" header="0.25" footer="0.25"/>
  <pageSetup scale="55" fitToHeight="0" orientation="landscape" r:id="rId1"/>
  <headerFooter>
    <oddHeader xml:space="preserve">&amp;L &amp;C &amp;R </oddHeader>
    <oddFooter>&amp;L&amp;7&amp;D  at &amp;T Mike 702.486.8879&amp;C&amp;7&amp;F  &amp;A&amp;R&amp;7Page &amp;P of &amp;N</oddFooter>
  </headerFooter>
  <rowBreaks count="2" manualBreakCount="2">
    <brk id="60" max="16" man="1"/>
    <brk id="93" max="17" man="1"/>
  </rowBreaks>
  <legacyDrawing r:id="rId2"/>
  <extLst>
    <ext xmlns:x14="http://schemas.microsoft.com/office/spreadsheetml/2009/9/main" uri="{78C0D931-6437-407d-A8EE-F0AAD7539E65}">
      <x14:conditionalFormattings>
        <x14:conditionalFormatting xmlns:xm="http://schemas.microsoft.com/office/excel/2006/main">
          <x14:cfRule type="cellIs" priority="19" operator="notBetween" id="{43A297F8-FFBE-417E-89DE-D5D0089D6E55}">
            <xm:f>0.95*' Enrol &amp; Rev'!$G$145</xm:f>
            <xm:f>1.05*' Enrol &amp; Rev'!$G$145</xm:f>
            <x14:dxf>
              <fill>
                <patternFill>
                  <bgColor rgb="FFFF0000"/>
                </patternFill>
              </fill>
            </x14:dxf>
          </x14:cfRule>
          <xm:sqref>C34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0370-FC1C-4B54-A404-4F56C11DD8BD}">
  <sheetPr codeName="Sheet16">
    <tabColor rgb="FFFFFF00"/>
  </sheetPr>
  <dimension ref="A1:AE476"/>
  <sheetViews>
    <sheetView workbookViewId="0">
      <selection activeCell="E67" sqref="E67:M67"/>
    </sheetView>
  </sheetViews>
  <sheetFormatPr defaultColWidth="8.7109375" defaultRowHeight="15" outlineLevelRow="1" x14ac:dyDescent="0.25"/>
  <cols>
    <col min="1" max="1" width="8.28515625" style="33" customWidth="1"/>
    <col min="2" max="2" width="43.7109375" style="33" customWidth="1"/>
    <col min="3" max="3" width="20.28515625" style="33" customWidth="1"/>
    <col min="4" max="5" width="13.28515625" style="33" customWidth="1"/>
    <col min="6" max="6" width="10" style="33" customWidth="1"/>
    <col min="7" max="13" width="18" style="33" customWidth="1"/>
    <col min="14" max="14" width="2.5703125" style="33" customWidth="1"/>
    <col min="15" max="15" width="70.42578125" style="307" customWidth="1"/>
    <col min="16" max="16" width="12.5703125" style="33" customWidth="1"/>
    <col min="17" max="30" width="3.42578125" style="33" bestFit="1" customWidth="1"/>
    <col min="31" max="31" width="3.140625" style="33" bestFit="1" customWidth="1"/>
    <col min="32" max="16384" width="8.7109375" style="33"/>
  </cols>
  <sheetData>
    <row r="1" spans="1:31" ht="18" x14ac:dyDescent="0.25">
      <c r="A1" s="123" t="s">
        <v>566</v>
      </c>
      <c r="B1" s="35"/>
      <c r="D1" s="408" t="s">
        <v>3</v>
      </c>
      <c r="Q1" s="36"/>
      <c r="Y1" s="307"/>
    </row>
    <row r="2" spans="1:31" ht="15.75" x14ac:dyDescent="0.25">
      <c r="A2" s="114" t="str">
        <f>SchoolName</f>
        <v>Odyssey Charter School</v>
      </c>
      <c r="B2" s="38"/>
      <c r="D2" s="1624" t="s">
        <v>567</v>
      </c>
      <c r="Y2" s="307"/>
    </row>
    <row r="3" spans="1:31" x14ac:dyDescent="0.25">
      <c r="A3" s="39" t="s">
        <v>80</v>
      </c>
      <c r="L3" s="31"/>
      <c r="Y3" s="307"/>
    </row>
    <row r="4" spans="1:31" x14ac:dyDescent="0.25">
      <c r="A4" s="40" t="s">
        <v>81</v>
      </c>
      <c r="Y4" s="307"/>
    </row>
    <row r="5" spans="1:31" x14ac:dyDescent="0.25">
      <c r="A5" s="30" t="str">
        <f ca="1">CELL("filename")</f>
        <v>\\lvraiders\users\sguthrie\Documents\Charter\Change of Sponsorship\[240126-SPCSA-Odyssey Charter School Application Workbook-AS-IS-Original Version.xlsx]Instructions</v>
      </c>
      <c r="Y5" s="307"/>
    </row>
    <row r="6" spans="1:31" ht="15.75" x14ac:dyDescent="0.25">
      <c r="A6" s="480"/>
      <c r="D6" s="65" t="s">
        <v>341</v>
      </c>
      <c r="E6" s="65"/>
      <c r="F6" s="65"/>
      <c r="G6" s="503"/>
      <c r="H6" s="504"/>
      <c r="I6" s="503"/>
      <c r="J6" s="503"/>
      <c r="K6" s="65"/>
      <c r="L6" s="503"/>
      <c r="M6" s="503"/>
      <c r="Y6" s="307"/>
    </row>
    <row r="7" spans="1:31" x14ac:dyDescent="0.25">
      <c r="A7" s="480"/>
      <c r="D7" s="32" t="s">
        <v>342</v>
      </c>
      <c r="E7" s="32"/>
      <c r="F7" s="32"/>
      <c r="G7" s="503">
        <f>+G8</f>
        <v>0</v>
      </c>
      <c r="H7" s="503">
        <f>+H8</f>
        <v>1</v>
      </c>
      <c r="I7" s="503">
        <f t="shared" ref="I7:K7" si="0">+I8</f>
        <v>2</v>
      </c>
      <c r="J7" s="503">
        <f t="shared" si="0"/>
        <v>3</v>
      </c>
      <c r="K7" s="503">
        <f t="shared" si="0"/>
        <v>4</v>
      </c>
      <c r="L7" s="503"/>
      <c r="M7" s="503"/>
      <c r="Y7" s="307"/>
    </row>
    <row r="8" spans="1:31" x14ac:dyDescent="0.25">
      <c r="A8" s="480"/>
      <c r="G8" s="1639">
        <f>' Enrol &amp; Rev'!F9</f>
        <v>0</v>
      </c>
      <c r="H8" s="718">
        <f>' Enrol &amp; Rev'!G9</f>
        <v>1</v>
      </c>
      <c r="I8" s="718">
        <f>' Enrol &amp; Rev'!H9</f>
        <v>2</v>
      </c>
      <c r="J8" s="718">
        <f>' Enrol &amp; Rev'!I9</f>
        <v>3</v>
      </c>
      <c r="K8" s="718">
        <f>' Enrol &amp; Rev'!J9</f>
        <v>4</v>
      </c>
      <c r="L8" s="718">
        <f>' Enrol &amp; Rev'!K9</f>
        <v>5</v>
      </c>
      <c r="M8" s="1188">
        <f>' Enrol &amp; Rev'!L9</f>
        <v>6</v>
      </c>
      <c r="Q8" s="50"/>
      <c r="R8" s="50"/>
      <c r="S8" s="50"/>
      <c r="T8" s="50"/>
      <c r="U8" s="50"/>
      <c r="V8" s="50"/>
      <c r="W8" s="50"/>
      <c r="X8" s="50"/>
      <c r="Y8" s="50"/>
      <c r="Z8" s="50"/>
      <c r="AA8" s="50"/>
      <c r="AB8" s="50"/>
      <c r="AC8" s="50"/>
      <c r="AD8" s="50"/>
      <c r="AE8" s="50"/>
    </row>
    <row r="9" spans="1:31" x14ac:dyDescent="0.25">
      <c r="A9" s="480"/>
      <c r="G9" s="719">
        <f>' Enrol &amp; Rev'!F10</f>
        <v>2024</v>
      </c>
      <c r="H9" s="720">
        <f>' Enrol &amp; Rev'!G10</f>
        <v>2025</v>
      </c>
      <c r="I9" s="720">
        <f>' Enrol &amp; Rev'!H10</f>
        <v>2026</v>
      </c>
      <c r="J9" s="720">
        <f>' Enrol &amp; Rev'!I10</f>
        <v>2027</v>
      </c>
      <c r="K9" s="720">
        <f>' Enrol &amp; Rev'!J10</f>
        <v>2028</v>
      </c>
      <c r="L9" s="720">
        <f>' Enrol &amp; Rev'!K10</f>
        <v>2029</v>
      </c>
      <c r="M9" s="721">
        <f>' Enrol &amp; Rev'!L10</f>
        <v>2030</v>
      </c>
      <c r="Q9" s="50"/>
      <c r="R9" s="50"/>
      <c r="S9" s="50"/>
      <c r="T9" s="50"/>
      <c r="U9" s="50"/>
      <c r="V9" s="50"/>
      <c r="W9" s="50"/>
      <c r="X9" s="50"/>
      <c r="Y9" s="50"/>
      <c r="Z9" s="50"/>
      <c r="AA9" s="50"/>
      <c r="AB9" s="50"/>
      <c r="AC9" s="50"/>
      <c r="AD9" s="50"/>
      <c r="AE9" s="50"/>
    </row>
    <row r="10" spans="1:31" x14ac:dyDescent="0.25">
      <c r="A10" s="480"/>
      <c r="G10" s="722">
        <f>' Enrol &amp; Rev'!F11</f>
        <v>2025</v>
      </c>
      <c r="H10" s="723">
        <f>' Enrol &amp; Rev'!G11</f>
        <v>2026</v>
      </c>
      <c r="I10" s="723">
        <f>' Enrol &amp; Rev'!H11</f>
        <v>2027</v>
      </c>
      <c r="J10" s="723">
        <f>' Enrol &amp; Rev'!I11</f>
        <v>2028</v>
      </c>
      <c r="K10" s="723">
        <f>' Enrol &amp; Rev'!J11</f>
        <v>2029</v>
      </c>
      <c r="L10" s="723">
        <f>' Enrol &amp; Rev'!K11</f>
        <v>2030</v>
      </c>
      <c r="M10" s="724">
        <f>' Enrol &amp; Rev'!L11</f>
        <v>2031</v>
      </c>
      <c r="Q10" s="50"/>
      <c r="R10" s="50"/>
      <c r="S10" s="50"/>
      <c r="T10" s="50"/>
      <c r="U10" s="50"/>
      <c r="V10" s="50"/>
      <c r="W10" s="50"/>
      <c r="X10" s="50"/>
      <c r="Y10" s="50"/>
      <c r="Z10" s="50"/>
      <c r="AA10" s="50"/>
      <c r="AB10" s="50"/>
      <c r="AC10" s="50"/>
      <c r="AD10" s="50"/>
      <c r="AE10" s="50"/>
    </row>
    <row r="11" spans="1:31" ht="18.75" x14ac:dyDescent="0.3">
      <c r="A11" s="480"/>
      <c r="B11" s="435" t="s">
        <v>568</v>
      </c>
      <c r="G11" s="503"/>
      <c r="H11" s="503"/>
      <c r="I11" s="503"/>
      <c r="J11" s="503"/>
      <c r="K11" s="503"/>
      <c r="L11" s="503"/>
      <c r="M11" s="503"/>
      <c r="Q11" s="50"/>
      <c r="R11" s="50"/>
      <c r="S11" s="50"/>
      <c r="T11" s="50"/>
      <c r="U11" s="50"/>
      <c r="V11" s="50"/>
      <c r="W11" s="50"/>
      <c r="X11" s="50"/>
      <c r="Y11" s="50"/>
      <c r="Z11" s="50"/>
      <c r="AA11" s="50"/>
      <c r="AB11" s="50"/>
      <c r="AC11" s="50"/>
      <c r="AD11" s="50"/>
      <c r="AE11" s="50"/>
    </row>
    <row r="12" spans="1:31" x14ac:dyDescent="0.25">
      <c r="A12" s="480"/>
      <c r="D12" s="289"/>
      <c r="E12" s="289"/>
      <c r="F12" s="289"/>
      <c r="G12" s="503"/>
      <c r="H12" s="503"/>
      <c r="I12" s="503"/>
      <c r="J12" s="503"/>
      <c r="K12" s="503"/>
      <c r="L12" s="503"/>
      <c r="M12" s="503"/>
      <c r="N12" s="96"/>
      <c r="O12" s="1377"/>
      <c r="Q12" s="50"/>
      <c r="R12" s="50"/>
      <c r="S12" s="50"/>
      <c r="T12" s="50"/>
      <c r="U12" s="50"/>
      <c r="V12" s="50"/>
      <c r="W12" s="50"/>
      <c r="X12" s="50"/>
      <c r="Y12" s="50"/>
      <c r="Z12" s="50"/>
      <c r="AA12" s="50"/>
      <c r="AB12" s="50"/>
      <c r="AC12" s="50"/>
      <c r="AD12" s="50"/>
      <c r="AE12" s="50"/>
    </row>
    <row r="13" spans="1:31" x14ac:dyDescent="0.25">
      <c r="A13" s="480"/>
      <c r="B13" s="31" t="s">
        <v>569</v>
      </c>
      <c r="C13" s="31"/>
      <c r="D13" s="31"/>
      <c r="E13" s="31"/>
      <c r="F13" s="31"/>
      <c r="G13" s="65"/>
      <c r="H13" s="505"/>
      <c r="I13" s="505"/>
      <c r="J13" s="505"/>
      <c r="K13" s="505"/>
      <c r="L13" s="505"/>
      <c r="M13" s="505"/>
      <c r="N13" s="96"/>
      <c r="O13" s="1377"/>
      <c r="Q13" s="50"/>
      <c r="R13" s="50"/>
      <c r="S13" s="50"/>
      <c r="T13" s="50"/>
      <c r="U13" s="50"/>
      <c r="V13" s="50"/>
      <c r="W13" s="50"/>
      <c r="X13" s="50"/>
      <c r="Y13" s="50"/>
      <c r="Z13" s="50"/>
      <c r="AA13" s="50"/>
      <c r="AB13" s="50"/>
      <c r="AC13" s="50"/>
      <c r="AD13" s="50"/>
      <c r="AE13" s="50"/>
    </row>
    <row r="14" spans="1:31" ht="18.75" x14ac:dyDescent="0.3">
      <c r="A14" s="480">
        <f>ROW()</f>
        <v>14</v>
      </c>
      <c r="B14" s="781" t="s">
        <v>570</v>
      </c>
      <c r="C14" s="782"/>
      <c r="D14" s="782"/>
      <c r="E14" s="782"/>
      <c r="F14" s="782"/>
      <c r="G14" s="783"/>
      <c r="H14" s="783"/>
      <c r="I14" s="783"/>
      <c r="J14" s="783"/>
      <c r="K14" s="783"/>
      <c r="L14" s="783"/>
      <c r="M14" s="783"/>
      <c r="N14" s="96"/>
      <c r="O14" s="1365" t="s">
        <v>103</v>
      </c>
      <c r="Q14" s="50"/>
      <c r="R14" s="50"/>
      <c r="S14" s="50"/>
      <c r="T14" s="50"/>
      <c r="U14" s="50"/>
      <c r="V14" s="50"/>
      <c r="W14" s="50"/>
      <c r="X14" s="50"/>
      <c r="Y14" s="50"/>
      <c r="Z14" s="50"/>
      <c r="AA14" s="50"/>
      <c r="AB14" s="50"/>
      <c r="AC14" s="50"/>
      <c r="AD14" s="50"/>
      <c r="AE14" s="50"/>
    </row>
    <row r="15" spans="1:31" x14ac:dyDescent="0.25">
      <c r="A15" s="480">
        <f>ROW()</f>
        <v>15</v>
      </c>
      <c r="N15" s="96"/>
      <c r="O15" s="462"/>
      <c r="Q15" s="50"/>
      <c r="R15" s="50"/>
      <c r="S15" s="50"/>
      <c r="T15" s="50"/>
      <c r="U15" s="50"/>
      <c r="V15" s="50"/>
      <c r="W15" s="50"/>
      <c r="X15" s="50"/>
      <c r="Y15" s="50"/>
      <c r="Z15" s="50"/>
      <c r="AA15" s="50"/>
      <c r="AB15" s="50"/>
      <c r="AC15" s="50"/>
      <c r="AD15" s="50"/>
      <c r="AE15" s="50"/>
    </row>
    <row r="16" spans="1:31" ht="18.75" x14ac:dyDescent="0.3">
      <c r="A16" s="480">
        <f>ROW()</f>
        <v>16</v>
      </c>
      <c r="B16" s="80" t="s">
        <v>571</v>
      </c>
      <c r="D16" s="1320" t="s">
        <v>572</v>
      </c>
      <c r="E16" s="63"/>
      <c r="F16" s="63"/>
      <c r="G16" s="1321">
        <f>+G10</f>
        <v>2025</v>
      </c>
      <c r="H16" s="1321">
        <f t="shared" ref="H16:M16" si="1">+H10</f>
        <v>2026</v>
      </c>
      <c r="I16" s="1321">
        <f t="shared" si="1"/>
        <v>2027</v>
      </c>
      <c r="J16" s="1321">
        <f t="shared" si="1"/>
        <v>2028</v>
      </c>
      <c r="K16" s="1321">
        <f t="shared" si="1"/>
        <v>2029</v>
      </c>
      <c r="L16" s="1321">
        <f t="shared" si="1"/>
        <v>2030</v>
      </c>
      <c r="M16" s="1321">
        <f t="shared" si="1"/>
        <v>2031</v>
      </c>
      <c r="N16" s="96"/>
      <c r="O16" s="462"/>
      <c r="Q16" s="50"/>
      <c r="R16" s="50"/>
      <c r="S16" s="50"/>
      <c r="T16" s="50"/>
      <c r="U16" s="50"/>
      <c r="V16" s="50"/>
      <c r="W16" s="50"/>
      <c r="X16" s="50"/>
      <c r="Y16" s="50"/>
      <c r="Z16" s="50"/>
      <c r="AA16" s="50"/>
      <c r="AB16" s="50"/>
      <c r="AC16" s="50"/>
      <c r="AD16" s="50"/>
      <c r="AE16" s="50"/>
    </row>
    <row r="17" spans="1:31" ht="15.75" x14ac:dyDescent="0.25">
      <c r="A17" s="480">
        <f>ROW()</f>
        <v>17</v>
      </c>
      <c r="B17" s="80" t="s">
        <v>573</v>
      </c>
      <c r="D17" s="371" t="s">
        <v>574</v>
      </c>
      <c r="E17" s="371"/>
      <c r="F17" s="371"/>
      <c r="G17" s="1314">
        <f>$G$86</f>
        <v>9</v>
      </c>
      <c r="H17" s="1314">
        <f>$H$86</f>
        <v>9</v>
      </c>
      <c r="I17" s="1314">
        <f>$I$86</f>
        <v>9</v>
      </c>
      <c r="J17" s="1314">
        <f>$J$86</f>
        <v>9</v>
      </c>
      <c r="K17" s="1314">
        <f>$K$86</f>
        <v>9</v>
      </c>
      <c r="L17" s="1314">
        <f>$L$86</f>
        <v>9</v>
      </c>
      <c r="M17" s="1314">
        <f>$M$86</f>
        <v>9</v>
      </c>
      <c r="N17" s="96"/>
      <c r="O17" s="462"/>
      <c r="Q17" s="50"/>
      <c r="R17" s="50"/>
      <c r="S17" s="50"/>
      <c r="T17" s="50"/>
      <c r="U17" s="50"/>
      <c r="V17" s="50"/>
      <c r="W17" s="50"/>
      <c r="X17" s="50"/>
      <c r="Y17" s="50"/>
      <c r="Z17" s="50"/>
      <c r="AA17" s="50"/>
      <c r="AB17" s="50"/>
      <c r="AC17" s="50"/>
      <c r="AD17" s="50"/>
      <c r="AE17" s="50"/>
    </row>
    <row r="18" spans="1:31" ht="15.75" x14ac:dyDescent="0.25">
      <c r="A18" s="480">
        <f>ROW()</f>
        <v>18</v>
      </c>
      <c r="D18" s="371" t="s">
        <v>575</v>
      </c>
      <c r="E18" s="371"/>
      <c r="F18" s="371"/>
      <c r="G18" s="1314">
        <f>$G$94-$G$86</f>
        <v>21</v>
      </c>
      <c r="H18" s="1314">
        <f>$H$94-$H$86</f>
        <v>21</v>
      </c>
      <c r="I18" s="1314">
        <f>$I$94-$I$86</f>
        <v>21</v>
      </c>
      <c r="J18" s="1314">
        <f>$J$94-$J$86</f>
        <v>21</v>
      </c>
      <c r="K18" s="1314">
        <f>$K$94-$K$86</f>
        <v>21</v>
      </c>
      <c r="L18" s="1314">
        <f>$L$94-$L$86</f>
        <v>21</v>
      </c>
      <c r="M18" s="1314">
        <f>$M$94-$M$86</f>
        <v>21</v>
      </c>
      <c r="N18" s="96"/>
      <c r="O18" s="343"/>
      <c r="Q18" s="50"/>
      <c r="R18" s="50"/>
      <c r="S18" s="50"/>
      <c r="T18" s="50"/>
      <c r="U18" s="50"/>
      <c r="V18" s="50"/>
      <c r="W18" s="50"/>
      <c r="X18" s="50"/>
      <c r="Y18" s="50"/>
      <c r="Z18" s="50"/>
      <c r="AA18" s="50"/>
      <c r="AB18" s="50"/>
      <c r="AC18" s="50"/>
      <c r="AD18" s="50"/>
      <c r="AE18" s="50"/>
    </row>
    <row r="19" spans="1:31" ht="15.75" x14ac:dyDescent="0.25">
      <c r="A19" s="480">
        <f>ROW()</f>
        <v>19</v>
      </c>
      <c r="D19" s="371" t="s">
        <v>576</v>
      </c>
      <c r="E19" s="371"/>
      <c r="F19" s="371"/>
      <c r="G19" s="1314">
        <f>$G$106</f>
        <v>27</v>
      </c>
      <c r="H19" s="1314">
        <f>$H$106</f>
        <v>27</v>
      </c>
      <c r="I19" s="1314">
        <f>$I$106</f>
        <v>27</v>
      </c>
      <c r="J19" s="1314">
        <f>$J$106</f>
        <v>27</v>
      </c>
      <c r="K19" s="1314">
        <f>$K$106</f>
        <v>27</v>
      </c>
      <c r="L19" s="1314">
        <f>$L$106</f>
        <v>27</v>
      </c>
      <c r="M19" s="1314">
        <f>$M$106</f>
        <v>27</v>
      </c>
      <c r="N19" s="96"/>
      <c r="O19" s="343"/>
      <c r="Q19" s="50"/>
      <c r="R19" s="50"/>
      <c r="S19" s="50"/>
      <c r="T19" s="50"/>
      <c r="U19" s="50"/>
      <c r="V19" s="50"/>
      <c r="W19" s="50"/>
      <c r="X19" s="50"/>
      <c r="Y19" s="50"/>
      <c r="Z19" s="50"/>
      <c r="AA19" s="50"/>
      <c r="AB19" s="50"/>
      <c r="AC19" s="50"/>
      <c r="AD19" s="50"/>
      <c r="AE19" s="50"/>
    </row>
    <row r="20" spans="1:31" ht="15.75" x14ac:dyDescent="0.25">
      <c r="A20" s="480">
        <f>ROW()</f>
        <v>20</v>
      </c>
      <c r="D20" s="371" t="s">
        <v>577</v>
      </c>
      <c r="E20" s="371"/>
      <c r="F20" s="371"/>
      <c r="G20" s="1314">
        <f>$G$120</f>
        <v>4</v>
      </c>
      <c r="H20" s="1314">
        <f>$H$120</f>
        <v>4</v>
      </c>
      <c r="I20" s="1314">
        <f>$I$120</f>
        <v>4</v>
      </c>
      <c r="J20" s="1314">
        <f>$J$120</f>
        <v>4</v>
      </c>
      <c r="K20" s="1314">
        <f>$K$120</f>
        <v>4</v>
      </c>
      <c r="L20" s="1314">
        <f>$L$120</f>
        <v>4</v>
      </c>
      <c r="M20" s="1314">
        <f>$M$120</f>
        <v>4</v>
      </c>
      <c r="N20" s="96"/>
      <c r="O20" s="343"/>
      <c r="Q20" s="50"/>
      <c r="R20" s="50"/>
      <c r="S20" s="50"/>
      <c r="T20" s="50"/>
      <c r="U20" s="50"/>
      <c r="V20" s="50"/>
      <c r="W20" s="50"/>
      <c r="X20" s="50"/>
      <c r="Y20" s="50"/>
      <c r="Z20" s="50"/>
      <c r="AA20" s="50"/>
      <c r="AB20" s="50"/>
      <c r="AC20" s="50"/>
      <c r="AD20" s="50"/>
      <c r="AE20" s="50"/>
    </row>
    <row r="21" spans="1:31" ht="15.75" x14ac:dyDescent="0.25">
      <c r="A21" s="480">
        <f>ROW()</f>
        <v>21</v>
      </c>
      <c r="D21" s="371" t="s">
        <v>578</v>
      </c>
      <c r="E21" s="371"/>
      <c r="F21" s="371"/>
      <c r="G21" s="1314">
        <f>$G$134</f>
        <v>10</v>
      </c>
      <c r="H21" s="1314">
        <f>$H$134</f>
        <v>10</v>
      </c>
      <c r="I21" s="1314">
        <f>$I$134</f>
        <v>10</v>
      </c>
      <c r="J21" s="1314">
        <f>$J$134</f>
        <v>10</v>
      </c>
      <c r="K21" s="1314">
        <f>$K$134</f>
        <v>10</v>
      </c>
      <c r="L21" s="1314">
        <f>$L$134</f>
        <v>10</v>
      </c>
      <c r="M21" s="1314">
        <f>$M$134</f>
        <v>10</v>
      </c>
      <c r="N21" s="96"/>
      <c r="O21" s="343"/>
      <c r="Q21" s="50"/>
      <c r="R21" s="50"/>
      <c r="S21" s="50"/>
      <c r="T21" s="50"/>
      <c r="U21" s="50"/>
      <c r="V21" s="50"/>
      <c r="W21" s="50"/>
      <c r="X21" s="50"/>
      <c r="Y21" s="50"/>
      <c r="Z21" s="50"/>
      <c r="AA21" s="50"/>
      <c r="AB21" s="50"/>
      <c r="AC21" s="50"/>
      <c r="AD21" s="50"/>
      <c r="AE21" s="50"/>
    </row>
    <row r="22" spans="1:31" ht="15.75" x14ac:dyDescent="0.25">
      <c r="A22" s="480">
        <f>ROW()</f>
        <v>22</v>
      </c>
      <c r="D22" s="371" t="s">
        <v>579</v>
      </c>
      <c r="E22" s="371"/>
      <c r="F22" s="371"/>
      <c r="G22" s="1314">
        <f>$G$238</f>
        <v>51</v>
      </c>
      <c r="H22" s="1314">
        <f>$H$238</f>
        <v>51</v>
      </c>
      <c r="I22" s="1314">
        <f>$I$238</f>
        <v>51</v>
      </c>
      <c r="J22" s="1314">
        <f>$J$238</f>
        <v>51</v>
      </c>
      <c r="K22" s="1314">
        <f>$K$238</f>
        <v>51</v>
      </c>
      <c r="L22" s="1314">
        <f>$L$238</f>
        <v>51</v>
      </c>
      <c r="M22" s="1314">
        <f>$M$238</f>
        <v>51</v>
      </c>
      <c r="N22" s="96"/>
      <c r="O22" s="343"/>
      <c r="Q22" s="50"/>
      <c r="R22" s="50"/>
      <c r="S22" s="50"/>
      <c r="T22" s="50"/>
      <c r="U22" s="50"/>
      <c r="V22" s="50"/>
      <c r="W22" s="50"/>
      <c r="X22" s="50"/>
      <c r="Y22" s="50"/>
      <c r="Z22" s="50"/>
      <c r="AA22" s="50"/>
      <c r="AB22" s="50"/>
      <c r="AC22" s="50"/>
      <c r="AD22" s="50"/>
      <c r="AE22" s="50"/>
    </row>
    <row r="23" spans="1:31" ht="15.75" x14ac:dyDescent="0.25">
      <c r="A23" s="480">
        <f>ROW()</f>
        <v>23</v>
      </c>
      <c r="C23" s="31"/>
      <c r="D23" s="174" t="s">
        <v>580</v>
      </c>
      <c r="E23" s="174"/>
      <c r="F23" s="174"/>
      <c r="G23" s="1319">
        <f t="shared" ref="G23:M23" si="2">SUM(G17:G22)</f>
        <v>122</v>
      </c>
      <c r="H23" s="1319">
        <f t="shared" si="2"/>
        <v>122</v>
      </c>
      <c r="I23" s="1319">
        <f t="shared" si="2"/>
        <v>122</v>
      </c>
      <c r="J23" s="1319">
        <f t="shared" si="2"/>
        <v>122</v>
      </c>
      <c r="K23" s="1319">
        <f t="shared" si="2"/>
        <v>122</v>
      </c>
      <c r="L23" s="1319">
        <f t="shared" si="2"/>
        <v>122</v>
      </c>
      <c r="M23" s="1319">
        <f t="shared" si="2"/>
        <v>122</v>
      </c>
      <c r="N23" s="96"/>
      <c r="O23" s="343"/>
      <c r="Q23" s="50"/>
      <c r="R23" s="50"/>
      <c r="S23" s="50"/>
      <c r="T23" s="50"/>
      <c r="U23" s="50"/>
      <c r="V23" s="50"/>
      <c r="W23" s="50"/>
      <c r="X23" s="50"/>
      <c r="Y23" s="50"/>
      <c r="Z23" s="50"/>
      <c r="AA23" s="50"/>
      <c r="AB23" s="50"/>
      <c r="AC23" s="50"/>
      <c r="AD23" s="50"/>
      <c r="AE23" s="50"/>
    </row>
    <row r="24" spans="1:31" ht="15.75" x14ac:dyDescent="0.25">
      <c r="A24" s="480">
        <f>ROW()</f>
        <v>24</v>
      </c>
      <c r="D24" s="371"/>
      <c r="E24" s="371"/>
      <c r="F24" s="371"/>
      <c r="G24" s="371"/>
      <c r="H24" s="1315"/>
      <c r="I24" s="1315"/>
      <c r="J24" s="1315"/>
      <c r="K24" s="371"/>
      <c r="L24" s="371"/>
      <c r="M24" s="371"/>
      <c r="N24" s="96"/>
      <c r="O24" s="343"/>
      <c r="Q24" s="50"/>
      <c r="R24" s="50"/>
      <c r="S24" s="50"/>
      <c r="T24" s="50"/>
      <c r="U24" s="50"/>
      <c r="V24" s="50"/>
      <c r="W24" s="50"/>
      <c r="X24" s="50"/>
      <c r="Y24" s="50"/>
      <c r="Z24" s="50"/>
      <c r="AA24" s="50"/>
      <c r="AB24" s="50"/>
      <c r="AC24" s="50"/>
      <c r="AD24" s="50"/>
      <c r="AE24" s="50"/>
    </row>
    <row r="25" spans="1:31" ht="15.75" x14ac:dyDescent="0.25">
      <c r="A25" s="480">
        <f>ROW()</f>
        <v>25</v>
      </c>
      <c r="D25" s="1316" t="s">
        <v>581</v>
      </c>
      <c r="E25" s="1316"/>
      <c r="F25" s="1316"/>
      <c r="G25" s="1317">
        <f>G457</f>
        <v>0</v>
      </c>
      <c r="H25" s="1317">
        <f t="shared" ref="H25:M25" si="3">H457</f>
        <v>0</v>
      </c>
      <c r="I25" s="1317">
        <f t="shared" si="3"/>
        <v>0</v>
      </c>
      <c r="J25" s="1317">
        <f t="shared" si="3"/>
        <v>0</v>
      </c>
      <c r="K25" s="1317">
        <f t="shared" si="3"/>
        <v>0</v>
      </c>
      <c r="L25" s="1317">
        <f t="shared" si="3"/>
        <v>0</v>
      </c>
      <c r="M25" s="1317">
        <f t="shared" si="3"/>
        <v>0</v>
      </c>
      <c r="N25" s="96"/>
      <c r="O25" s="343"/>
      <c r="Q25" s="50"/>
      <c r="R25" s="50"/>
      <c r="S25" s="50"/>
      <c r="T25" s="50"/>
      <c r="U25" s="50"/>
      <c r="V25" s="50"/>
      <c r="W25" s="50"/>
      <c r="X25" s="50"/>
      <c r="Y25" s="50"/>
      <c r="Z25" s="50"/>
      <c r="AA25" s="50"/>
      <c r="AB25" s="50"/>
      <c r="AC25" s="50"/>
      <c r="AD25" s="50"/>
      <c r="AE25" s="50"/>
    </row>
    <row r="26" spans="1:31" ht="15.75" x14ac:dyDescent="0.25">
      <c r="A26" s="480">
        <f>ROW()</f>
        <v>26</v>
      </c>
      <c r="D26" s="371"/>
      <c r="E26" s="371"/>
      <c r="F26" s="371"/>
      <c r="G26" s="371"/>
      <c r="H26" s="1315"/>
      <c r="I26" s="1315"/>
      <c r="J26" s="1315"/>
      <c r="K26" s="371"/>
      <c r="L26" s="371"/>
      <c r="M26" s="371"/>
      <c r="N26" s="96"/>
      <c r="O26" s="343"/>
      <c r="Q26" s="50"/>
      <c r="R26" s="50"/>
      <c r="S26" s="50"/>
      <c r="T26" s="50"/>
      <c r="U26" s="50"/>
      <c r="V26" s="50"/>
      <c r="W26" s="50"/>
      <c r="X26" s="50"/>
      <c r="Y26" s="50"/>
      <c r="Z26" s="50"/>
      <c r="AA26" s="50"/>
      <c r="AB26" s="50"/>
      <c r="AC26" s="50"/>
      <c r="AD26" s="50"/>
      <c r="AE26" s="50"/>
    </row>
    <row r="27" spans="1:31" ht="15.75" x14ac:dyDescent="0.25">
      <c r="A27" s="480">
        <f>ROW()</f>
        <v>27</v>
      </c>
      <c r="C27" s="31"/>
      <c r="D27" s="174" t="s">
        <v>582</v>
      </c>
      <c r="E27" s="174"/>
      <c r="F27" s="174"/>
      <c r="G27" s="1318">
        <f>+G25+G23</f>
        <v>122</v>
      </c>
      <c r="H27" s="1318">
        <f t="shared" ref="H27:M27" si="4">+H25+H23</f>
        <v>122</v>
      </c>
      <c r="I27" s="1318">
        <f t="shared" si="4"/>
        <v>122</v>
      </c>
      <c r="J27" s="1318">
        <f t="shared" si="4"/>
        <v>122</v>
      </c>
      <c r="K27" s="1318">
        <f t="shared" si="4"/>
        <v>122</v>
      </c>
      <c r="L27" s="1318">
        <f t="shared" si="4"/>
        <v>122</v>
      </c>
      <c r="M27" s="1318">
        <f t="shared" si="4"/>
        <v>122</v>
      </c>
      <c r="N27" s="96"/>
      <c r="O27" s="343"/>
      <c r="Q27" s="50"/>
      <c r="R27" s="50"/>
      <c r="S27" s="50"/>
      <c r="T27" s="50"/>
      <c r="U27" s="50"/>
      <c r="V27" s="50"/>
      <c r="W27" s="50"/>
      <c r="X27" s="50"/>
      <c r="Y27" s="50"/>
      <c r="Z27" s="50"/>
      <c r="AA27" s="50"/>
      <c r="AB27" s="50"/>
      <c r="AC27" s="50"/>
      <c r="AD27" s="50"/>
      <c r="AE27" s="50"/>
    </row>
    <row r="28" spans="1:31" x14ac:dyDescent="0.25">
      <c r="A28" s="480">
        <f>ROW()</f>
        <v>28</v>
      </c>
      <c r="H28" s="103"/>
      <c r="I28" s="103"/>
      <c r="J28" s="103"/>
      <c r="N28" s="96"/>
      <c r="O28" s="343"/>
      <c r="Q28" s="50"/>
      <c r="R28" s="50"/>
      <c r="S28" s="50"/>
      <c r="T28" s="50"/>
      <c r="U28" s="50"/>
      <c r="V28" s="50"/>
      <c r="W28" s="50"/>
      <c r="X28" s="50"/>
      <c r="Y28" s="50"/>
      <c r="Z28" s="50"/>
      <c r="AA28" s="50"/>
      <c r="AB28" s="50"/>
      <c r="AC28" s="50"/>
      <c r="AD28" s="50"/>
      <c r="AE28" s="50"/>
    </row>
    <row r="29" spans="1:31" x14ac:dyDescent="0.25">
      <c r="A29" s="480">
        <f>ROW()</f>
        <v>29</v>
      </c>
      <c r="C29" s="503" t="s">
        <v>583</v>
      </c>
      <c r="H29" s="103"/>
      <c r="I29" s="103"/>
      <c r="J29" s="103"/>
      <c r="N29" s="96"/>
      <c r="O29" s="343"/>
      <c r="Q29" s="50"/>
      <c r="R29" s="50"/>
      <c r="S29" s="50"/>
      <c r="T29" s="50"/>
      <c r="U29" s="50"/>
      <c r="V29" s="50"/>
      <c r="W29" s="50"/>
      <c r="X29" s="50"/>
      <c r="Y29" s="50"/>
      <c r="Z29" s="50"/>
      <c r="AA29" s="50"/>
      <c r="AB29" s="50"/>
      <c r="AC29" s="50"/>
      <c r="AD29" s="50"/>
      <c r="AE29" s="50"/>
    </row>
    <row r="30" spans="1:31" ht="18.75" x14ac:dyDescent="0.3">
      <c r="A30" s="480">
        <f>ROW()</f>
        <v>30</v>
      </c>
      <c r="B30" s="1535" t="s">
        <v>584</v>
      </c>
      <c r="C30" s="1536">
        <f>AVERAGE(H30:M30)</f>
        <v>2320.02</v>
      </c>
      <c r="D30" s="1537"/>
      <c r="E30" s="1537"/>
      <c r="F30" s="1537"/>
      <c r="G30" s="1538"/>
      <c r="H30" s="1538">
        <f>Levers!D9</f>
        <v>2320.02</v>
      </c>
      <c r="I30" s="1538">
        <f>Levers!E9</f>
        <v>2320.02</v>
      </c>
      <c r="J30" s="1538">
        <f>Levers!F9</f>
        <v>2320.02</v>
      </c>
      <c r="K30" s="1538">
        <f>Levers!G9</f>
        <v>2320.02</v>
      </c>
      <c r="L30" s="1538">
        <f>Levers!H9</f>
        <v>2320.02</v>
      </c>
      <c r="M30" s="1538">
        <f>Levers!I9</f>
        <v>2320.02</v>
      </c>
      <c r="N30" s="96"/>
      <c r="O30" s="343"/>
      <c r="Q30" s="50"/>
      <c r="R30" s="50"/>
      <c r="S30" s="50"/>
      <c r="T30" s="50"/>
      <c r="U30" s="50"/>
      <c r="V30" s="50"/>
      <c r="W30" s="50"/>
      <c r="X30" s="50"/>
      <c r="Y30" s="50"/>
      <c r="Z30" s="50"/>
      <c r="AA30" s="50"/>
      <c r="AB30" s="50"/>
      <c r="AC30" s="50"/>
      <c r="AD30" s="50"/>
      <c r="AE30" s="50"/>
    </row>
    <row r="31" spans="1:31" ht="18.75" x14ac:dyDescent="0.3">
      <c r="A31" s="480">
        <f>ROW()</f>
        <v>31</v>
      </c>
      <c r="B31" s="1428" t="s">
        <v>585</v>
      </c>
      <c r="C31" s="1336"/>
      <c r="D31" s="1337"/>
      <c r="E31" s="1337"/>
      <c r="F31" s="1337"/>
      <c r="G31" s="1338">
        <f>SUM(G19,G20,G22)</f>
        <v>82</v>
      </c>
      <c r="H31" s="1338">
        <f t="shared" ref="H31:M31" si="5">SUM(H19,H20,H22)</f>
        <v>82</v>
      </c>
      <c r="I31" s="1338">
        <f t="shared" si="5"/>
        <v>82</v>
      </c>
      <c r="J31" s="1338">
        <f t="shared" si="5"/>
        <v>82</v>
      </c>
      <c r="K31" s="1338">
        <f t="shared" si="5"/>
        <v>82</v>
      </c>
      <c r="L31" s="1338">
        <f t="shared" si="5"/>
        <v>82</v>
      </c>
      <c r="M31" s="1338">
        <f t="shared" si="5"/>
        <v>82</v>
      </c>
      <c r="N31" s="96"/>
      <c r="O31" s="343"/>
      <c r="Q31" s="50"/>
      <c r="R31" s="50"/>
      <c r="S31" s="50"/>
      <c r="T31" s="50"/>
      <c r="U31" s="50"/>
      <c r="V31" s="50"/>
      <c r="W31" s="50"/>
      <c r="X31" s="50"/>
      <c r="Y31" s="50"/>
      <c r="Z31" s="50"/>
      <c r="AA31" s="50"/>
      <c r="AB31" s="50"/>
      <c r="AC31" s="50"/>
      <c r="AD31" s="50"/>
      <c r="AE31" s="50"/>
    </row>
    <row r="32" spans="1:31" ht="18.75" x14ac:dyDescent="0.3">
      <c r="A32" s="480">
        <f>ROW()</f>
        <v>32</v>
      </c>
      <c r="B32" s="1429" t="s">
        <v>586</v>
      </c>
      <c r="C32" s="1339"/>
      <c r="D32" s="1340"/>
      <c r="E32" s="1340"/>
      <c r="F32" s="1340"/>
      <c r="G32" s="1341">
        <f>IFERROR(G30/G31,0)</f>
        <v>0</v>
      </c>
      <c r="H32" s="1341">
        <f t="shared" ref="H32:M32" si="6">IFERROR(H30/H31,0)</f>
        <v>28.292926829268293</v>
      </c>
      <c r="I32" s="1341">
        <f t="shared" si="6"/>
        <v>28.292926829268293</v>
      </c>
      <c r="J32" s="1341">
        <f t="shared" si="6"/>
        <v>28.292926829268293</v>
      </c>
      <c r="K32" s="1341">
        <f t="shared" si="6"/>
        <v>28.292926829268293</v>
      </c>
      <c r="L32" s="1341">
        <f t="shared" si="6"/>
        <v>28.292926829268293</v>
      </c>
      <c r="M32" s="1341">
        <f t="shared" si="6"/>
        <v>28.292926829268293</v>
      </c>
      <c r="N32" s="96"/>
      <c r="O32" s="343"/>
      <c r="Q32" s="50"/>
      <c r="R32" s="50"/>
      <c r="S32" s="50"/>
      <c r="T32" s="50"/>
      <c r="U32" s="50"/>
      <c r="V32" s="50"/>
      <c r="W32" s="50"/>
      <c r="X32" s="50"/>
      <c r="Y32" s="50"/>
      <c r="Z32" s="50"/>
      <c r="AA32" s="50"/>
      <c r="AB32" s="50"/>
      <c r="AC32" s="50"/>
      <c r="AD32" s="50"/>
      <c r="AE32" s="50"/>
    </row>
    <row r="33" spans="1:31" x14ac:dyDescent="0.25">
      <c r="A33" s="480">
        <f>ROW()</f>
        <v>33</v>
      </c>
      <c r="B33" s="795"/>
      <c r="C33" s="795"/>
      <c r="D33" s="436"/>
      <c r="E33" s="436"/>
      <c r="F33" s="436"/>
      <c r="G33" s="436"/>
      <c r="H33" s="436"/>
      <c r="I33" s="436"/>
      <c r="J33" s="436"/>
      <c r="K33" s="436"/>
      <c r="L33" s="436"/>
      <c r="M33" s="436"/>
      <c r="N33" s="96"/>
      <c r="O33" s="343"/>
      <c r="Q33" s="50"/>
      <c r="R33" s="50"/>
      <c r="S33" s="50"/>
      <c r="T33" s="50"/>
      <c r="U33" s="50"/>
      <c r="V33" s="50"/>
      <c r="W33" s="50"/>
      <c r="X33" s="50"/>
      <c r="Y33" s="50"/>
      <c r="Z33" s="50"/>
      <c r="AA33" s="50"/>
      <c r="AB33" s="50"/>
      <c r="AC33" s="50"/>
      <c r="AD33" s="50"/>
      <c r="AE33" s="50"/>
    </row>
    <row r="34" spans="1:31" x14ac:dyDescent="0.25">
      <c r="A34" s="480">
        <f>ROW()</f>
        <v>34</v>
      </c>
      <c r="B34" s="1651" t="s">
        <v>587</v>
      </c>
      <c r="C34" s="795">
        <f t="shared" ref="C34:C35" si="7">AVERAGE(H34:M34)</f>
        <v>26987170.121722054</v>
      </c>
      <c r="D34" s="457"/>
      <c r="E34" s="454"/>
      <c r="F34" s="454"/>
      <c r="G34" s="456">
        <f>Levers!C10</f>
        <v>3345500</v>
      </c>
      <c r="H34" s="456">
        <f>Levers!D10</f>
        <v>26987576.88896</v>
      </c>
      <c r="I34" s="456">
        <f>Levers!E10</f>
        <v>26987088.768274467</v>
      </c>
      <c r="J34" s="456">
        <f>Levers!F10</f>
        <v>26987088.768274467</v>
      </c>
      <c r="K34" s="456">
        <f>Levers!G10</f>
        <v>26987088.768274467</v>
      </c>
      <c r="L34" s="456">
        <f>Levers!H10</f>
        <v>26987088.768274467</v>
      </c>
      <c r="M34" s="456">
        <f>Levers!I10</f>
        <v>26987088.768274467</v>
      </c>
      <c r="N34" s="96"/>
      <c r="O34" s="343"/>
      <c r="Q34" s="50"/>
      <c r="R34" s="50"/>
      <c r="S34" s="50"/>
      <c r="T34" s="50"/>
      <c r="U34" s="50"/>
      <c r="V34" s="50"/>
      <c r="W34" s="50"/>
      <c r="X34" s="50"/>
      <c r="Y34" s="50"/>
      <c r="Z34" s="50"/>
      <c r="AA34" s="50"/>
      <c r="AB34" s="50"/>
      <c r="AC34" s="50"/>
      <c r="AD34" s="50"/>
      <c r="AE34" s="50"/>
    </row>
    <row r="35" spans="1:31" x14ac:dyDescent="0.25">
      <c r="A35" s="480">
        <f>ROW()</f>
        <v>35</v>
      </c>
      <c r="B35" s="1651" t="s">
        <v>588</v>
      </c>
      <c r="C35" s="795">
        <f t="shared" si="7"/>
        <v>11057108.979999999</v>
      </c>
      <c r="D35" s="457"/>
      <c r="E35" s="454"/>
      <c r="F35" s="454"/>
      <c r="G35" s="456">
        <f>G400</f>
        <v>11057108.979999999</v>
      </c>
      <c r="H35" s="456">
        <f>H400</f>
        <v>11057108.979999999</v>
      </c>
      <c r="I35" s="456">
        <f t="shared" ref="I35:M35" si="8">I400</f>
        <v>11057108.979999999</v>
      </c>
      <c r="J35" s="456">
        <f t="shared" si="8"/>
        <v>11057108.979999999</v>
      </c>
      <c r="K35" s="456">
        <f t="shared" si="8"/>
        <v>11057108.979999999</v>
      </c>
      <c r="L35" s="456">
        <f t="shared" si="8"/>
        <v>11057108.979999999</v>
      </c>
      <c r="M35" s="456">
        <f t="shared" si="8"/>
        <v>11057108.979999999</v>
      </c>
      <c r="N35" s="96"/>
      <c r="O35" s="343"/>
      <c r="Q35" s="50"/>
      <c r="R35" s="50"/>
      <c r="S35" s="50"/>
      <c r="T35" s="50"/>
      <c r="U35" s="50"/>
      <c r="V35" s="50"/>
      <c r="W35" s="50"/>
      <c r="X35" s="50"/>
      <c r="Y35" s="50"/>
      <c r="Z35" s="50"/>
      <c r="AA35" s="50"/>
      <c r="AB35" s="50"/>
      <c r="AC35" s="50"/>
      <c r="AD35" s="50"/>
      <c r="AE35" s="50"/>
    </row>
    <row r="36" spans="1:31" x14ac:dyDescent="0.25">
      <c r="A36" s="480">
        <f>ROW()</f>
        <v>36</v>
      </c>
      <c r="C36" s="130"/>
      <c r="D36" s="55"/>
      <c r="E36" s="55"/>
      <c r="F36" s="55"/>
      <c r="G36" s="55"/>
      <c r="H36" s="107"/>
      <c r="I36" s="107"/>
      <c r="J36" s="107"/>
      <c r="K36" s="107"/>
      <c r="L36" s="107"/>
      <c r="M36" s="107"/>
      <c r="N36" s="96"/>
      <c r="O36" s="343"/>
      <c r="Q36" s="50"/>
      <c r="R36" s="50"/>
      <c r="S36" s="50"/>
      <c r="T36" s="50"/>
      <c r="U36" s="50"/>
      <c r="V36" s="50"/>
      <c r="W36" s="50"/>
      <c r="X36" s="50"/>
      <c r="Y36" s="50"/>
      <c r="Z36" s="50"/>
      <c r="AA36" s="50"/>
      <c r="AB36" s="50"/>
      <c r="AC36" s="50"/>
      <c r="AD36" s="50"/>
      <c r="AE36" s="50"/>
    </row>
    <row r="37" spans="1:31" x14ac:dyDescent="0.25">
      <c r="A37" s="480">
        <f>ROW()</f>
        <v>37</v>
      </c>
      <c r="B37" s="1651" t="s">
        <v>589</v>
      </c>
      <c r="C37" s="795">
        <f>AVERAGE(H37:M37)</f>
        <v>5400805.4230246702</v>
      </c>
      <c r="D37" s="458"/>
      <c r="E37" s="455"/>
      <c r="F37" s="455"/>
      <c r="G37" s="502">
        <f>G425</f>
        <v>5400805.4230246702</v>
      </c>
      <c r="H37" s="502">
        <f t="shared" ref="H37:M37" si="9">H425</f>
        <v>5400805.4230246702</v>
      </c>
      <c r="I37" s="502">
        <f t="shared" si="9"/>
        <v>5400805.4230246702</v>
      </c>
      <c r="J37" s="502">
        <f t="shared" si="9"/>
        <v>5400805.4230246702</v>
      </c>
      <c r="K37" s="502">
        <f t="shared" si="9"/>
        <v>5400805.4230246702</v>
      </c>
      <c r="L37" s="502">
        <f t="shared" si="9"/>
        <v>5400805.4230246702</v>
      </c>
      <c r="M37" s="502">
        <f t="shared" si="9"/>
        <v>5400805.4230246702</v>
      </c>
      <c r="N37" s="96"/>
      <c r="O37" s="343"/>
      <c r="Q37" s="50"/>
      <c r="R37" s="50"/>
      <c r="S37" s="50"/>
      <c r="T37" s="50"/>
      <c r="U37" s="50"/>
      <c r="V37" s="50"/>
      <c r="W37" s="50"/>
      <c r="X37" s="50"/>
      <c r="Y37" s="50"/>
      <c r="Z37" s="50"/>
      <c r="AA37" s="50"/>
      <c r="AB37" s="50"/>
      <c r="AC37" s="50"/>
      <c r="AD37" s="50"/>
      <c r="AE37" s="50"/>
    </row>
    <row r="38" spans="1:31" x14ac:dyDescent="0.25">
      <c r="A38" s="480">
        <f>ROW()</f>
        <v>38</v>
      </c>
      <c r="B38" s="33" t="s">
        <v>590</v>
      </c>
      <c r="G38" s="100">
        <f>G405</f>
        <v>1390800</v>
      </c>
      <c r="H38" s="100">
        <f t="shared" ref="H38:M38" si="10">H405</f>
        <v>1390800</v>
      </c>
      <c r="I38" s="100">
        <f t="shared" si="10"/>
        <v>1390800</v>
      </c>
      <c r="J38" s="100">
        <f t="shared" si="10"/>
        <v>1390800</v>
      </c>
      <c r="K38" s="100">
        <f t="shared" si="10"/>
        <v>1390800</v>
      </c>
      <c r="L38" s="100">
        <f t="shared" si="10"/>
        <v>1390800</v>
      </c>
      <c r="M38" s="100">
        <f t="shared" si="10"/>
        <v>1390800</v>
      </c>
      <c r="N38" s="96"/>
      <c r="O38" s="343"/>
      <c r="Q38" s="50"/>
      <c r="R38" s="50"/>
      <c r="S38" s="50"/>
      <c r="T38" s="50"/>
      <c r="U38" s="50"/>
      <c r="V38" s="50"/>
      <c r="W38" s="50"/>
      <c r="X38" s="50"/>
      <c r="Y38" s="50"/>
      <c r="Z38" s="50"/>
      <c r="AA38" s="50"/>
      <c r="AB38" s="50"/>
      <c r="AC38" s="50"/>
      <c r="AD38" s="50"/>
      <c r="AE38" s="50"/>
    </row>
    <row r="39" spans="1:31" x14ac:dyDescent="0.25">
      <c r="A39" s="480">
        <f>ROW()</f>
        <v>39</v>
      </c>
      <c r="B39" s="33" t="s">
        <v>591</v>
      </c>
      <c r="G39" s="100">
        <f>G411</f>
        <v>3704131.5082999999</v>
      </c>
      <c r="H39" s="100">
        <f t="shared" ref="H39:M39" si="11">H411</f>
        <v>3704131.5082999999</v>
      </c>
      <c r="I39" s="100">
        <f t="shared" si="11"/>
        <v>3704131.5082999999</v>
      </c>
      <c r="J39" s="100">
        <f t="shared" si="11"/>
        <v>3704131.5082999999</v>
      </c>
      <c r="K39" s="100">
        <f t="shared" si="11"/>
        <v>3704131.5082999999</v>
      </c>
      <c r="L39" s="100">
        <f t="shared" si="11"/>
        <v>3704131.5082999999</v>
      </c>
      <c r="M39" s="100">
        <f t="shared" si="11"/>
        <v>3704131.5082999999</v>
      </c>
      <c r="N39" s="96"/>
      <c r="O39" s="343"/>
      <c r="Q39" s="50"/>
      <c r="R39" s="50"/>
      <c r="S39" s="50"/>
      <c r="T39" s="50"/>
      <c r="U39" s="50"/>
      <c r="V39" s="50"/>
      <c r="W39" s="50"/>
      <c r="X39" s="50"/>
      <c r="Y39" s="50"/>
      <c r="Z39" s="50"/>
      <c r="AA39" s="50"/>
      <c r="AB39" s="50"/>
      <c r="AC39" s="50"/>
      <c r="AD39" s="50"/>
      <c r="AE39" s="50"/>
    </row>
    <row r="40" spans="1:31" x14ac:dyDescent="0.25">
      <c r="A40" s="480">
        <f>ROW()</f>
        <v>40</v>
      </c>
      <c r="B40" s="33" t="s">
        <v>592</v>
      </c>
      <c r="G40" s="100">
        <f t="shared" ref="G40:M40" si="12">G425-G39-G38</f>
        <v>305873.91472467035</v>
      </c>
      <c r="H40" s="100">
        <f t="shared" si="12"/>
        <v>305873.91472467035</v>
      </c>
      <c r="I40" s="100">
        <f t="shared" si="12"/>
        <v>305873.91472467035</v>
      </c>
      <c r="J40" s="100">
        <f t="shared" si="12"/>
        <v>305873.91472467035</v>
      </c>
      <c r="K40" s="100">
        <f t="shared" si="12"/>
        <v>305873.91472467035</v>
      </c>
      <c r="L40" s="100">
        <f t="shared" si="12"/>
        <v>305873.91472467035</v>
      </c>
      <c r="M40" s="100">
        <f t="shared" si="12"/>
        <v>305873.91472467035</v>
      </c>
      <c r="N40" s="96"/>
      <c r="O40" s="343"/>
      <c r="Q40" s="50"/>
      <c r="R40" s="50"/>
      <c r="S40" s="50"/>
      <c r="T40" s="50"/>
      <c r="U40" s="50"/>
      <c r="V40" s="50"/>
      <c r="W40" s="50"/>
      <c r="X40" s="50"/>
      <c r="Y40" s="50"/>
      <c r="Z40" s="50"/>
      <c r="AA40" s="50"/>
      <c r="AB40" s="50"/>
      <c r="AC40" s="50"/>
      <c r="AD40" s="50"/>
      <c r="AE40" s="50"/>
    </row>
    <row r="41" spans="1:31" x14ac:dyDescent="0.25">
      <c r="A41" s="480">
        <f>ROW()</f>
        <v>41</v>
      </c>
      <c r="H41" s="103"/>
      <c r="I41" s="103"/>
      <c r="J41" s="103"/>
      <c r="N41" s="96"/>
      <c r="O41" s="343"/>
      <c r="Q41" s="50"/>
      <c r="R41" s="50"/>
      <c r="S41" s="50"/>
      <c r="T41" s="50"/>
      <c r="U41" s="50"/>
      <c r="V41" s="50"/>
      <c r="W41" s="50"/>
      <c r="X41" s="50"/>
      <c r="Y41" s="50"/>
      <c r="Z41" s="50"/>
      <c r="AA41" s="50"/>
      <c r="AB41" s="50"/>
      <c r="AC41" s="50"/>
      <c r="AD41" s="50"/>
      <c r="AE41" s="50"/>
    </row>
    <row r="42" spans="1:31" x14ac:dyDescent="0.25">
      <c r="A42" s="480">
        <f>ROW()</f>
        <v>42</v>
      </c>
      <c r="B42" s="1651" t="s">
        <v>593</v>
      </c>
      <c r="C42" s="795">
        <f t="shared" ref="C42:C47" si="13">AVERAGE(H42:M42)</f>
        <v>16479874.403024672</v>
      </c>
      <c r="D42" s="1651"/>
      <c r="E42" s="1651"/>
      <c r="F42" s="1651"/>
      <c r="G42" s="502">
        <f>G461</f>
        <v>16479874.40302467</v>
      </c>
      <c r="H42" s="502">
        <f t="shared" ref="H42:M42" si="14">H461</f>
        <v>16479874.40302467</v>
      </c>
      <c r="I42" s="502">
        <f t="shared" si="14"/>
        <v>16479874.40302467</v>
      </c>
      <c r="J42" s="502">
        <f t="shared" si="14"/>
        <v>16479874.40302467</v>
      </c>
      <c r="K42" s="502">
        <f t="shared" si="14"/>
        <v>16479874.40302467</v>
      </c>
      <c r="L42" s="502">
        <f t="shared" si="14"/>
        <v>16479874.40302467</v>
      </c>
      <c r="M42" s="502">
        <f t="shared" si="14"/>
        <v>16479874.40302467</v>
      </c>
      <c r="N42" s="96"/>
      <c r="O42" s="343"/>
      <c r="Q42" s="50"/>
      <c r="R42" s="50"/>
      <c r="S42" s="50"/>
      <c r="T42" s="50"/>
      <c r="U42" s="50"/>
      <c r="V42" s="50"/>
      <c r="W42" s="50"/>
      <c r="X42" s="50"/>
      <c r="Y42" s="50"/>
      <c r="Z42" s="50"/>
      <c r="AA42" s="50"/>
      <c r="AB42" s="50"/>
      <c r="AC42" s="50"/>
      <c r="AD42" s="50"/>
      <c r="AE42" s="50"/>
    </row>
    <row r="43" spans="1:31" x14ac:dyDescent="0.25">
      <c r="A43" s="480">
        <f>ROW()</f>
        <v>43</v>
      </c>
      <c r="B43" s="33" t="s">
        <v>594</v>
      </c>
      <c r="C43" s="797">
        <f t="shared" si="13"/>
        <v>7103.3329036062923</v>
      </c>
      <c r="G43" s="437"/>
      <c r="H43" s="437">
        <f>Levers!D13</f>
        <v>7103.3329036062923</v>
      </c>
      <c r="I43" s="437">
        <f>Levers!E13</f>
        <v>7103.3329036062923</v>
      </c>
      <c r="J43" s="437">
        <f>Levers!F13</f>
        <v>7103.3329036062923</v>
      </c>
      <c r="K43" s="437">
        <f>Levers!G13</f>
        <v>7103.3329036062923</v>
      </c>
      <c r="L43" s="437">
        <f>Levers!H13</f>
        <v>7103.3329036062923</v>
      </c>
      <c r="M43" s="437">
        <f>Levers!I13</f>
        <v>7103.3329036062923</v>
      </c>
      <c r="N43" s="96"/>
      <c r="O43" s="343"/>
      <c r="Q43" s="50"/>
      <c r="R43" s="50"/>
      <c r="S43" s="50"/>
      <c r="T43" s="50"/>
      <c r="U43" s="50"/>
      <c r="V43" s="50"/>
      <c r="W43" s="50"/>
      <c r="X43" s="50"/>
      <c r="Y43" s="50"/>
      <c r="Z43" s="50"/>
      <c r="AA43" s="50"/>
      <c r="AB43" s="50"/>
      <c r="AC43" s="50"/>
      <c r="AD43" s="50"/>
      <c r="AE43" s="50"/>
    </row>
    <row r="44" spans="1:31" x14ac:dyDescent="0.25">
      <c r="A44" s="480">
        <f>ROW()</f>
        <v>44</v>
      </c>
      <c r="B44" s="72" t="s">
        <v>595</v>
      </c>
      <c r="C44" s="796">
        <f t="shared" si="13"/>
        <v>10507295.718697386</v>
      </c>
      <c r="D44" s="72"/>
      <c r="E44" s="72"/>
      <c r="F44" s="72"/>
      <c r="G44" s="438">
        <f>Levers!C14</f>
        <v>-13134374.40302467</v>
      </c>
      <c r="H44" s="438">
        <f>Levers!D14</f>
        <v>10507702.48593533</v>
      </c>
      <c r="I44" s="438">
        <f>Levers!E14</f>
        <v>10507214.365249798</v>
      </c>
      <c r="J44" s="438">
        <f>Levers!F14</f>
        <v>10507214.365249798</v>
      </c>
      <c r="K44" s="438">
        <f>Levers!G14</f>
        <v>10507214.365249798</v>
      </c>
      <c r="L44" s="438">
        <f>Levers!H14</f>
        <v>10507214.365249798</v>
      </c>
      <c r="M44" s="438">
        <f>Levers!I14</f>
        <v>10507214.365249798</v>
      </c>
      <c r="N44" s="96"/>
      <c r="O44" s="343"/>
      <c r="Q44" s="50"/>
      <c r="R44" s="50"/>
      <c r="S44" s="50"/>
      <c r="T44" s="50"/>
      <c r="U44" s="50"/>
      <c r="V44" s="50"/>
      <c r="W44" s="50"/>
      <c r="X44" s="50"/>
      <c r="Y44" s="50"/>
      <c r="Z44" s="50"/>
      <c r="AA44" s="50"/>
      <c r="AB44" s="50"/>
      <c r="AC44" s="50"/>
      <c r="AD44" s="50"/>
      <c r="AE44" s="50"/>
    </row>
    <row r="45" spans="1:31" x14ac:dyDescent="0.25">
      <c r="A45" s="480">
        <f>ROW()</f>
        <v>45</v>
      </c>
      <c r="B45" s="72" t="s">
        <v>596</v>
      </c>
      <c r="C45" s="796">
        <f t="shared" si="13"/>
        <v>4528.9677324753175</v>
      </c>
      <c r="D45" s="72"/>
      <c r="E45" s="72"/>
      <c r="F45" s="72"/>
      <c r="G45" s="438"/>
      <c r="H45" s="438">
        <f>Levers!D15</f>
        <v>4529.143061669869</v>
      </c>
      <c r="I45" s="438">
        <f>Levers!E15</f>
        <v>4528.9326666364077</v>
      </c>
      <c r="J45" s="438">
        <f>Levers!F15</f>
        <v>4528.9326666364077</v>
      </c>
      <c r="K45" s="438">
        <f>Levers!G15</f>
        <v>4528.9326666364077</v>
      </c>
      <c r="L45" s="438">
        <f>Levers!H15</f>
        <v>4528.9326666364077</v>
      </c>
      <c r="M45" s="438">
        <f>Levers!I15</f>
        <v>4528.9326666364077</v>
      </c>
      <c r="N45" s="96"/>
      <c r="O45" s="343"/>
      <c r="Q45" s="50"/>
      <c r="R45" s="50"/>
      <c r="S45" s="50"/>
      <c r="T45" s="50"/>
      <c r="U45" s="50"/>
      <c r="V45" s="50"/>
      <c r="W45" s="50"/>
      <c r="X45" s="50"/>
      <c r="Y45" s="50"/>
      <c r="Z45" s="50"/>
      <c r="AA45" s="50"/>
      <c r="AB45" s="50"/>
      <c r="AC45" s="50"/>
      <c r="AD45" s="50"/>
      <c r="AE45" s="50"/>
    </row>
    <row r="46" spans="1:31" x14ac:dyDescent="0.25">
      <c r="A46" s="480">
        <f>ROW()</f>
        <v>46</v>
      </c>
      <c r="B46" s="72" t="s">
        <v>597</v>
      </c>
      <c r="C46" s="796">
        <f t="shared" si="13"/>
        <v>809576.84255909605</v>
      </c>
      <c r="D46" s="72"/>
      <c r="E46" s="72"/>
      <c r="F46" s="72"/>
      <c r="G46" s="438">
        <f>Levers!C38</f>
        <v>-20352722.721774668</v>
      </c>
      <c r="H46" s="438">
        <f>Levers!D38</f>
        <v>1450817.99962283</v>
      </c>
      <c r="I46" s="438">
        <f>Levers!E38</f>
        <v>1204748.8206879236</v>
      </c>
      <c r="J46" s="438">
        <f>Levers!F38</f>
        <v>950756.07545906678</v>
      </c>
      <c r="K46" s="438">
        <f>Levers!G38</f>
        <v>689160.52553670504</v>
      </c>
      <c r="L46" s="438">
        <f>Levers!H38</f>
        <v>419734.42633329995</v>
      </c>
      <c r="M46" s="438">
        <f>Levers!I38</f>
        <v>142243.20771475136</v>
      </c>
      <c r="N46" s="96"/>
      <c r="O46" s="343"/>
      <c r="Q46" s="50"/>
      <c r="R46" s="50"/>
      <c r="S46" s="50"/>
      <c r="T46" s="50"/>
      <c r="U46" s="50"/>
      <c r="V46" s="50"/>
      <c r="W46" s="50"/>
      <c r="X46" s="50"/>
      <c r="Y46" s="50"/>
      <c r="Z46" s="50"/>
      <c r="AA46" s="50"/>
      <c r="AB46" s="50"/>
      <c r="AC46" s="50"/>
      <c r="AD46" s="50"/>
      <c r="AE46" s="50"/>
    </row>
    <row r="47" spans="1:31" x14ac:dyDescent="0.25">
      <c r="A47" s="480">
        <f>ROW()</f>
        <v>47</v>
      </c>
      <c r="B47" s="72" t="s">
        <v>598</v>
      </c>
      <c r="C47" s="796">
        <f t="shared" si="13"/>
        <v>348.95252737437437</v>
      </c>
      <c r="D47" s="72"/>
      <c r="E47" s="72"/>
      <c r="F47" s="72"/>
      <c r="G47" s="438">
        <f>Levers!C39</f>
        <v>0</v>
      </c>
      <c r="H47" s="438">
        <f>Levers!D39</f>
        <v>625.34719512022741</v>
      </c>
      <c r="I47" s="438">
        <f>Levers!E39</f>
        <v>519.28380819472397</v>
      </c>
      <c r="J47" s="438">
        <f>Levers!F39</f>
        <v>409.80512041235284</v>
      </c>
      <c r="K47" s="438">
        <f>Levers!G39</f>
        <v>297.04938989177037</v>
      </c>
      <c r="L47" s="438">
        <f>Levers!H39</f>
        <v>180.91845170873526</v>
      </c>
      <c r="M47" s="438">
        <f>Levers!I39</f>
        <v>61.311198918436638</v>
      </c>
      <c r="N47" s="96"/>
      <c r="O47" s="343"/>
      <c r="Q47" s="50"/>
      <c r="R47" s="50"/>
      <c r="S47" s="50"/>
      <c r="T47" s="50"/>
      <c r="U47" s="50"/>
      <c r="V47" s="50"/>
      <c r="W47" s="50"/>
      <c r="X47" s="50"/>
      <c r="Y47" s="50"/>
      <c r="Z47" s="50"/>
      <c r="AA47" s="50"/>
      <c r="AB47" s="50"/>
      <c r="AC47" s="50"/>
      <c r="AD47" s="50"/>
      <c r="AE47" s="50"/>
    </row>
    <row r="48" spans="1:31" x14ac:dyDescent="0.25">
      <c r="A48" s="480">
        <f>ROW()</f>
        <v>48</v>
      </c>
      <c r="H48" s="103"/>
      <c r="I48" s="103"/>
      <c r="J48" s="103"/>
      <c r="N48" s="96"/>
      <c r="O48" s="343"/>
      <c r="Q48" s="50"/>
      <c r="R48" s="50"/>
      <c r="S48" s="50"/>
      <c r="T48" s="50"/>
      <c r="U48" s="50"/>
      <c r="V48" s="50"/>
      <c r="W48" s="50"/>
      <c r="X48" s="50"/>
      <c r="Y48" s="50"/>
      <c r="Z48" s="50"/>
      <c r="AA48" s="50"/>
      <c r="AB48" s="50"/>
      <c r="AC48" s="50"/>
      <c r="AD48" s="50"/>
      <c r="AE48" s="50"/>
    </row>
    <row r="49" spans="1:31" x14ac:dyDescent="0.25">
      <c r="A49" s="480">
        <f>ROW()</f>
        <v>49</v>
      </c>
      <c r="B49" s="56" t="s">
        <v>187</v>
      </c>
      <c r="C49" s="56"/>
      <c r="D49" s="56"/>
      <c r="E49" s="56"/>
      <c r="F49" s="56"/>
      <c r="G49" s="499">
        <f t="shared" ref="G49:M51" si="15">G8</f>
        <v>0</v>
      </c>
      <c r="H49" s="500">
        <f t="shared" si="15"/>
        <v>1</v>
      </c>
      <c r="I49" s="500">
        <f t="shared" si="15"/>
        <v>2</v>
      </c>
      <c r="J49" s="500">
        <f t="shared" si="15"/>
        <v>3</v>
      </c>
      <c r="K49" s="500">
        <f t="shared" si="15"/>
        <v>4</v>
      </c>
      <c r="L49" s="500">
        <f t="shared" si="15"/>
        <v>5</v>
      </c>
      <c r="M49" s="500">
        <f t="shared" si="15"/>
        <v>6</v>
      </c>
      <c r="N49" s="96"/>
      <c r="O49" s="343"/>
      <c r="Q49" s="50"/>
      <c r="R49" s="50"/>
      <c r="S49" s="50"/>
      <c r="T49" s="50"/>
      <c r="U49" s="50"/>
      <c r="V49" s="50"/>
      <c r="W49" s="50"/>
      <c r="X49" s="50"/>
      <c r="Y49" s="50"/>
      <c r="Z49" s="50"/>
      <c r="AA49" s="50"/>
      <c r="AB49" s="50"/>
      <c r="AC49" s="50"/>
      <c r="AD49" s="50"/>
      <c r="AE49" s="50"/>
    </row>
    <row r="50" spans="1:31" x14ac:dyDescent="0.25">
      <c r="A50" s="480">
        <f>ROW()</f>
        <v>50</v>
      </c>
      <c r="B50" s="31" t="s">
        <v>599</v>
      </c>
      <c r="C50" s="31"/>
      <c r="D50" s="31"/>
      <c r="E50" s="31"/>
      <c r="F50" s="31"/>
      <c r="G50" s="793">
        <f t="shared" si="15"/>
        <v>2024</v>
      </c>
      <c r="H50" s="793">
        <f t="shared" si="15"/>
        <v>2025</v>
      </c>
      <c r="I50" s="501">
        <f t="shared" si="15"/>
        <v>2026</v>
      </c>
      <c r="J50" s="501">
        <f t="shared" si="15"/>
        <v>2027</v>
      </c>
      <c r="K50" s="501">
        <f t="shared" si="15"/>
        <v>2028</v>
      </c>
      <c r="L50" s="501">
        <f t="shared" si="15"/>
        <v>2029</v>
      </c>
      <c r="M50" s="501">
        <f t="shared" si="15"/>
        <v>2030</v>
      </c>
      <c r="N50" s="96"/>
      <c r="O50" s="343"/>
      <c r="Q50" s="50"/>
      <c r="R50" s="50"/>
      <c r="S50" s="50"/>
      <c r="T50" s="50"/>
      <c r="U50" s="50"/>
      <c r="V50" s="50"/>
      <c r="W50" s="50"/>
      <c r="X50" s="50"/>
      <c r="Y50" s="50"/>
      <c r="Z50" s="50"/>
      <c r="AA50" s="50"/>
      <c r="AB50" s="50"/>
      <c r="AC50" s="50"/>
      <c r="AD50" s="50"/>
      <c r="AE50" s="50"/>
    </row>
    <row r="51" spans="1:31" x14ac:dyDescent="0.25">
      <c r="A51" s="480">
        <f>ROW()</f>
        <v>51</v>
      </c>
      <c r="B51" s="31" t="s">
        <v>600</v>
      </c>
      <c r="C51" s="31"/>
      <c r="D51" s="31"/>
      <c r="E51" s="31"/>
      <c r="F51" s="31"/>
      <c r="G51" s="65">
        <f t="shared" si="15"/>
        <v>2025</v>
      </c>
      <c r="H51" s="65">
        <f t="shared" si="15"/>
        <v>2026</v>
      </c>
      <c r="I51" s="65">
        <f t="shared" si="15"/>
        <v>2027</v>
      </c>
      <c r="J51" s="65">
        <f t="shared" si="15"/>
        <v>2028</v>
      </c>
      <c r="K51" s="65">
        <f t="shared" si="15"/>
        <v>2029</v>
      </c>
      <c r="L51" s="65">
        <f t="shared" si="15"/>
        <v>2030</v>
      </c>
      <c r="M51" s="65">
        <f t="shared" si="15"/>
        <v>2031</v>
      </c>
      <c r="N51" s="96"/>
      <c r="O51" s="343"/>
      <c r="Q51" s="50"/>
      <c r="R51" s="50"/>
      <c r="S51" s="50"/>
      <c r="T51" s="50"/>
      <c r="U51" s="50"/>
      <c r="V51" s="50"/>
      <c r="W51" s="50"/>
      <c r="X51" s="50"/>
      <c r="Y51" s="50"/>
      <c r="Z51" s="50"/>
      <c r="AA51" s="50"/>
      <c r="AB51" s="50"/>
      <c r="AC51" s="50"/>
      <c r="AD51" s="50"/>
      <c r="AE51" s="50"/>
    </row>
    <row r="52" spans="1:31" x14ac:dyDescent="0.25">
      <c r="A52" s="480">
        <f>ROW()</f>
        <v>52</v>
      </c>
      <c r="B52" s="170" t="s">
        <v>601</v>
      </c>
      <c r="C52" s="101"/>
      <c r="D52" s="101"/>
      <c r="E52" s="101"/>
      <c r="F52" s="101"/>
      <c r="G52" s="101"/>
      <c r="H52" s="101"/>
      <c r="I52" s="91"/>
      <c r="J52" s="91"/>
      <c r="K52" s="91"/>
      <c r="L52" s="91"/>
      <c r="M52" s="91"/>
      <c r="N52" s="96"/>
      <c r="O52" s="343"/>
      <c r="Q52" s="50"/>
      <c r="R52" s="50"/>
      <c r="S52" s="50"/>
      <c r="T52" s="50"/>
      <c r="U52" s="50"/>
      <c r="V52" s="50"/>
      <c r="W52" s="50"/>
      <c r="X52" s="50"/>
      <c r="Y52" s="50"/>
      <c r="Z52" s="50"/>
      <c r="AA52" s="50"/>
      <c r="AB52" s="50"/>
      <c r="AC52" s="50"/>
      <c r="AD52" s="50"/>
      <c r="AE52" s="50"/>
    </row>
    <row r="53" spans="1:31" x14ac:dyDescent="0.25">
      <c r="A53" s="480">
        <f>ROW()</f>
        <v>53</v>
      </c>
      <c r="B53" s="122" t="s">
        <v>602</v>
      </c>
      <c r="C53" s="41"/>
      <c r="D53" s="41"/>
      <c r="E53" s="46" t="s">
        <v>603</v>
      </c>
      <c r="F53" s="41"/>
      <c r="G53" s="102"/>
      <c r="H53" s="92"/>
      <c r="I53" s="93"/>
      <c r="J53" s="93"/>
      <c r="K53" s="93"/>
      <c r="L53" s="93"/>
      <c r="M53" s="93"/>
      <c r="N53" s="96"/>
      <c r="O53" s="343"/>
      <c r="Q53" s="50"/>
      <c r="R53" s="50"/>
      <c r="S53" s="50"/>
      <c r="T53" s="50"/>
      <c r="U53" s="50"/>
      <c r="V53" s="50"/>
      <c r="W53" s="50"/>
      <c r="X53" s="50"/>
      <c r="Y53" s="50"/>
      <c r="Z53" s="50"/>
      <c r="AA53" s="50"/>
      <c r="AB53" s="50"/>
      <c r="AC53" s="50"/>
      <c r="AD53" s="50"/>
      <c r="AE53" s="50"/>
    </row>
    <row r="54" spans="1:31" x14ac:dyDescent="0.25">
      <c r="A54" s="480">
        <f>ROW()</f>
        <v>54</v>
      </c>
      <c r="B54" s="41" t="s">
        <v>604</v>
      </c>
      <c r="C54" s="798">
        <v>11400</v>
      </c>
      <c r="D54" s="92" t="s">
        <v>605</v>
      </c>
      <c r="E54" s="1785" t="s">
        <v>1532</v>
      </c>
      <c r="F54" s="1785"/>
      <c r="G54" s="1785"/>
      <c r="H54" s="1785"/>
      <c r="I54" s="1785"/>
      <c r="J54" s="1785"/>
      <c r="K54" s="1785"/>
      <c r="L54" s="1785"/>
      <c r="M54" s="1785"/>
      <c r="N54" s="96"/>
      <c r="O54" s="343"/>
      <c r="Q54" s="50"/>
      <c r="R54" s="50"/>
      <c r="S54" s="50"/>
      <c r="T54" s="50"/>
      <c r="U54" s="50"/>
      <c r="V54" s="50"/>
      <c r="W54" s="50"/>
      <c r="X54" s="50"/>
      <c r="Y54" s="50"/>
      <c r="Z54" s="50"/>
      <c r="AA54" s="50"/>
      <c r="AB54" s="50"/>
      <c r="AC54" s="50"/>
      <c r="AD54" s="50"/>
      <c r="AE54" s="50"/>
    </row>
    <row r="55" spans="1:31" x14ac:dyDescent="0.25">
      <c r="A55" s="480">
        <f>ROW()</f>
        <v>55</v>
      </c>
      <c r="B55" s="41" t="s">
        <v>606</v>
      </c>
      <c r="C55" s="798">
        <v>11400</v>
      </c>
      <c r="D55" s="92" t="s">
        <v>605</v>
      </c>
      <c r="E55" s="1785"/>
      <c r="F55" s="1785"/>
      <c r="G55" s="1785"/>
      <c r="H55" s="1785"/>
      <c r="I55" s="1785"/>
      <c r="J55" s="1785"/>
      <c r="K55" s="1785"/>
      <c r="L55" s="1785"/>
      <c r="M55" s="1785"/>
      <c r="N55" s="96"/>
      <c r="O55" s="343"/>
      <c r="Q55" s="50"/>
      <c r="R55" s="50"/>
      <c r="S55" s="50"/>
      <c r="T55" s="50"/>
      <c r="U55" s="50"/>
      <c r="V55" s="50"/>
      <c r="W55" s="50"/>
      <c r="X55" s="50"/>
      <c r="Y55" s="50"/>
      <c r="Z55" s="50"/>
      <c r="AA55" s="50"/>
      <c r="AB55" s="50"/>
      <c r="AC55" s="50"/>
      <c r="AD55" s="50"/>
      <c r="AE55" s="50"/>
    </row>
    <row r="56" spans="1:31" x14ac:dyDescent="0.25">
      <c r="A56" s="480">
        <f>ROW()</f>
        <v>56</v>
      </c>
      <c r="B56" s="41" t="s">
        <v>607</v>
      </c>
      <c r="C56" s="799">
        <v>0.9</v>
      </c>
      <c r="D56" s="92"/>
      <c r="E56" s="1785"/>
      <c r="F56" s="1785"/>
      <c r="G56" s="1785"/>
      <c r="H56" s="1785"/>
      <c r="I56" s="1785"/>
      <c r="J56" s="1785"/>
      <c r="K56" s="1785"/>
      <c r="L56" s="1785"/>
      <c r="M56" s="1785"/>
      <c r="N56" s="96"/>
      <c r="O56" s="343"/>
      <c r="Q56" s="50"/>
      <c r="R56" s="50"/>
      <c r="S56" s="50"/>
      <c r="T56" s="50"/>
      <c r="U56" s="50"/>
      <c r="V56" s="50"/>
      <c r="W56" s="50"/>
      <c r="X56" s="50"/>
      <c r="Y56" s="50"/>
      <c r="Z56" s="50"/>
      <c r="AA56" s="50"/>
      <c r="AB56" s="50"/>
      <c r="AC56" s="50"/>
      <c r="AD56" s="50"/>
      <c r="AE56" s="50"/>
    </row>
    <row r="57" spans="1:31" x14ac:dyDescent="0.25">
      <c r="A57" s="480">
        <f>ROW()</f>
        <v>57</v>
      </c>
      <c r="B57" s="41" t="s">
        <v>608</v>
      </c>
      <c r="C57" s="799">
        <v>0.67</v>
      </c>
      <c r="D57" s="92"/>
      <c r="E57" s="1785"/>
      <c r="F57" s="1785"/>
      <c r="G57" s="1785"/>
      <c r="H57" s="1785"/>
      <c r="I57" s="1785"/>
      <c r="J57" s="1785"/>
      <c r="K57" s="1785"/>
      <c r="L57" s="1785"/>
      <c r="M57" s="1785"/>
      <c r="N57" s="96"/>
      <c r="O57" s="343"/>
      <c r="Q57" s="50"/>
      <c r="R57" s="50"/>
      <c r="S57" s="50"/>
      <c r="T57" s="50"/>
      <c r="U57" s="50"/>
      <c r="V57" s="50"/>
      <c r="W57" s="50"/>
      <c r="X57" s="50"/>
      <c r="Y57" s="50"/>
      <c r="Z57" s="50"/>
      <c r="AA57" s="50"/>
      <c r="AB57" s="50"/>
      <c r="AC57" s="50"/>
      <c r="AD57" s="50"/>
      <c r="AE57" s="50"/>
    </row>
    <row r="58" spans="1:31" x14ac:dyDescent="0.25">
      <c r="A58" s="480">
        <f>ROW()</f>
        <v>58</v>
      </c>
      <c r="B58" s="41" t="s">
        <v>609</v>
      </c>
      <c r="C58" s="1425">
        <f>(C57*C54)+((1-C57)*C55)</f>
        <v>11400</v>
      </c>
      <c r="D58" s="1627" t="s">
        <v>610</v>
      </c>
      <c r="E58" s="1785" t="s">
        <v>1532</v>
      </c>
      <c r="F58" s="1785"/>
      <c r="G58" s="1785"/>
      <c r="H58" s="1785"/>
      <c r="I58" s="1785"/>
      <c r="J58" s="1785"/>
      <c r="K58" s="1785"/>
      <c r="L58" s="1785"/>
      <c r="M58" s="1785"/>
      <c r="N58" s="96"/>
      <c r="O58" s="343"/>
      <c r="Q58" s="50"/>
      <c r="R58" s="50"/>
      <c r="S58" s="50"/>
      <c r="T58" s="50"/>
      <c r="U58" s="50"/>
      <c r="V58" s="50"/>
      <c r="W58" s="50"/>
      <c r="X58" s="50"/>
      <c r="Y58" s="50"/>
      <c r="Z58" s="50"/>
      <c r="AA58" s="50"/>
      <c r="AB58" s="50"/>
      <c r="AC58" s="50"/>
      <c r="AD58" s="50"/>
      <c r="AE58" s="50"/>
    </row>
    <row r="59" spans="1:31" x14ac:dyDescent="0.25">
      <c r="A59" s="480">
        <f>ROW()</f>
        <v>59</v>
      </c>
      <c r="B59" s="41" t="s">
        <v>611</v>
      </c>
      <c r="C59" s="696">
        <v>1.4500000000000001E-2</v>
      </c>
      <c r="D59" s="92" t="s">
        <v>612</v>
      </c>
      <c r="E59" s="1785" t="s">
        <v>1539</v>
      </c>
      <c r="F59" s="1785"/>
      <c r="G59" s="1785"/>
      <c r="H59" s="1785"/>
      <c r="I59" s="1785"/>
      <c r="J59" s="1785"/>
      <c r="K59" s="1785"/>
      <c r="L59" s="1785"/>
      <c r="M59" s="1785"/>
      <c r="N59" s="96"/>
      <c r="O59" s="343"/>
      <c r="Q59" s="50"/>
      <c r="R59" s="50"/>
      <c r="S59" s="50"/>
      <c r="T59" s="50"/>
      <c r="U59" s="50"/>
      <c r="V59" s="50"/>
      <c r="W59" s="50"/>
      <c r="X59" s="50"/>
      <c r="Y59" s="50"/>
      <c r="Z59" s="50"/>
      <c r="AA59" s="50"/>
      <c r="AB59" s="50"/>
      <c r="AC59" s="50"/>
      <c r="AD59" s="50"/>
      <c r="AE59" s="50"/>
    </row>
    <row r="60" spans="1:31" x14ac:dyDescent="0.25">
      <c r="A60" s="480">
        <f>ROW()</f>
        <v>60</v>
      </c>
      <c r="B60" s="41" t="s">
        <v>613</v>
      </c>
      <c r="C60" s="696">
        <v>0.33500000000000002</v>
      </c>
      <c r="D60" s="92" t="s">
        <v>612</v>
      </c>
      <c r="E60" s="1785" t="s">
        <v>1540</v>
      </c>
      <c r="F60" s="1785"/>
      <c r="G60" s="1785"/>
      <c r="H60" s="1785"/>
      <c r="I60" s="1785"/>
      <c r="J60" s="1785"/>
      <c r="K60" s="1785"/>
      <c r="L60" s="1785"/>
      <c r="M60" s="1785"/>
      <c r="N60" s="96"/>
      <c r="O60" s="343"/>
      <c r="Q60" s="50"/>
      <c r="R60" s="50"/>
      <c r="S60" s="50"/>
      <c r="T60" s="50"/>
      <c r="U60" s="50"/>
      <c r="V60" s="50"/>
      <c r="W60" s="50"/>
      <c r="X60" s="50"/>
      <c r="Y60" s="50"/>
      <c r="Z60" s="50"/>
      <c r="AA60" s="50"/>
      <c r="AB60" s="50"/>
      <c r="AC60" s="50"/>
      <c r="AD60" s="50"/>
      <c r="AE60" s="50"/>
    </row>
    <row r="61" spans="1:31" x14ac:dyDescent="0.25">
      <c r="A61" s="480">
        <f>ROW()</f>
        <v>61</v>
      </c>
      <c r="B61" s="41" t="s">
        <v>614</v>
      </c>
      <c r="C61" s="696">
        <v>6.0000000000000001E-3</v>
      </c>
      <c r="D61" s="92" t="s">
        <v>612</v>
      </c>
      <c r="E61" s="1785" t="s">
        <v>1535</v>
      </c>
      <c r="F61" s="1785"/>
      <c r="G61" s="1785"/>
      <c r="H61" s="1785"/>
      <c r="I61" s="1785"/>
      <c r="J61" s="1785"/>
      <c r="K61" s="1785"/>
      <c r="L61" s="1785"/>
      <c r="M61" s="1785"/>
      <c r="N61" s="96"/>
      <c r="O61" s="343"/>
      <c r="Q61" s="50"/>
      <c r="R61" s="50"/>
      <c r="S61" s="50"/>
      <c r="T61" s="50"/>
      <c r="U61" s="50"/>
      <c r="V61" s="50"/>
      <c r="W61" s="50"/>
      <c r="X61" s="50"/>
      <c r="Y61" s="50"/>
      <c r="Z61" s="50"/>
      <c r="AA61" s="50"/>
      <c r="AB61" s="50"/>
      <c r="AC61" s="50"/>
      <c r="AD61" s="50"/>
      <c r="AE61" s="50"/>
    </row>
    <row r="62" spans="1:31" x14ac:dyDescent="0.25">
      <c r="A62" s="480">
        <f>ROW()</f>
        <v>62</v>
      </c>
      <c r="B62" s="41" t="s">
        <v>615</v>
      </c>
      <c r="C62" s="800">
        <v>0</v>
      </c>
      <c r="D62" s="1627" t="s">
        <v>616</v>
      </c>
      <c r="E62" s="1785" t="s">
        <v>1536</v>
      </c>
      <c r="F62" s="1785"/>
      <c r="G62" s="1785"/>
      <c r="H62" s="1785"/>
      <c r="I62" s="1785"/>
      <c r="J62" s="1785"/>
      <c r="K62" s="1785"/>
      <c r="L62" s="1785"/>
      <c r="M62" s="1785"/>
      <c r="N62" s="96"/>
      <c r="O62" s="343"/>
      <c r="Q62" s="50"/>
      <c r="R62" s="50"/>
      <c r="S62" s="50"/>
      <c r="T62" s="50"/>
      <c r="U62" s="50"/>
      <c r="V62" s="50"/>
      <c r="W62" s="50"/>
      <c r="X62" s="50"/>
      <c r="Y62" s="50"/>
      <c r="Z62" s="50"/>
      <c r="AA62" s="50"/>
      <c r="AB62" s="50"/>
      <c r="AC62" s="50"/>
      <c r="AD62" s="50"/>
      <c r="AE62" s="50"/>
    </row>
    <row r="63" spans="1:31" x14ac:dyDescent="0.25">
      <c r="A63" s="480">
        <f>ROW()</f>
        <v>63</v>
      </c>
      <c r="B63" s="41" t="s">
        <v>617</v>
      </c>
      <c r="C63" s="1626">
        <f>(40600*122*0.012)/11057000</f>
        <v>5.3756353441258928E-3</v>
      </c>
      <c r="D63" s="92" t="s">
        <v>612</v>
      </c>
      <c r="E63" s="1785" t="s">
        <v>1533</v>
      </c>
      <c r="F63" s="1785"/>
      <c r="G63" s="1785"/>
      <c r="H63" s="1785"/>
      <c r="I63" s="1785"/>
      <c r="J63" s="1785"/>
      <c r="K63" s="1785"/>
      <c r="L63" s="1785"/>
      <c r="M63" s="1785"/>
      <c r="N63" s="96"/>
      <c r="O63" s="343"/>
      <c r="Q63" s="50"/>
      <c r="R63" s="50"/>
      <c r="S63" s="50"/>
      <c r="T63" s="50"/>
      <c r="U63" s="50"/>
      <c r="V63" s="50"/>
      <c r="W63" s="50"/>
      <c r="X63" s="50"/>
      <c r="Y63" s="50"/>
      <c r="Z63" s="50"/>
      <c r="AA63" s="50"/>
      <c r="AB63" s="50"/>
      <c r="AC63" s="50"/>
      <c r="AD63" s="50"/>
      <c r="AE63" s="50"/>
    </row>
    <row r="64" spans="1:31" x14ac:dyDescent="0.25">
      <c r="A64" s="480">
        <f>ROW()</f>
        <v>64</v>
      </c>
      <c r="B64" s="41" t="s">
        <v>618</v>
      </c>
      <c r="C64" s="1626">
        <f>(122*36000*0.0045)/11057000</f>
        <v>1.7874649543275752E-3</v>
      </c>
      <c r="D64" s="92" t="s">
        <v>612</v>
      </c>
      <c r="E64" s="1785" t="s">
        <v>1534</v>
      </c>
      <c r="F64" s="1785"/>
      <c r="G64" s="1785"/>
      <c r="H64" s="1785"/>
      <c r="I64" s="1785"/>
      <c r="J64" s="1785"/>
      <c r="K64" s="1785"/>
      <c r="L64" s="1785"/>
      <c r="M64" s="1785"/>
      <c r="N64" s="96"/>
      <c r="O64" s="343"/>
      <c r="Q64" s="50"/>
      <c r="R64" s="50"/>
      <c r="S64" s="50"/>
      <c r="T64" s="50"/>
      <c r="U64" s="50"/>
      <c r="V64" s="50"/>
      <c r="W64" s="50"/>
      <c r="X64" s="50"/>
      <c r="Y64" s="50"/>
      <c r="Z64" s="50"/>
      <c r="AA64" s="50"/>
      <c r="AB64" s="50"/>
      <c r="AC64" s="50"/>
      <c r="AD64" s="50"/>
      <c r="AE64" s="50"/>
    </row>
    <row r="65" spans="1:31" x14ac:dyDescent="0.25">
      <c r="A65" s="480">
        <f>ROW()</f>
        <v>65</v>
      </c>
      <c r="B65" s="41"/>
      <c r="C65" s="1426"/>
      <c r="D65" s="92"/>
      <c r="E65" s="1785"/>
      <c r="F65" s="1785"/>
      <c r="G65" s="1785"/>
      <c r="H65" s="1785"/>
      <c r="I65" s="1785"/>
      <c r="J65" s="1785"/>
      <c r="K65" s="1785"/>
      <c r="L65" s="1785"/>
      <c r="M65" s="1785"/>
      <c r="N65" s="96"/>
      <c r="O65" s="343"/>
      <c r="Q65" s="50"/>
      <c r="R65" s="50"/>
      <c r="S65" s="50"/>
      <c r="T65" s="50"/>
      <c r="U65" s="50"/>
      <c r="V65" s="50"/>
      <c r="W65" s="50"/>
      <c r="X65" s="50"/>
      <c r="Y65" s="50"/>
      <c r="Z65" s="50"/>
      <c r="AA65" s="50"/>
      <c r="AB65" s="50"/>
      <c r="AC65" s="50"/>
      <c r="AD65" s="50"/>
      <c r="AE65" s="50"/>
    </row>
    <row r="66" spans="1:31" x14ac:dyDescent="0.25">
      <c r="A66" s="480">
        <f>ROW()</f>
        <v>66</v>
      </c>
      <c r="B66" s="41" t="s">
        <v>549</v>
      </c>
      <c r="C66" s="798">
        <v>15</v>
      </c>
      <c r="D66" s="92" t="s">
        <v>619</v>
      </c>
      <c r="E66" s="1785"/>
      <c r="F66" s="1785"/>
      <c r="G66" s="1785"/>
      <c r="H66" s="1785"/>
      <c r="I66" s="1785"/>
      <c r="J66" s="1785"/>
      <c r="K66" s="1785"/>
      <c r="L66" s="1785"/>
      <c r="M66" s="1785"/>
      <c r="N66" s="96"/>
      <c r="O66" s="343"/>
      <c r="Q66" s="50"/>
      <c r="R66" s="50"/>
      <c r="S66" s="50"/>
      <c r="T66" s="50"/>
      <c r="U66" s="50"/>
      <c r="V66" s="50"/>
      <c r="W66" s="50"/>
      <c r="X66" s="50"/>
      <c r="Y66" s="50"/>
      <c r="Z66" s="50"/>
      <c r="AA66" s="50"/>
      <c r="AB66" s="50"/>
      <c r="AC66" s="50"/>
      <c r="AD66" s="50"/>
      <c r="AE66" s="50"/>
    </row>
    <row r="67" spans="1:31" x14ac:dyDescent="0.25">
      <c r="A67" s="480">
        <f>ROW()</f>
        <v>67</v>
      </c>
      <c r="B67" s="41" t="s">
        <v>620</v>
      </c>
      <c r="C67" s="1427" t="s">
        <v>621</v>
      </c>
      <c r="D67" s="92"/>
      <c r="E67" s="1785"/>
      <c r="F67" s="1785"/>
      <c r="G67" s="1785"/>
      <c r="H67" s="1785"/>
      <c r="I67" s="1785"/>
      <c r="J67" s="1785"/>
      <c r="K67" s="1785"/>
      <c r="L67" s="1785"/>
      <c r="M67" s="1785"/>
      <c r="N67" s="96"/>
      <c r="O67" s="343"/>
      <c r="Q67" s="50"/>
      <c r="R67" s="50"/>
      <c r="S67" s="50"/>
      <c r="T67" s="50"/>
      <c r="U67" s="50"/>
      <c r="V67" s="50"/>
      <c r="W67" s="50"/>
      <c r="X67" s="50"/>
      <c r="Y67" s="50"/>
      <c r="Z67" s="50"/>
      <c r="AA67" s="50"/>
      <c r="AB67" s="50"/>
      <c r="AC67" s="50"/>
      <c r="AD67" s="50"/>
      <c r="AE67" s="50"/>
    </row>
    <row r="68" spans="1:31" x14ac:dyDescent="0.25">
      <c r="A68" s="480">
        <f>ROW()</f>
        <v>68</v>
      </c>
      <c r="B68" s="46" t="s">
        <v>622</v>
      </c>
      <c r="C68" s="1623">
        <f>+' Enrol &amp; Rev'!C97</f>
        <v>0</v>
      </c>
      <c r="D68" s="41" t="s">
        <v>623</v>
      </c>
      <c r="E68" s="46"/>
      <c r="F68" s="46"/>
      <c r="G68" s="74"/>
      <c r="H68" s="74"/>
      <c r="I68" s="32"/>
      <c r="J68" s="32"/>
      <c r="K68" s="32"/>
      <c r="L68" s="32"/>
      <c r="M68" s="32"/>
      <c r="N68" s="96"/>
      <c r="O68" s="343"/>
      <c r="Q68" s="50"/>
      <c r="R68" s="50"/>
      <c r="S68" s="50"/>
      <c r="T68" s="50"/>
      <c r="U68" s="50"/>
      <c r="V68" s="50"/>
      <c r="W68" s="50"/>
      <c r="X68" s="50"/>
      <c r="Y68" s="50"/>
      <c r="Z68" s="50"/>
      <c r="AA68" s="50"/>
      <c r="AB68" s="50"/>
      <c r="AC68" s="50"/>
      <c r="AD68" s="50"/>
      <c r="AE68" s="50"/>
    </row>
    <row r="69" spans="1:31" x14ac:dyDescent="0.25">
      <c r="A69" s="480">
        <f>ROW()</f>
        <v>69</v>
      </c>
      <c r="C69" s="307"/>
      <c r="N69" s="96"/>
      <c r="O69" s="343"/>
      <c r="Q69" s="50"/>
      <c r="R69" s="50"/>
      <c r="S69" s="50"/>
      <c r="T69" s="50"/>
      <c r="U69" s="50"/>
      <c r="V69" s="50"/>
      <c r="W69" s="50"/>
      <c r="X69" s="50"/>
      <c r="Y69" s="50"/>
      <c r="Z69" s="50"/>
      <c r="AA69" s="50"/>
      <c r="AB69" s="50"/>
      <c r="AC69" s="50"/>
      <c r="AD69" s="50"/>
      <c r="AE69" s="50"/>
    </row>
    <row r="70" spans="1:31" x14ac:dyDescent="0.25">
      <c r="A70" s="480">
        <f>ROW()</f>
        <v>70</v>
      </c>
      <c r="B70" s="33" t="s">
        <v>624</v>
      </c>
      <c r="C70" s="147">
        <v>180</v>
      </c>
      <c r="D70" s="1574" t="s">
        <v>625</v>
      </c>
      <c r="E70" s="287"/>
      <c r="F70" s="287"/>
      <c r="H70" s="74"/>
      <c r="I70" s="32"/>
      <c r="J70" s="32"/>
      <c r="K70" s="32"/>
      <c r="L70" s="32"/>
      <c r="M70" s="32"/>
      <c r="N70" s="96"/>
      <c r="O70" s="343"/>
      <c r="Q70" s="50"/>
      <c r="R70" s="50"/>
      <c r="S70" s="50"/>
      <c r="T70" s="50"/>
      <c r="U70" s="50"/>
      <c r="V70" s="50"/>
      <c r="W70" s="50"/>
      <c r="X70" s="50"/>
      <c r="Y70" s="50"/>
      <c r="Z70" s="50"/>
      <c r="AA70" s="50"/>
      <c r="AB70" s="50"/>
      <c r="AC70" s="50"/>
      <c r="AD70" s="50"/>
      <c r="AE70" s="50"/>
    </row>
    <row r="71" spans="1:31" x14ac:dyDescent="0.25">
      <c r="A71" s="480">
        <f>ROW()</f>
        <v>71</v>
      </c>
      <c r="B71" s="41" t="s">
        <v>626</v>
      </c>
      <c r="C71" s="148">
        <v>0</v>
      </c>
      <c r="D71" s="288"/>
      <c r="E71" s="288"/>
      <c r="F71" s="288"/>
      <c r="H71" s="41"/>
      <c r="N71" s="96"/>
      <c r="O71" s="343"/>
      <c r="Q71" s="50"/>
      <c r="R71" s="50"/>
      <c r="S71" s="50"/>
      <c r="T71" s="50"/>
      <c r="U71" s="50"/>
      <c r="V71" s="50"/>
      <c r="W71" s="50"/>
      <c r="X71" s="50"/>
      <c r="Y71" s="50"/>
      <c r="Z71" s="50"/>
      <c r="AA71" s="50"/>
      <c r="AB71" s="50"/>
      <c r="AC71" s="50"/>
      <c r="AD71" s="50"/>
      <c r="AE71" s="50"/>
    </row>
    <row r="72" spans="1:31" x14ac:dyDescent="0.25">
      <c r="A72" s="480">
        <f>ROW()</f>
        <v>72</v>
      </c>
      <c r="B72" s="41" t="s">
        <v>627</v>
      </c>
      <c r="C72" s="148">
        <v>0</v>
      </c>
      <c r="D72" s="288"/>
      <c r="E72" s="288"/>
      <c r="F72" s="288"/>
      <c r="H72" s="41"/>
      <c r="N72" s="96"/>
      <c r="O72" s="343"/>
      <c r="Q72" s="50"/>
      <c r="R72" s="50"/>
      <c r="S72" s="50"/>
      <c r="T72" s="50"/>
      <c r="U72" s="50"/>
      <c r="V72" s="50"/>
      <c r="W72" s="50"/>
      <c r="X72" s="50"/>
      <c r="Y72" s="50"/>
      <c r="Z72" s="50"/>
      <c r="AA72" s="50"/>
      <c r="AB72" s="50"/>
      <c r="AC72" s="50"/>
      <c r="AD72" s="50"/>
      <c r="AE72" s="50"/>
    </row>
    <row r="73" spans="1:31" x14ac:dyDescent="0.25">
      <c r="A73" s="480">
        <f>ROW()</f>
        <v>73</v>
      </c>
      <c r="B73" s="41" t="s">
        <v>628</v>
      </c>
      <c r="C73" s="149">
        <v>0</v>
      </c>
      <c r="D73" s="289"/>
      <c r="E73" s="289"/>
      <c r="F73" s="289"/>
      <c r="H73" s="41"/>
      <c r="N73" s="96"/>
      <c r="O73" s="343"/>
      <c r="Q73" s="50"/>
      <c r="R73" s="50"/>
      <c r="S73" s="50"/>
      <c r="T73" s="50"/>
      <c r="U73" s="50"/>
      <c r="V73" s="50"/>
      <c r="W73" s="50"/>
      <c r="X73" s="50"/>
      <c r="Y73" s="50"/>
      <c r="Z73" s="50"/>
      <c r="AA73" s="50"/>
      <c r="AB73" s="50"/>
      <c r="AC73" s="50"/>
      <c r="AD73" s="50"/>
      <c r="AE73" s="50"/>
    </row>
    <row r="74" spans="1:31" x14ac:dyDescent="0.25">
      <c r="A74" s="480">
        <f>ROW()</f>
        <v>74</v>
      </c>
      <c r="H74" s="103"/>
      <c r="I74" s="103"/>
      <c r="J74" s="103"/>
      <c r="N74" s="96"/>
      <c r="O74" s="343"/>
      <c r="Q74" s="50"/>
      <c r="R74" s="50"/>
      <c r="S74" s="50"/>
      <c r="T74" s="50"/>
      <c r="U74" s="50"/>
      <c r="V74" s="50"/>
      <c r="W74" s="50"/>
      <c r="X74" s="50"/>
      <c r="Y74" s="50"/>
      <c r="Z74" s="50"/>
      <c r="AA74" s="50"/>
      <c r="AB74" s="50"/>
      <c r="AC74" s="50"/>
      <c r="AD74" s="50"/>
      <c r="AE74" s="50"/>
    </row>
    <row r="75" spans="1:31" ht="15.75" x14ac:dyDescent="0.25">
      <c r="A75" s="480">
        <f>ROW()</f>
        <v>75</v>
      </c>
      <c r="G75" s="409" t="s">
        <v>629</v>
      </c>
      <c r="H75" s="103"/>
      <c r="I75" s="103"/>
      <c r="J75" s="103"/>
      <c r="N75" s="96"/>
      <c r="O75" s="343"/>
      <c r="Q75" s="50"/>
      <c r="R75" s="50"/>
      <c r="S75" s="50"/>
      <c r="T75" s="50"/>
      <c r="U75" s="50"/>
      <c r="V75" s="50"/>
      <c r="W75" s="50"/>
      <c r="X75" s="50"/>
      <c r="Y75" s="50"/>
      <c r="Z75" s="50"/>
      <c r="AA75" s="50"/>
      <c r="AB75" s="50"/>
      <c r="AC75" s="50"/>
      <c r="AD75" s="50"/>
      <c r="AE75" s="50"/>
    </row>
    <row r="76" spans="1:31" outlineLevel="1" x14ac:dyDescent="0.25">
      <c r="A76" s="480">
        <f>ROW()</f>
        <v>76</v>
      </c>
      <c r="C76" s="32" t="s">
        <v>630</v>
      </c>
      <c r="D76" s="32" t="s">
        <v>631</v>
      </c>
      <c r="E76" s="32"/>
      <c r="F76" s="32"/>
      <c r="H76" s="103"/>
      <c r="I76" s="103"/>
      <c r="J76" s="103"/>
      <c r="N76" s="96"/>
      <c r="O76" s="343"/>
      <c r="Q76" s="50"/>
      <c r="R76" s="50"/>
      <c r="S76" s="50"/>
      <c r="T76" s="50"/>
      <c r="U76" s="50"/>
      <c r="V76" s="50"/>
      <c r="W76" s="50"/>
      <c r="X76" s="50"/>
      <c r="Y76" s="50"/>
      <c r="Z76" s="50"/>
      <c r="AA76" s="50"/>
      <c r="AB76" s="50"/>
      <c r="AC76" s="50"/>
      <c r="AD76" s="50"/>
      <c r="AE76" s="50"/>
    </row>
    <row r="77" spans="1:31" ht="30" outlineLevel="1" x14ac:dyDescent="0.25">
      <c r="A77" s="872">
        <f>ROW()</f>
        <v>77</v>
      </c>
      <c r="B77" s="75" t="s">
        <v>632</v>
      </c>
      <c r="C77" s="57">
        <f>' Enrol &amp; Rev'!$G$10</f>
        <v>2025</v>
      </c>
      <c r="D77" s="152" t="s">
        <v>633</v>
      </c>
      <c r="E77" s="118"/>
      <c r="F77" s="118"/>
      <c r="I77" s="118"/>
      <c r="J77" s="118"/>
      <c r="N77" s="96"/>
      <c r="O77" s="343"/>
      <c r="Q77" s="50"/>
      <c r="R77" s="50"/>
      <c r="S77" s="50"/>
      <c r="T77" s="50"/>
      <c r="U77" s="50"/>
      <c r="V77" s="50"/>
      <c r="W77" s="50"/>
      <c r="X77" s="50"/>
      <c r="Y77" s="50"/>
      <c r="Z77" s="50"/>
      <c r="AA77" s="50"/>
      <c r="AB77" s="50"/>
      <c r="AC77" s="50"/>
      <c r="AD77" s="50"/>
      <c r="AE77" s="50"/>
    </row>
    <row r="78" spans="1:31" outlineLevel="1" x14ac:dyDescent="0.25">
      <c r="A78" s="480">
        <f>ROW()</f>
        <v>78</v>
      </c>
      <c r="B78" s="673" t="s">
        <v>634</v>
      </c>
      <c r="C78" s="168"/>
      <c r="D78" s="169"/>
      <c r="E78" s="222"/>
      <c r="F78" s="222"/>
      <c r="G78" s="785" t="str">
        <f>+B78&amp;" "&amp;"(Enter automatically or manually, hard code)"</f>
        <v>FTE Count &amp; Hiring Timing  (Enter automatically or manually, hard code)</v>
      </c>
      <c r="H78" s="223"/>
      <c r="I78" s="222"/>
      <c r="J78" s="222"/>
      <c r="K78" s="223"/>
      <c r="L78" s="223"/>
      <c r="M78" s="223"/>
      <c r="N78" s="96"/>
      <c r="O78" s="1385" t="s">
        <v>635</v>
      </c>
      <c r="Q78" s="50"/>
      <c r="R78" s="50"/>
      <c r="S78" s="50"/>
      <c r="T78" s="50"/>
      <c r="U78" s="50"/>
      <c r="V78" s="50"/>
      <c r="W78" s="50"/>
      <c r="X78" s="50"/>
      <c r="Y78" s="50"/>
      <c r="Z78" s="50"/>
      <c r="AA78" s="50"/>
      <c r="AB78" s="50"/>
      <c r="AC78" s="50"/>
      <c r="AD78" s="50"/>
      <c r="AE78" s="50"/>
    </row>
    <row r="79" spans="1:31" outlineLevel="1" x14ac:dyDescent="0.25">
      <c r="A79" s="480">
        <f>ROW()</f>
        <v>79</v>
      </c>
      <c r="B79" s="1651" t="s">
        <v>636</v>
      </c>
      <c r="C79" s="57" t="s">
        <v>630</v>
      </c>
      <c r="D79" s="57"/>
      <c r="E79" s="57"/>
      <c r="F79" s="57"/>
      <c r="G79" s="63"/>
      <c r="H79" s="57"/>
      <c r="I79" s="57"/>
      <c r="J79" s="57"/>
      <c r="K79" s="63"/>
      <c r="L79" s="63"/>
      <c r="M79" s="63"/>
      <c r="N79" s="96"/>
      <c r="O79" s="1389" t="s">
        <v>637</v>
      </c>
      <c r="Q79" s="50"/>
      <c r="R79" s="50"/>
      <c r="S79" s="50"/>
      <c r="T79" s="50"/>
      <c r="U79" s="50"/>
      <c r="V79" s="50"/>
      <c r="W79" s="50"/>
      <c r="X79" s="50"/>
      <c r="Y79" s="50"/>
      <c r="Z79" s="50"/>
      <c r="AA79" s="50"/>
      <c r="AB79" s="50"/>
      <c r="AC79" s="50"/>
      <c r="AD79" s="50"/>
      <c r="AE79" s="50"/>
    </row>
    <row r="80" spans="1:31" outlineLevel="1" x14ac:dyDescent="0.25">
      <c r="A80" s="480">
        <f>ROW()</f>
        <v>80</v>
      </c>
      <c r="B80" s="184" t="s">
        <v>638</v>
      </c>
      <c r="C80" s="185">
        <v>2025</v>
      </c>
      <c r="D80" s="186">
        <v>175232</v>
      </c>
      <c r="E80" s="1401"/>
      <c r="F80" s="1401"/>
      <c r="G80" s="698">
        <v>3</v>
      </c>
      <c r="H80" s="698">
        <v>3</v>
      </c>
      <c r="I80" s="698">
        <v>3</v>
      </c>
      <c r="J80" s="698">
        <v>3</v>
      </c>
      <c r="K80" s="698">
        <v>3</v>
      </c>
      <c r="L80" s="698">
        <v>3</v>
      </c>
      <c r="M80" s="698">
        <v>3</v>
      </c>
      <c r="N80" s="96"/>
      <c r="O80" s="343"/>
      <c r="Q80" s="50"/>
      <c r="R80" s="50"/>
      <c r="S80" s="50"/>
      <c r="T80" s="50"/>
      <c r="U80" s="50"/>
      <c r="V80" s="50"/>
      <c r="W80" s="50"/>
      <c r="X80" s="50"/>
      <c r="Y80" s="50"/>
      <c r="Z80" s="50"/>
      <c r="AA80" s="50"/>
      <c r="AB80" s="50"/>
      <c r="AC80" s="50"/>
      <c r="AD80" s="50"/>
      <c r="AE80" s="50"/>
    </row>
    <row r="81" spans="1:31" outlineLevel="1" x14ac:dyDescent="0.25">
      <c r="A81" s="480">
        <f>ROW()</f>
        <v>81</v>
      </c>
      <c r="B81" s="150" t="s">
        <v>639</v>
      </c>
      <c r="C81" s="151">
        <v>2025</v>
      </c>
      <c r="D81" s="153">
        <v>155054.5</v>
      </c>
      <c r="E81" s="1399"/>
      <c r="F81" s="1399"/>
      <c r="G81" s="697">
        <v>2</v>
      </c>
      <c r="H81" s="697">
        <v>2</v>
      </c>
      <c r="I81" s="697">
        <v>2</v>
      </c>
      <c r="J81" s="697">
        <v>2</v>
      </c>
      <c r="K81" s="697">
        <v>2</v>
      </c>
      <c r="L81" s="697">
        <v>2</v>
      </c>
      <c r="M81" s="697">
        <v>2</v>
      </c>
      <c r="N81" s="96"/>
      <c r="O81" s="343"/>
      <c r="Q81" s="50"/>
      <c r="R81" s="50"/>
      <c r="S81" s="50"/>
      <c r="T81" s="50"/>
      <c r="U81" s="50"/>
      <c r="V81" s="50"/>
      <c r="W81" s="50"/>
      <c r="X81" s="50"/>
      <c r="Y81" s="50"/>
      <c r="Z81" s="50"/>
      <c r="AA81" s="50"/>
      <c r="AB81" s="50"/>
      <c r="AC81" s="50"/>
      <c r="AD81" s="50"/>
      <c r="AE81" s="50"/>
    </row>
    <row r="82" spans="1:31" outlineLevel="1" x14ac:dyDescent="0.25">
      <c r="A82" s="480">
        <f>ROW()</f>
        <v>82</v>
      </c>
      <c r="B82" s="150" t="s">
        <v>1518</v>
      </c>
      <c r="C82" s="151">
        <v>2025</v>
      </c>
      <c r="D82" s="153">
        <v>183099</v>
      </c>
      <c r="E82" s="1399"/>
      <c r="F82" s="1399"/>
      <c r="G82" s="697">
        <f t="shared" ref="G82:M83" si="16">IF($C82&lt;=G$10,1,0)</f>
        <v>1</v>
      </c>
      <c r="H82" s="697">
        <f t="shared" si="16"/>
        <v>1</v>
      </c>
      <c r="I82" s="697">
        <f t="shared" si="16"/>
        <v>1</v>
      </c>
      <c r="J82" s="697">
        <f t="shared" si="16"/>
        <v>1</v>
      </c>
      <c r="K82" s="697">
        <f t="shared" si="16"/>
        <v>1</v>
      </c>
      <c r="L82" s="697">
        <f t="shared" si="16"/>
        <v>1</v>
      </c>
      <c r="M82" s="697">
        <f t="shared" si="16"/>
        <v>1</v>
      </c>
      <c r="O82" s="343"/>
      <c r="Q82" s="50"/>
      <c r="R82" s="50"/>
      <c r="S82" s="50"/>
      <c r="T82" s="50"/>
      <c r="U82" s="50"/>
      <c r="V82" s="50"/>
      <c r="W82" s="50"/>
      <c r="X82" s="50"/>
      <c r="Y82" s="50"/>
      <c r="Z82" s="50"/>
      <c r="AA82" s="50"/>
      <c r="AB82" s="50"/>
      <c r="AC82" s="50"/>
      <c r="AD82" s="50"/>
      <c r="AE82" s="50"/>
    </row>
    <row r="83" spans="1:31" outlineLevel="1" x14ac:dyDescent="0.25">
      <c r="A83" s="480">
        <f>ROW()</f>
        <v>83</v>
      </c>
      <c r="B83" s="150" t="s">
        <v>1519</v>
      </c>
      <c r="C83" s="151">
        <v>2025</v>
      </c>
      <c r="D83" s="153">
        <v>202906</v>
      </c>
      <c r="E83" s="1399"/>
      <c r="F83" s="1399"/>
      <c r="G83" s="697">
        <f t="shared" si="16"/>
        <v>1</v>
      </c>
      <c r="H83" s="697">
        <f t="shared" si="16"/>
        <v>1</v>
      </c>
      <c r="I83" s="697">
        <f t="shared" si="16"/>
        <v>1</v>
      </c>
      <c r="J83" s="697">
        <f t="shared" si="16"/>
        <v>1</v>
      </c>
      <c r="K83" s="697">
        <f t="shared" si="16"/>
        <v>1</v>
      </c>
      <c r="L83" s="697">
        <f t="shared" si="16"/>
        <v>1</v>
      </c>
      <c r="M83" s="697">
        <f t="shared" si="16"/>
        <v>1</v>
      </c>
      <c r="O83" s="343"/>
      <c r="Q83" s="50"/>
      <c r="R83" s="50"/>
      <c r="S83" s="50"/>
      <c r="T83" s="50"/>
      <c r="U83" s="50"/>
      <c r="V83" s="50"/>
      <c r="W83" s="50"/>
      <c r="X83" s="50"/>
      <c r="Y83" s="50"/>
      <c r="Z83" s="50"/>
      <c r="AA83" s="50"/>
      <c r="AB83" s="50"/>
      <c r="AC83" s="50"/>
      <c r="AD83" s="50"/>
      <c r="AE83" s="50"/>
    </row>
    <row r="84" spans="1:31" outlineLevel="1" x14ac:dyDescent="0.25">
      <c r="A84" s="480">
        <f>ROW()</f>
        <v>84</v>
      </c>
      <c r="B84" s="150" t="s">
        <v>1522</v>
      </c>
      <c r="C84" s="151">
        <v>2025</v>
      </c>
      <c r="D84" s="153">
        <v>132416.88</v>
      </c>
      <c r="E84" s="1399"/>
      <c r="F84" s="1399"/>
      <c r="G84" s="697">
        <v>2</v>
      </c>
      <c r="H84" s="697">
        <v>2</v>
      </c>
      <c r="I84" s="697">
        <v>2</v>
      </c>
      <c r="J84" s="697">
        <v>2</v>
      </c>
      <c r="K84" s="697">
        <v>2</v>
      </c>
      <c r="L84" s="697">
        <v>2</v>
      </c>
      <c r="M84" s="697">
        <v>2</v>
      </c>
      <c r="O84" s="343"/>
      <c r="Q84" s="50"/>
      <c r="R84" s="50"/>
      <c r="S84" s="50"/>
      <c r="T84" s="50"/>
      <c r="U84" s="50"/>
      <c r="V84" s="50"/>
      <c r="W84" s="50"/>
      <c r="X84" s="50"/>
      <c r="Y84" s="50"/>
      <c r="Z84" s="50"/>
      <c r="AA84" s="50"/>
      <c r="AB84" s="50"/>
      <c r="AC84" s="50"/>
      <c r="AD84" s="50"/>
      <c r="AE84" s="50"/>
    </row>
    <row r="85" spans="1:31" outlineLevel="1" x14ac:dyDescent="0.25">
      <c r="A85" s="480">
        <f>ROW()</f>
        <v>85</v>
      </c>
      <c r="B85" s="307"/>
      <c r="C85" s="1402"/>
      <c r="D85" s="1403"/>
      <c r="E85" s="1403"/>
      <c r="F85" s="1403"/>
      <c r="G85" s="140"/>
      <c r="H85" s="140"/>
      <c r="I85" s="140"/>
      <c r="J85" s="140"/>
      <c r="K85" s="140"/>
      <c r="L85" s="140"/>
      <c r="M85" s="140"/>
      <c r="O85" s="343"/>
      <c r="Q85" s="50"/>
      <c r="R85" s="50"/>
      <c r="S85" s="50"/>
      <c r="T85" s="50"/>
      <c r="U85" s="50"/>
      <c r="V85" s="50"/>
      <c r="W85" s="50"/>
      <c r="X85" s="50"/>
      <c r="Y85" s="50"/>
      <c r="Z85" s="50"/>
      <c r="AA85" s="50"/>
      <c r="AB85" s="50"/>
      <c r="AC85" s="50"/>
      <c r="AD85" s="50"/>
      <c r="AE85" s="50"/>
    </row>
    <row r="86" spans="1:31" outlineLevel="1" x14ac:dyDescent="0.25">
      <c r="A86" s="480">
        <f>ROW()</f>
        <v>86</v>
      </c>
      <c r="B86" s="1404" t="s">
        <v>641</v>
      </c>
      <c r="C86" s="1405"/>
      <c r="D86" s="1406"/>
      <c r="E86" s="1406"/>
      <c r="F86" s="1406"/>
      <c r="G86" s="1421">
        <f t="shared" ref="G86:M86" si="17">SUM(G80:G84)</f>
        <v>9</v>
      </c>
      <c r="H86" s="1421">
        <f t="shared" si="17"/>
        <v>9</v>
      </c>
      <c r="I86" s="1421">
        <f t="shared" si="17"/>
        <v>9</v>
      </c>
      <c r="J86" s="1421">
        <f t="shared" si="17"/>
        <v>9</v>
      </c>
      <c r="K86" s="1421">
        <f t="shared" si="17"/>
        <v>9</v>
      </c>
      <c r="L86" s="1421">
        <f t="shared" si="17"/>
        <v>9</v>
      </c>
      <c r="M86" s="1421">
        <f t="shared" si="17"/>
        <v>9</v>
      </c>
      <c r="O86" s="343"/>
      <c r="Q86" s="50"/>
      <c r="R86" s="50"/>
      <c r="S86" s="50"/>
      <c r="T86" s="50"/>
      <c r="U86" s="50"/>
      <c r="V86" s="50"/>
      <c r="W86" s="50"/>
      <c r="X86" s="50"/>
      <c r="Y86" s="50"/>
      <c r="Z86" s="50"/>
      <c r="AA86" s="50"/>
      <c r="AB86" s="50"/>
      <c r="AC86" s="50"/>
      <c r="AD86" s="50"/>
      <c r="AE86" s="50"/>
    </row>
    <row r="87" spans="1:31" outlineLevel="1" x14ac:dyDescent="0.25">
      <c r="A87" s="480">
        <f>ROW()</f>
        <v>87</v>
      </c>
      <c r="B87" s="1408"/>
      <c r="C87" s="1408"/>
      <c r="D87" s="1409"/>
      <c r="E87" s="1409"/>
      <c r="F87" s="1409"/>
      <c r="G87" s="1410"/>
      <c r="H87" s="1410"/>
      <c r="I87" s="1411"/>
      <c r="J87" s="1411"/>
      <c r="K87" s="1411"/>
      <c r="L87" s="1411"/>
      <c r="M87" s="1411"/>
      <c r="N87" s="54"/>
      <c r="O87" s="343"/>
      <c r="Q87" s="50"/>
      <c r="R87" s="50"/>
      <c r="S87" s="50"/>
      <c r="T87" s="50"/>
      <c r="U87" s="50"/>
      <c r="V87" s="50"/>
      <c r="W87" s="50"/>
      <c r="X87" s="50"/>
      <c r="Y87" s="50"/>
      <c r="Z87" s="50"/>
      <c r="AA87" s="50"/>
      <c r="AB87" s="50"/>
      <c r="AC87" s="50"/>
      <c r="AD87" s="50"/>
      <c r="AE87" s="50"/>
    </row>
    <row r="88" spans="1:31" outlineLevel="1" x14ac:dyDescent="0.25">
      <c r="A88" s="480">
        <f>ROW()</f>
        <v>88</v>
      </c>
      <c r="B88" s="1365" t="s">
        <v>642</v>
      </c>
      <c r="C88" s="1412"/>
      <c r="D88" s="1413"/>
      <c r="E88" s="1413"/>
      <c r="F88" s="1413"/>
      <c r="G88" s="1414"/>
      <c r="H88" s="1414"/>
      <c r="I88" s="1415"/>
      <c r="J88" s="1415"/>
      <c r="K88" s="1415"/>
      <c r="L88" s="1415"/>
      <c r="M88" s="1415"/>
      <c r="N88" s="54"/>
      <c r="O88" s="343"/>
      <c r="Q88" s="50"/>
      <c r="R88" s="50"/>
      <c r="S88" s="50"/>
      <c r="T88" s="50"/>
      <c r="U88" s="50"/>
      <c r="V88" s="50"/>
      <c r="W88" s="50"/>
      <c r="X88" s="50"/>
      <c r="Y88" s="50"/>
      <c r="Z88" s="50"/>
      <c r="AA88" s="50"/>
      <c r="AB88" s="50"/>
      <c r="AC88" s="50"/>
      <c r="AD88" s="50"/>
      <c r="AE88" s="50"/>
    </row>
    <row r="89" spans="1:31" outlineLevel="1" x14ac:dyDescent="0.25">
      <c r="A89" s="480">
        <f>ROW()</f>
        <v>89</v>
      </c>
      <c r="B89" s="184" t="s">
        <v>1520</v>
      </c>
      <c r="C89" s="185">
        <v>2025</v>
      </c>
      <c r="D89" s="187">
        <v>160142</v>
      </c>
      <c r="E89" s="1400"/>
      <c r="F89" s="1400"/>
      <c r="G89" s="698">
        <f t="shared" ref="G89:M90" si="18">IF($C89&lt;=G$10,1,0)</f>
        <v>1</v>
      </c>
      <c r="H89" s="698">
        <f t="shared" si="18"/>
        <v>1</v>
      </c>
      <c r="I89" s="698">
        <f t="shared" si="18"/>
        <v>1</v>
      </c>
      <c r="J89" s="698">
        <f t="shared" si="18"/>
        <v>1</v>
      </c>
      <c r="K89" s="698">
        <f t="shared" si="18"/>
        <v>1</v>
      </c>
      <c r="L89" s="698">
        <f t="shared" si="18"/>
        <v>1</v>
      </c>
      <c r="M89" s="698">
        <f t="shared" si="18"/>
        <v>1</v>
      </c>
      <c r="N89" s="54"/>
      <c r="O89" s="343"/>
      <c r="Q89" s="50"/>
      <c r="R89" s="50"/>
      <c r="S89" s="50"/>
      <c r="T89" s="50"/>
      <c r="U89" s="50"/>
      <c r="V89" s="50"/>
      <c r="W89" s="50"/>
      <c r="X89" s="50"/>
      <c r="Y89" s="50"/>
      <c r="Z89" s="50"/>
      <c r="AA89" s="50"/>
      <c r="AB89" s="50"/>
      <c r="AC89" s="50"/>
      <c r="AD89" s="50"/>
      <c r="AE89" s="50"/>
    </row>
    <row r="90" spans="1:31" outlineLevel="1" x14ac:dyDescent="0.25">
      <c r="A90" s="480">
        <f>ROW()</f>
        <v>90</v>
      </c>
      <c r="B90" s="150" t="s">
        <v>1521</v>
      </c>
      <c r="C90" s="151">
        <v>2025</v>
      </c>
      <c r="D90" s="153">
        <v>151259</v>
      </c>
      <c r="E90" s="1399"/>
      <c r="F90" s="1399"/>
      <c r="G90" s="697">
        <f t="shared" si="18"/>
        <v>1</v>
      </c>
      <c r="H90" s="697">
        <f t="shared" si="18"/>
        <v>1</v>
      </c>
      <c r="I90" s="697">
        <f t="shared" si="18"/>
        <v>1</v>
      </c>
      <c r="J90" s="697">
        <f t="shared" si="18"/>
        <v>1</v>
      </c>
      <c r="K90" s="697">
        <f t="shared" si="18"/>
        <v>1</v>
      </c>
      <c r="L90" s="697">
        <f t="shared" si="18"/>
        <v>1</v>
      </c>
      <c r="M90" s="697">
        <f t="shared" si="18"/>
        <v>1</v>
      </c>
      <c r="N90" s="54"/>
      <c r="O90" s="343"/>
      <c r="Q90" s="50"/>
      <c r="R90" s="50"/>
      <c r="S90" s="50"/>
      <c r="T90" s="50"/>
      <c r="U90" s="50"/>
      <c r="V90" s="50"/>
      <c r="W90" s="50"/>
      <c r="X90" s="50"/>
      <c r="Y90" s="50"/>
      <c r="Z90" s="50"/>
      <c r="AA90" s="50"/>
      <c r="AB90" s="50"/>
      <c r="AC90" s="50"/>
      <c r="AD90" s="50"/>
      <c r="AE90" s="50"/>
    </row>
    <row r="91" spans="1:31" outlineLevel="1" x14ac:dyDescent="0.25">
      <c r="A91" s="480">
        <f>ROW()</f>
        <v>91</v>
      </c>
      <c r="B91" s="150" t="s">
        <v>1523</v>
      </c>
      <c r="C91" s="151">
        <v>2025</v>
      </c>
      <c r="D91" s="153">
        <v>69499.08</v>
      </c>
      <c r="E91" s="1399"/>
      <c r="F91" s="1399"/>
      <c r="G91" s="697">
        <v>8</v>
      </c>
      <c r="H91" s="697">
        <v>8</v>
      </c>
      <c r="I91" s="697">
        <v>8</v>
      </c>
      <c r="J91" s="697">
        <v>8</v>
      </c>
      <c r="K91" s="697">
        <v>8</v>
      </c>
      <c r="L91" s="697">
        <v>8</v>
      </c>
      <c r="M91" s="697">
        <v>8</v>
      </c>
      <c r="N91" s="54"/>
      <c r="O91" s="343"/>
      <c r="Q91" s="50"/>
      <c r="R91" s="50"/>
      <c r="S91" s="50"/>
      <c r="T91" s="50"/>
      <c r="U91" s="50"/>
      <c r="V91" s="50"/>
      <c r="W91" s="50"/>
      <c r="X91" s="50"/>
      <c r="Y91" s="50"/>
      <c r="Z91" s="50"/>
      <c r="AA91" s="50"/>
      <c r="AB91" s="50"/>
      <c r="AC91" s="50"/>
      <c r="AD91" s="50"/>
      <c r="AE91" s="50"/>
    </row>
    <row r="92" spans="1:31" outlineLevel="1" x14ac:dyDescent="0.25">
      <c r="A92" s="480">
        <f>ROW()</f>
        <v>92</v>
      </c>
      <c r="B92" s="150" t="s">
        <v>1524</v>
      </c>
      <c r="C92" s="151">
        <v>2025</v>
      </c>
      <c r="D92" s="153">
        <v>73230.387272727268</v>
      </c>
      <c r="E92" s="1399"/>
      <c r="F92" s="1399"/>
      <c r="G92" s="697">
        <v>11</v>
      </c>
      <c r="H92" s="697">
        <v>11</v>
      </c>
      <c r="I92" s="697">
        <v>11</v>
      </c>
      <c r="J92" s="697">
        <v>11</v>
      </c>
      <c r="K92" s="697">
        <v>11</v>
      </c>
      <c r="L92" s="697">
        <v>11</v>
      </c>
      <c r="M92" s="697">
        <v>11</v>
      </c>
      <c r="N92" s="54"/>
      <c r="O92" s="343"/>
      <c r="Q92" s="50"/>
      <c r="R92" s="50"/>
      <c r="S92" s="50"/>
      <c r="T92" s="50"/>
      <c r="U92" s="50"/>
      <c r="V92" s="50"/>
      <c r="W92" s="50"/>
      <c r="X92" s="50"/>
      <c r="Y92" s="50"/>
      <c r="Z92" s="50"/>
      <c r="AA92" s="50"/>
      <c r="AB92" s="50"/>
      <c r="AC92" s="50"/>
      <c r="AD92" s="50"/>
      <c r="AE92" s="50"/>
    </row>
    <row r="93" spans="1:31" outlineLevel="1" x14ac:dyDescent="0.25">
      <c r="A93" s="480">
        <f>ROW()</f>
        <v>93</v>
      </c>
      <c r="B93" s="307"/>
      <c r="C93" s="307"/>
      <c r="D93" s="1416"/>
      <c r="E93" s="1416"/>
      <c r="F93" s="1416"/>
      <c r="G93" s="140"/>
      <c r="H93" s="140"/>
      <c r="I93" s="140"/>
      <c r="J93" s="140"/>
      <c r="K93" s="140"/>
      <c r="L93" s="140"/>
      <c r="M93" s="140"/>
      <c r="N93" s="54"/>
      <c r="O93" s="343"/>
      <c r="Q93" s="50"/>
      <c r="R93" s="50"/>
      <c r="S93" s="50"/>
      <c r="T93" s="50"/>
      <c r="U93" s="50"/>
      <c r="V93" s="50"/>
      <c r="W93" s="50"/>
      <c r="X93" s="50"/>
      <c r="Y93" s="50"/>
      <c r="Z93" s="50"/>
      <c r="AA93" s="50"/>
      <c r="AB93" s="50"/>
      <c r="AC93" s="50"/>
      <c r="AD93" s="50"/>
      <c r="AE93" s="50"/>
    </row>
    <row r="94" spans="1:31" outlineLevel="1" x14ac:dyDescent="0.25">
      <c r="A94" s="480">
        <f>ROW()</f>
        <v>94</v>
      </c>
      <c r="B94" s="1404" t="s">
        <v>643</v>
      </c>
      <c r="C94" s="1405"/>
      <c r="D94" s="1417"/>
      <c r="E94" s="1417"/>
      <c r="F94" s="1417"/>
      <c r="G94" s="1421">
        <f t="shared" ref="G94:M94" si="19">SUM(G89:G92)+G86</f>
        <v>30</v>
      </c>
      <c r="H94" s="1421">
        <f t="shared" si="19"/>
        <v>30</v>
      </c>
      <c r="I94" s="1421">
        <f t="shared" si="19"/>
        <v>30</v>
      </c>
      <c r="J94" s="1421">
        <f t="shared" si="19"/>
        <v>30</v>
      </c>
      <c r="K94" s="1421">
        <f t="shared" si="19"/>
        <v>30</v>
      </c>
      <c r="L94" s="1421">
        <f t="shared" si="19"/>
        <v>30</v>
      </c>
      <c r="M94" s="1421">
        <f t="shared" si="19"/>
        <v>30</v>
      </c>
      <c r="N94" s="54"/>
      <c r="O94" s="343"/>
      <c r="Q94" s="50"/>
      <c r="R94" s="50"/>
      <c r="S94" s="50"/>
      <c r="T94" s="50"/>
      <c r="U94" s="50"/>
      <c r="V94" s="50"/>
      <c r="W94" s="50"/>
      <c r="X94" s="50"/>
      <c r="Y94" s="50"/>
      <c r="Z94" s="50"/>
      <c r="AA94" s="50"/>
      <c r="AB94" s="50"/>
      <c r="AC94" s="50"/>
      <c r="AD94" s="50"/>
      <c r="AE94" s="50"/>
    </row>
    <row r="95" spans="1:31" outlineLevel="1" x14ac:dyDescent="0.25">
      <c r="A95" s="480">
        <f>ROW()</f>
        <v>95</v>
      </c>
      <c r="B95" s="1408"/>
      <c r="C95" s="1408"/>
      <c r="D95" s="1418"/>
      <c r="E95" s="1418"/>
      <c r="F95" s="1418"/>
      <c r="G95" s="1408"/>
      <c r="H95" s="1408"/>
      <c r="I95" s="1408"/>
      <c r="J95" s="1411"/>
      <c r="K95" s="1411"/>
      <c r="L95" s="1411"/>
      <c r="M95" s="1411"/>
      <c r="N95" s="54"/>
      <c r="O95" s="343"/>
      <c r="Q95" s="50"/>
      <c r="R95" s="50"/>
      <c r="S95" s="50"/>
      <c r="T95" s="50"/>
      <c r="U95" s="50"/>
      <c r="V95" s="50"/>
      <c r="W95" s="50"/>
      <c r="X95" s="50"/>
      <c r="Y95" s="50"/>
      <c r="Z95" s="50"/>
      <c r="AA95" s="50"/>
      <c r="AB95" s="50"/>
      <c r="AC95" s="50"/>
      <c r="AD95" s="50"/>
      <c r="AE95" s="50"/>
    </row>
    <row r="96" spans="1:31" outlineLevel="1" x14ac:dyDescent="0.25">
      <c r="A96" s="480">
        <f>ROW()</f>
        <v>96</v>
      </c>
      <c r="B96" s="1365" t="s">
        <v>644</v>
      </c>
      <c r="C96" s="1412"/>
      <c r="D96" s="1413"/>
      <c r="E96" s="1413"/>
      <c r="F96" s="1413"/>
      <c r="G96" s="1412"/>
      <c r="H96" s="1412"/>
      <c r="I96" s="1412"/>
      <c r="J96" s="1415"/>
      <c r="K96" s="1415"/>
      <c r="L96" s="1415"/>
      <c r="M96" s="1415"/>
      <c r="N96" s="54"/>
      <c r="O96" s="343"/>
      <c r="Q96" s="50"/>
      <c r="R96" s="50"/>
      <c r="S96" s="50"/>
      <c r="T96" s="50"/>
      <c r="U96" s="50"/>
      <c r="V96" s="50"/>
      <c r="W96" s="50"/>
      <c r="X96" s="50"/>
      <c r="Y96" s="50"/>
      <c r="Z96" s="50"/>
      <c r="AA96" s="50"/>
      <c r="AB96" s="50"/>
      <c r="AC96" s="50"/>
      <c r="AD96" s="50"/>
      <c r="AE96" s="50"/>
    </row>
    <row r="97" spans="1:31" outlineLevel="1" x14ac:dyDescent="0.25">
      <c r="A97" s="480">
        <f>ROW()</f>
        <v>97</v>
      </c>
      <c r="B97" s="188" t="s">
        <v>1507</v>
      </c>
      <c r="C97" s="189">
        <v>2025</v>
      </c>
      <c r="D97" s="190">
        <v>48754.719999999987</v>
      </c>
      <c r="E97" s="1400"/>
      <c r="F97" s="1400"/>
      <c r="G97" s="698">
        <v>14</v>
      </c>
      <c r="H97" s="698">
        <v>14</v>
      </c>
      <c r="I97" s="698">
        <v>14</v>
      </c>
      <c r="J97" s="698">
        <v>14</v>
      </c>
      <c r="K97" s="698">
        <v>14</v>
      </c>
      <c r="L97" s="698">
        <v>14</v>
      </c>
      <c r="M97" s="698">
        <v>14</v>
      </c>
      <c r="N97" s="54"/>
      <c r="O97" s="343"/>
      <c r="Q97" s="50"/>
      <c r="R97" s="50"/>
      <c r="S97" s="50"/>
      <c r="T97" s="50"/>
      <c r="U97" s="50"/>
      <c r="V97" s="50"/>
      <c r="W97" s="50"/>
      <c r="X97" s="50"/>
      <c r="Y97" s="50"/>
      <c r="Z97" s="50"/>
      <c r="AA97" s="50"/>
      <c r="AB97" s="50"/>
      <c r="AC97" s="50"/>
      <c r="AD97" s="50"/>
      <c r="AE97" s="50"/>
    </row>
    <row r="98" spans="1:31" outlineLevel="1" x14ac:dyDescent="0.25">
      <c r="A98" s="480">
        <f>ROW()</f>
        <v>98</v>
      </c>
      <c r="B98" s="145" t="s">
        <v>1508</v>
      </c>
      <c r="C98" s="146">
        <v>2025</v>
      </c>
      <c r="D98" s="154">
        <v>112190.94500000001</v>
      </c>
      <c r="E98" s="1399"/>
      <c r="F98" s="1399"/>
      <c r="G98" s="697">
        <v>2</v>
      </c>
      <c r="H98" s="697">
        <v>2</v>
      </c>
      <c r="I98" s="697">
        <v>2</v>
      </c>
      <c r="J98" s="697">
        <v>2</v>
      </c>
      <c r="K98" s="697">
        <v>2</v>
      </c>
      <c r="L98" s="697">
        <v>2</v>
      </c>
      <c r="M98" s="697">
        <v>2</v>
      </c>
      <c r="N98" s="54"/>
      <c r="O98" s="343"/>
      <c r="Q98" s="50"/>
      <c r="R98" s="50"/>
      <c r="S98" s="50"/>
      <c r="T98" s="50"/>
      <c r="U98" s="50"/>
      <c r="V98" s="50"/>
      <c r="W98" s="50"/>
      <c r="X98" s="50"/>
      <c r="Y98" s="50"/>
      <c r="Z98" s="50"/>
      <c r="AA98" s="50"/>
      <c r="AB98" s="50"/>
      <c r="AC98" s="50"/>
      <c r="AD98" s="50"/>
      <c r="AE98" s="50"/>
    </row>
    <row r="99" spans="1:31" outlineLevel="1" x14ac:dyDescent="0.25">
      <c r="A99" s="480">
        <f>ROW()</f>
        <v>99</v>
      </c>
      <c r="B99" s="145" t="s">
        <v>1509</v>
      </c>
      <c r="C99" s="146">
        <v>2025</v>
      </c>
      <c r="D99" s="154">
        <v>89480.5</v>
      </c>
      <c r="E99" s="1399"/>
      <c r="F99" s="1399"/>
      <c r="G99" s="697">
        <v>8</v>
      </c>
      <c r="H99" s="697">
        <v>8</v>
      </c>
      <c r="I99" s="697">
        <v>8</v>
      </c>
      <c r="J99" s="697">
        <v>8</v>
      </c>
      <c r="K99" s="697">
        <v>8</v>
      </c>
      <c r="L99" s="697">
        <v>8</v>
      </c>
      <c r="M99" s="697">
        <v>8</v>
      </c>
      <c r="N99" s="54"/>
      <c r="O99" s="343"/>
      <c r="Q99" s="50"/>
      <c r="R99" s="50"/>
      <c r="S99" s="50"/>
      <c r="T99" s="50"/>
      <c r="U99" s="50"/>
      <c r="V99" s="50"/>
      <c r="W99" s="50"/>
      <c r="X99" s="50"/>
      <c r="Y99" s="50"/>
      <c r="Z99" s="50"/>
      <c r="AA99" s="50"/>
      <c r="AB99" s="50"/>
      <c r="AC99" s="50"/>
      <c r="AD99" s="50"/>
      <c r="AE99" s="50"/>
    </row>
    <row r="100" spans="1:31" outlineLevel="1" x14ac:dyDescent="0.25">
      <c r="A100" s="480">
        <f>ROW()</f>
        <v>100</v>
      </c>
      <c r="B100" s="145" t="s">
        <v>1510</v>
      </c>
      <c r="C100" s="146">
        <v>2025</v>
      </c>
      <c r="D100" s="154">
        <v>110151</v>
      </c>
      <c r="E100" s="1399"/>
      <c r="F100" s="1399"/>
      <c r="G100" s="697">
        <v>1</v>
      </c>
      <c r="H100" s="697">
        <v>1</v>
      </c>
      <c r="I100" s="697">
        <v>1</v>
      </c>
      <c r="J100" s="697">
        <v>1</v>
      </c>
      <c r="K100" s="697">
        <v>1</v>
      </c>
      <c r="L100" s="697">
        <v>1</v>
      </c>
      <c r="M100" s="697">
        <v>1</v>
      </c>
      <c r="N100" s="54"/>
      <c r="O100" s="343"/>
      <c r="Q100" s="50"/>
      <c r="R100" s="50"/>
      <c r="S100" s="50"/>
      <c r="T100" s="50"/>
      <c r="U100" s="50"/>
      <c r="V100" s="50"/>
      <c r="W100" s="50"/>
      <c r="X100" s="50"/>
      <c r="Y100" s="50"/>
      <c r="Z100" s="50"/>
      <c r="AA100" s="50"/>
      <c r="AB100" s="50"/>
      <c r="AC100" s="50"/>
      <c r="AD100" s="50"/>
      <c r="AE100" s="50"/>
    </row>
    <row r="101" spans="1:31" outlineLevel="1" x14ac:dyDescent="0.25">
      <c r="A101" s="480">
        <f>ROW()</f>
        <v>101</v>
      </c>
      <c r="B101" s="145" t="s">
        <v>1511</v>
      </c>
      <c r="C101" s="146">
        <v>2025</v>
      </c>
      <c r="D101" s="154">
        <v>103189</v>
      </c>
      <c r="E101" s="1399"/>
      <c r="F101" s="1399"/>
      <c r="G101" s="697">
        <f t="shared" ref="G101:M105" si="20">IF($C101&lt;=G$10,1,0)</f>
        <v>1</v>
      </c>
      <c r="H101" s="697">
        <f t="shared" si="20"/>
        <v>1</v>
      </c>
      <c r="I101" s="697">
        <f t="shared" si="20"/>
        <v>1</v>
      </c>
      <c r="J101" s="697">
        <f t="shared" si="20"/>
        <v>1</v>
      </c>
      <c r="K101" s="697">
        <f t="shared" si="20"/>
        <v>1</v>
      </c>
      <c r="L101" s="697">
        <f t="shared" si="20"/>
        <v>1</v>
      </c>
      <c r="M101" s="697">
        <f t="shared" si="20"/>
        <v>1</v>
      </c>
      <c r="N101" s="54"/>
      <c r="O101" s="343"/>
      <c r="Q101" s="50"/>
      <c r="R101" s="50"/>
      <c r="S101" s="50"/>
      <c r="T101" s="50"/>
      <c r="U101" s="50"/>
      <c r="V101" s="50"/>
      <c r="W101" s="50"/>
      <c r="X101" s="50"/>
      <c r="Y101" s="50"/>
      <c r="Z101" s="50"/>
      <c r="AA101" s="50"/>
      <c r="AB101" s="50"/>
      <c r="AC101" s="50"/>
      <c r="AD101" s="50"/>
      <c r="AE101" s="50"/>
    </row>
    <row r="102" spans="1:31" outlineLevel="1" x14ac:dyDescent="0.25">
      <c r="A102" s="480">
        <f>ROW()</f>
        <v>102</v>
      </c>
      <c r="B102" s="145" t="s">
        <v>1512</v>
      </c>
      <c r="C102" s="146">
        <v>2025</v>
      </c>
      <c r="D102" s="154">
        <v>51524.479999999996</v>
      </c>
      <c r="E102" s="1399"/>
      <c r="F102" s="1399"/>
      <c r="G102" s="697">
        <f t="shared" si="20"/>
        <v>1</v>
      </c>
      <c r="H102" s="697">
        <f t="shared" si="20"/>
        <v>1</v>
      </c>
      <c r="I102" s="697">
        <f t="shared" si="20"/>
        <v>1</v>
      </c>
      <c r="J102" s="697">
        <f t="shared" si="20"/>
        <v>1</v>
      </c>
      <c r="K102" s="697">
        <f t="shared" si="20"/>
        <v>1</v>
      </c>
      <c r="L102" s="697">
        <f t="shared" si="20"/>
        <v>1</v>
      </c>
      <c r="M102" s="697">
        <f t="shared" si="20"/>
        <v>1</v>
      </c>
      <c r="N102" s="54"/>
      <c r="O102" s="343"/>
      <c r="Q102" s="50"/>
      <c r="R102" s="50"/>
      <c r="S102" s="50"/>
      <c r="T102" s="50"/>
      <c r="U102" s="50"/>
      <c r="V102" s="50"/>
      <c r="W102" s="50"/>
      <c r="X102" s="50"/>
      <c r="Y102" s="50"/>
      <c r="Z102" s="50"/>
      <c r="AA102" s="50"/>
      <c r="AB102" s="50"/>
      <c r="AC102" s="50"/>
      <c r="AD102" s="50"/>
      <c r="AE102" s="50"/>
    </row>
    <row r="103" spans="1:31" outlineLevel="1" x14ac:dyDescent="0.25">
      <c r="A103" s="480">
        <f>ROW()</f>
        <v>103</v>
      </c>
      <c r="B103" s="145" t="s">
        <v>645</v>
      </c>
      <c r="C103" s="146" t="s">
        <v>640</v>
      </c>
      <c r="D103" s="154">
        <v>0</v>
      </c>
      <c r="E103" s="1399"/>
      <c r="F103" s="1399"/>
      <c r="G103" s="697">
        <f t="shared" si="20"/>
        <v>0</v>
      </c>
      <c r="H103" s="697">
        <f t="shared" si="20"/>
        <v>0</v>
      </c>
      <c r="I103" s="697">
        <f t="shared" si="20"/>
        <v>0</v>
      </c>
      <c r="J103" s="697">
        <f t="shared" si="20"/>
        <v>0</v>
      </c>
      <c r="K103" s="697">
        <f t="shared" si="20"/>
        <v>0</v>
      </c>
      <c r="L103" s="697">
        <f t="shared" si="20"/>
        <v>0</v>
      </c>
      <c r="M103" s="697">
        <f t="shared" si="20"/>
        <v>0</v>
      </c>
      <c r="N103" s="54"/>
      <c r="O103" s="343"/>
      <c r="Q103" s="50"/>
      <c r="R103" s="50"/>
      <c r="S103" s="50"/>
      <c r="T103" s="50"/>
      <c r="U103" s="50"/>
      <c r="V103" s="50"/>
      <c r="W103" s="50"/>
      <c r="X103" s="50"/>
      <c r="Y103" s="50"/>
      <c r="Z103" s="50"/>
      <c r="AA103" s="50"/>
      <c r="AB103" s="50"/>
      <c r="AC103" s="50"/>
      <c r="AD103" s="50"/>
      <c r="AE103" s="50"/>
    </row>
    <row r="104" spans="1:31" outlineLevel="1" x14ac:dyDescent="0.25">
      <c r="A104" s="480">
        <f>ROW()</f>
        <v>104</v>
      </c>
      <c r="B104" s="145" t="s">
        <v>645</v>
      </c>
      <c r="C104" s="146" t="s">
        <v>640</v>
      </c>
      <c r="D104" s="154">
        <v>0</v>
      </c>
      <c r="E104" s="1399"/>
      <c r="F104" s="1399"/>
      <c r="G104" s="697">
        <f t="shared" si="20"/>
        <v>0</v>
      </c>
      <c r="H104" s="697">
        <f t="shared" si="20"/>
        <v>0</v>
      </c>
      <c r="I104" s="697">
        <f t="shared" si="20"/>
        <v>0</v>
      </c>
      <c r="J104" s="697">
        <f t="shared" si="20"/>
        <v>0</v>
      </c>
      <c r="K104" s="697">
        <f t="shared" si="20"/>
        <v>0</v>
      </c>
      <c r="L104" s="697">
        <f t="shared" si="20"/>
        <v>0</v>
      </c>
      <c r="M104" s="697">
        <f t="shared" si="20"/>
        <v>0</v>
      </c>
      <c r="N104" s="54"/>
      <c r="O104" s="343"/>
      <c r="Q104" s="50"/>
      <c r="R104" s="50"/>
      <c r="S104" s="50"/>
      <c r="T104" s="50"/>
      <c r="U104" s="50"/>
      <c r="V104" s="50"/>
      <c r="W104" s="50"/>
      <c r="X104" s="50"/>
      <c r="Y104" s="50"/>
      <c r="Z104" s="50"/>
      <c r="AA104" s="50"/>
      <c r="AB104" s="50"/>
      <c r="AC104" s="50"/>
      <c r="AD104" s="50"/>
      <c r="AE104" s="50"/>
    </row>
    <row r="105" spans="1:31" outlineLevel="1" x14ac:dyDescent="0.25">
      <c r="A105" s="480">
        <f>ROW()</f>
        <v>105</v>
      </c>
      <c r="B105" s="145" t="s">
        <v>645</v>
      </c>
      <c r="C105" s="146" t="s">
        <v>640</v>
      </c>
      <c r="D105" s="154">
        <v>0</v>
      </c>
      <c r="E105" s="1399"/>
      <c r="F105" s="1399"/>
      <c r="G105" s="699">
        <f t="shared" si="20"/>
        <v>0</v>
      </c>
      <c r="H105" s="699">
        <f t="shared" si="20"/>
        <v>0</v>
      </c>
      <c r="I105" s="699">
        <f t="shared" si="20"/>
        <v>0</v>
      </c>
      <c r="J105" s="699">
        <f t="shared" si="20"/>
        <v>0</v>
      </c>
      <c r="K105" s="699">
        <f t="shared" si="20"/>
        <v>0</v>
      </c>
      <c r="L105" s="699">
        <f t="shared" si="20"/>
        <v>0</v>
      </c>
      <c r="M105" s="699">
        <f t="shared" si="20"/>
        <v>0</v>
      </c>
      <c r="N105" s="54"/>
      <c r="O105" s="343"/>
      <c r="Q105" s="50"/>
      <c r="R105" s="50"/>
      <c r="S105" s="50"/>
      <c r="T105" s="50"/>
      <c r="U105" s="50"/>
      <c r="V105" s="50"/>
      <c r="W105" s="50"/>
      <c r="X105" s="50"/>
      <c r="Y105" s="50"/>
      <c r="Z105" s="50"/>
      <c r="AA105" s="50"/>
      <c r="AB105" s="50"/>
      <c r="AC105" s="50"/>
      <c r="AD105" s="50"/>
      <c r="AE105" s="50"/>
    </row>
    <row r="106" spans="1:31" outlineLevel="1" x14ac:dyDescent="0.25">
      <c r="A106" s="480">
        <f>ROW()</f>
        <v>106</v>
      </c>
      <c r="B106" s="1404" t="s">
        <v>646</v>
      </c>
      <c r="C106" s="1404"/>
      <c r="D106" s="1404"/>
      <c r="E106" s="1404"/>
      <c r="F106" s="1404"/>
      <c r="G106" s="1419">
        <f t="shared" ref="G106:M106" si="21">SUM(G97:G105)</f>
        <v>27</v>
      </c>
      <c r="H106" s="1420">
        <f t="shared" si="21"/>
        <v>27</v>
      </c>
      <c r="I106" s="1421">
        <f t="shared" si="21"/>
        <v>27</v>
      </c>
      <c r="J106" s="1421">
        <f t="shared" si="21"/>
        <v>27</v>
      </c>
      <c r="K106" s="1421">
        <f t="shared" si="21"/>
        <v>27</v>
      </c>
      <c r="L106" s="1421">
        <f t="shared" si="21"/>
        <v>27</v>
      </c>
      <c r="M106" s="1421">
        <f t="shared" si="21"/>
        <v>27</v>
      </c>
      <c r="N106" s="54"/>
      <c r="O106" s="343"/>
      <c r="Q106" s="50"/>
      <c r="R106" s="50"/>
      <c r="S106" s="50"/>
      <c r="T106" s="50"/>
      <c r="U106" s="50"/>
      <c r="V106" s="50"/>
      <c r="W106" s="50"/>
      <c r="X106" s="50"/>
      <c r="Y106" s="50"/>
      <c r="Z106" s="50"/>
      <c r="AA106" s="50"/>
      <c r="AB106" s="50"/>
      <c r="AC106" s="50"/>
      <c r="AD106" s="50"/>
      <c r="AE106" s="50"/>
    </row>
    <row r="107" spans="1:31" outlineLevel="1" x14ac:dyDescent="0.25">
      <c r="A107" s="480"/>
      <c r="B107" s="307" t="s">
        <v>647</v>
      </c>
      <c r="C107" s="1278"/>
      <c r="D107" s="1278"/>
      <c r="E107" s="1278"/>
      <c r="F107" s="1278"/>
      <c r="G107" s="1577">
        <f>+' Enrol &amp; Rev'!F51</f>
        <v>0</v>
      </c>
      <c r="H107" s="1577">
        <f>+' Enrol &amp; Rev'!G51</f>
        <v>317.84274000000005</v>
      </c>
      <c r="I107" s="1577">
        <f>+' Enrol &amp; Rev'!H51</f>
        <v>317.84274000000005</v>
      </c>
      <c r="J107" s="1577">
        <f>+' Enrol &amp; Rev'!I51</f>
        <v>317.84274000000005</v>
      </c>
      <c r="K107" s="1577">
        <f>+' Enrol &amp; Rev'!J51</f>
        <v>317.84274000000005</v>
      </c>
      <c r="L107" s="1577">
        <f>+' Enrol &amp; Rev'!K51</f>
        <v>317.84274000000005</v>
      </c>
      <c r="M107" s="1577">
        <f>+' Enrol &amp; Rev'!L51</f>
        <v>317.84274000000005</v>
      </c>
      <c r="N107" s="54"/>
      <c r="O107" s="343"/>
      <c r="Q107" s="50"/>
      <c r="R107" s="50"/>
      <c r="S107" s="50"/>
      <c r="T107" s="50"/>
      <c r="U107" s="50"/>
      <c r="V107" s="50"/>
      <c r="W107" s="50"/>
      <c r="X107" s="50"/>
      <c r="Y107" s="50"/>
      <c r="Z107" s="50"/>
      <c r="AA107" s="50"/>
      <c r="AB107" s="50"/>
      <c r="AC107" s="50"/>
      <c r="AD107" s="50"/>
      <c r="AE107" s="50"/>
    </row>
    <row r="108" spans="1:31" outlineLevel="1" x14ac:dyDescent="0.25">
      <c r="A108" s="480"/>
      <c r="B108" s="307" t="s">
        <v>648</v>
      </c>
      <c r="C108" s="1278"/>
      <c r="D108" s="1278"/>
      <c r="E108" s="1278"/>
      <c r="F108" s="1278"/>
      <c r="G108" s="1278"/>
      <c r="H108" s="1577">
        <f>IFERROR(H107/H106,0)</f>
        <v>11.771953333333336</v>
      </c>
      <c r="I108" s="1577">
        <f t="shared" ref="I108:M108" si="22">IFERROR(I107/I106,0)</f>
        <v>11.771953333333336</v>
      </c>
      <c r="J108" s="1577">
        <f t="shared" si="22"/>
        <v>11.771953333333336</v>
      </c>
      <c r="K108" s="1577">
        <f t="shared" si="22"/>
        <v>11.771953333333336</v>
      </c>
      <c r="L108" s="1577">
        <f t="shared" si="22"/>
        <v>11.771953333333336</v>
      </c>
      <c r="M108" s="1577">
        <f t="shared" si="22"/>
        <v>11.771953333333336</v>
      </c>
      <c r="N108" s="54"/>
      <c r="O108" s="343"/>
      <c r="Q108" s="50"/>
      <c r="R108" s="50"/>
      <c r="S108" s="50"/>
      <c r="T108" s="50"/>
      <c r="U108" s="50"/>
      <c r="V108" s="50"/>
      <c r="W108" s="50"/>
      <c r="X108" s="50"/>
      <c r="Y108" s="50"/>
      <c r="Z108" s="50"/>
      <c r="AA108" s="50"/>
      <c r="AB108" s="50"/>
      <c r="AC108" s="50"/>
      <c r="AD108" s="50"/>
      <c r="AE108" s="50"/>
    </row>
    <row r="109" spans="1:31" outlineLevel="1" x14ac:dyDescent="0.25">
      <c r="A109" s="480">
        <f>ROW()</f>
        <v>109</v>
      </c>
      <c r="B109" s="1422"/>
      <c r="C109" s="1422"/>
      <c r="D109" s="1422"/>
      <c r="E109" s="1422"/>
      <c r="F109" s="1422"/>
      <c r="G109" s="1410"/>
      <c r="H109" s="1410"/>
      <c r="I109" s="1423"/>
      <c r="J109" s="1423"/>
      <c r="K109" s="1423"/>
      <c r="L109" s="1423"/>
      <c r="M109" s="1423"/>
      <c r="N109" s="54"/>
      <c r="O109" s="343"/>
      <c r="Q109" s="50"/>
      <c r="R109" s="50"/>
      <c r="S109" s="50"/>
      <c r="T109" s="50"/>
      <c r="U109" s="50"/>
      <c r="V109" s="50"/>
      <c r="W109" s="50"/>
      <c r="X109" s="50"/>
      <c r="Y109" s="50"/>
      <c r="Z109" s="50"/>
      <c r="AA109" s="50"/>
      <c r="AB109" s="50"/>
      <c r="AC109" s="50"/>
      <c r="AD109" s="50"/>
      <c r="AE109" s="50"/>
    </row>
    <row r="110" spans="1:31" ht="15.75" outlineLevel="1" x14ac:dyDescent="0.25">
      <c r="A110" s="480">
        <f>ROW()</f>
        <v>110</v>
      </c>
      <c r="B110" s="1424" t="s">
        <v>649</v>
      </c>
      <c r="C110" s="1412"/>
      <c r="D110" s="1413"/>
      <c r="E110" s="1413"/>
      <c r="F110" s="1413"/>
      <c r="G110" s="1412"/>
      <c r="H110" s="1412"/>
      <c r="I110" s="1412"/>
      <c r="J110" s="1415"/>
      <c r="K110" s="1415"/>
      <c r="L110" s="1415"/>
      <c r="M110" s="1415"/>
      <c r="N110" s="54"/>
      <c r="O110" s="343"/>
      <c r="Q110" s="50"/>
      <c r="R110" s="50"/>
      <c r="S110" s="50"/>
      <c r="T110" s="50"/>
      <c r="U110" s="50"/>
      <c r="V110" s="50"/>
      <c r="W110" s="50"/>
      <c r="X110" s="50"/>
      <c r="Y110" s="50"/>
      <c r="Z110" s="50"/>
      <c r="AA110" s="50"/>
      <c r="AB110" s="50"/>
      <c r="AC110" s="50"/>
      <c r="AD110" s="50"/>
      <c r="AE110" s="50"/>
    </row>
    <row r="111" spans="1:31" outlineLevel="1" x14ac:dyDescent="0.25">
      <c r="A111" s="480">
        <f>ROW()</f>
        <v>111</v>
      </c>
      <c r="B111" s="188" t="s">
        <v>1513</v>
      </c>
      <c r="C111" s="189">
        <v>2025</v>
      </c>
      <c r="D111" s="190">
        <v>137067</v>
      </c>
      <c r="E111" s="1400"/>
      <c r="F111" s="1400"/>
      <c r="G111" s="698">
        <f t="shared" ref="G111:M119" si="23">IF($C111&lt;=G$10,1,0)</f>
        <v>1</v>
      </c>
      <c r="H111" s="698">
        <f t="shared" si="23"/>
        <v>1</v>
      </c>
      <c r="I111" s="698">
        <f t="shared" si="23"/>
        <v>1</v>
      </c>
      <c r="J111" s="698">
        <f t="shared" si="23"/>
        <v>1</v>
      </c>
      <c r="K111" s="698">
        <f t="shared" si="23"/>
        <v>1</v>
      </c>
      <c r="L111" s="698">
        <f t="shared" si="23"/>
        <v>1</v>
      </c>
      <c r="M111" s="698">
        <f t="shared" si="23"/>
        <v>1</v>
      </c>
      <c r="N111" s="54"/>
      <c r="O111" s="343"/>
      <c r="Q111" s="50"/>
      <c r="R111" s="50"/>
      <c r="S111" s="50"/>
      <c r="T111" s="50"/>
      <c r="U111" s="50"/>
      <c r="V111" s="50"/>
      <c r="W111" s="50"/>
      <c r="X111" s="50"/>
      <c r="Y111" s="50"/>
      <c r="Z111" s="50"/>
      <c r="AA111" s="50"/>
      <c r="AB111" s="50"/>
      <c r="AC111" s="50"/>
      <c r="AD111" s="50"/>
      <c r="AE111" s="50"/>
    </row>
    <row r="112" spans="1:31" outlineLevel="1" x14ac:dyDescent="0.25">
      <c r="A112" s="480">
        <f>ROW()</f>
        <v>112</v>
      </c>
      <c r="B112" s="188" t="s">
        <v>1514</v>
      </c>
      <c r="C112" s="146">
        <v>2025</v>
      </c>
      <c r="D112" s="154">
        <v>58464</v>
      </c>
      <c r="E112" s="1399"/>
      <c r="F112" s="1399"/>
      <c r="G112" s="697">
        <f t="shared" si="23"/>
        <v>1</v>
      </c>
      <c r="H112" s="697">
        <f t="shared" si="23"/>
        <v>1</v>
      </c>
      <c r="I112" s="697">
        <f t="shared" si="23"/>
        <v>1</v>
      </c>
      <c r="J112" s="697">
        <f t="shared" si="23"/>
        <v>1</v>
      </c>
      <c r="K112" s="697">
        <f t="shared" si="23"/>
        <v>1</v>
      </c>
      <c r="L112" s="697">
        <f t="shared" si="23"/>
        <v>1</v>
      </c>
      <c r="M112" s="697">
        <f t="shared" si="23"/>
        <v>1</v>
      </c>
      <c r="N112" s="54"/>
      <c r="O112" s="343"/>
      <c r="Q112" s="50"/>
      <c r="R112" s="50"/>
      <c r="S112" s="50"/>
      <c r="T112" s="50"/>
      <c r="U112" s="50"/>
      <c r="V112" s="50"/>
      <c r="W112" s="50"/>
      <c r="X112" s="50"/>
      <c r="Y112" s="50"/>
      <c r="Z112" s="50"/>
      <c r="AA112" s="50"/>
      <c r="AB112" s="50"/>
      <c r="AC112" s="50"/>
      <c r="AD112" s="50"/>
      <c r="AE112" s="50"/>
    </row>
    <row r="113" spans="1:31" outlineLevel="1" x14ac:dyDescent="0.25">
      <c r="A113" s="480">
        <f>ROW()</f>
        <v>113</v>
      </c>
      <c r="B113" s="188" t="s">
        <v>650</v>
      </c>
      <c r="C113" s="146">
        <v>2025</v>
      </c>
      <c r="D113" s="154">
        <v>66634</v>
      </c>
      <c r="E113" s="1399"/>
      <c r="F113" s="1399"/>
      <c r="G113" s="697">
        <f t="shared" si="23"/>
        <v>1</v>
      </c>
      <c r="H113" s="697">
        <f t="shared" si="23"/>
        <v>1</v>
      </c>
      <c r="I113" s="697">
        <f t="shared" si="23"/>
        <v>1</v>
      </c>
      <c r="J113" s="697">
        <f t="shared" si="23"/>
        <v>1</v>
      </c>
      <c r="K113" s="697">
        <f t="shared" si="23"/>
        <v>1</v>
      </c>
      <c r="L113" s="697">
        <f t="shared" si="23"/>
        <v>1</v>
      </c>
      <c r="M113" s="697">
        <f t="shared" si="23"/>
        <v>1</v>
      </c>
      <c r="N113" s="54"/>
      <c r="O113" s="343"/>
      <c r="Q113" s="50"/>
      <c r="R113" s="50"/>
      <c r="S113" s="50"/>
      <c r="T113" s="50"/>
      <c r="U113" s="50"/>
      <c r="V113" s="50"/>
      <c r="W113" s="50"/>
      <c r="X113" s="50"/>
      <c r="Y113" s="50"/>
      <c r="Z113" s="50"/>
      <c r="AA113" s="50"/>
      <c r="AB113" s="50"/>
      <c r="AC113" s="50"/>
      <c r="AD113" s="50"/>
      <c r="AE113" s="50"/>
    </row>
    <row r="114" spans="1:31" outlineLevel="1" x14ac:dyDescent="0.25">
      <c r="A114" s="480">
        <f>ROW()</f>
        <v>114</v>
      </c>
      <c r="B114" s="145" t="s">
        <v>1515</v>
      </c>
      <c r="C114" s="146">
        <v>2025</v>
      </c>
      <c r="D114" s="154">
        <v>117114</v>
      </c>
      <c r="E114" s="1399"/>
      <c r="F114" s="1399"/>
      <c r="G114" s="697">
        <f t="shared" si="23"/>
        <v>1</v>
      </c>
      <c r="H114" s="697">
        <f t="shared" si="23"/>
        <v>1</v>
      </c>
      <c r="I114" s="697">
        <f t="shared" si="23"/>
        <v>1</v>
      </c>
      <c r="J114" s="697">
        <f t="shared" si="23"/>
        <v>1</v>
      </c>
      <c r="K114" s="697">
        <f t="shared" si="23"/>
        <v>1</v>
      </c>
      <c r="L114" s="697">
        <f t="shared" si="23"/>
        <v>1</v>
      </c>
      <c r="M114" s="697">
        <f t="shared" si="23"/>
        <v>1</v>
      </c>
      <c r="N114" s="54"/>
      <c r="O114" s="343"/>
      <c r="Q114" s="50"/>
      <c r="R114" s="50"/>
      <c r="S114" s="50"/>
      <c r="T114" s="50"/>
      <c r="U114" s="50"/>
      <c r="V114" s="50"/>
      <c r="W114" s="50"/>
      <c r="X114" s="50"/>
      <c r="Y114" s="50"/>
      <c r="Z114" s="50"/>
      <c r="AA114" s="50"/>
      <c r="AB114" s="50"/>
      <c r="AC114" s="50"/>
      <c r="AD114" s="50"/>
      <c r="AE114" s="50"/>
    </row>
    <row r="115" spans="1:31" outlineLevel="1" x14ac:dyDescent="0.25">
      <c r="A115" s="480">
        <f>ROW()</f>
        <v>115</v>
      </c>
      <c r="B115" s="145" t="s">
        <v>1516</v>
      </c>
      <c r="C115" s="146" t="s">
        <v>640</v>
      </c>
      <c r="D115" s="154">
        <v>0</v>
      </c>
      <c r="E115" s="1399"/>
      <c r="F115" s="1399"/>
      <c r="G115" s="697">
        <f t="shared" si="23"/>
        <v>0</v>
      </c>
      <c r="H115" s="697">
        <f t="shared" si="23"/>
        <v>0</v>
      </c>
      <c r="I115" s="697">
        <f t="shared" si="23"/>
        <v>0</v>
      </c>
      <c r="J115" s="697">
        <f t="shared" si="23"/>
        <v>0</v>
      </c>
      <c r="K115" s="697">
        <f t="shared" si="23"/>
        <v>0</v>
      </c>
      <c r="L115" s="697">
        <f t="shared" si="23"/>
        <v>0</v>
      </c>
      <c r="M115" s="697">
        <f t="shared" si="23"/>
        <v>0</v>
      </c>
      <c r="N115" s="54"/>
      <c r="O115" s="343"/>
      <c r="Q115" s="50"/>
      <c r="R115" s="50"/>
      <c r="S115" s="50"/>
      <c r="T115" s="50"/>
      <c r="U115" s="50"/>
      <c r="V115" s="50"/>
      <c r="W115" s="50"/>
      <c r="X115" s="50"/>
      <c r="Y115" s="50"/>
      <c r="Z115" s="50"/>
      <c r="AA115" s="50"/>
      <c r="AB115" s="50"/>
      <c r="AC115" s="50"/>
      <c r="AD115" s="50"/>
      <c r="AE115" s="50"/>
    </row>
    <row r="116" spans="1:31" outlineLevel="1" x14ac:dyDescent="0.25">
      <c r="A116" s="480">
        <f>ROW()</f>
        <v>116</v>
      </c>
      <c r="B116" s="145"/>
      <c r="C116" s="146" t="s">
        <v>640</v>
      </c>
      <c r="D116" s="154">
        <v>0</v>
      </c>
      <c r="E116" s="1399"/>
      <c r="F116" s="1399"/>
      <c r="G116" s="697">
        <f t="shared" si="23"/>
        <v>0</v>
      </c>
      <c r="H116" s="697">
        <f t="shared" si="23"/>
        <v>0</v>
      </c>
      <c r="I116" s="697">
        <f t="shared" si="23"/>
        <v>0</v>
      </c>
      <c r="J116" s="697">
        <f t="shared" si="23"/>
        <v>0</v>
      </c>
      <c r="K116" s="697">
        <f t="shared" si="23"/>
        <v>0</v>
      </c>
      <c r="L116" s="697">
        <f t="shared" si="23"/>
        <v>0</v>
      </c>
      <c r="M116" s="697">
        <f t="shared" si="23"/>
        <v>0</v>
      </c>
      <c r="N116" s="54"/>
      <c r="O116" s="343"/>
      <c r="Q116" s="50"/>
      <c r="R116" s="50"/>
      <c r="S116" s="50"/>
      <c r="T116" s="50"/>
      <c r="U116" s="50"/>
      <c r="V116" s="50"/>
      <c r="W116" s="50"/>
      <c r="X116" s="50"/>
      <c r="Y116" s="50"/>
      <c r="Z116" s="50"/>
      <c r="AA116" s="50"/>
      <c r="AB116" s="50"/>
      <c r="AC116" s="50"/>
      <c r="AD116" s="50"/>
      <c r="AE116" s="50"/>
    </row>
    <row r="117" spans="1:31" outlineLevel="1" x14ac:dyDescent="0.25">
      <c r="A117" s="480">
        <f>ROW()</f>
        <v>117</v>
      </c>
      <c r="B117" s="145"/>
      <c r="C117" s="146" t="s">
        <v>640</v>
      </c>
      <c r="D117" s="154">
        <v>0</v>
      </c>
      <c r="E117" s="1399"/>
      <c r="F117" s="1399"/>
      <c r="G117" s="697">
        <f t="shared" si="23"/>
        <v>0</v>
      </c>
      <c r="H117" s="697">
        <f t="shared" si="23"/>
        <v>0</v>
      </c>
      <c r="I117" s="697">
        <f t="shared" si="23"/>
        <v>0</v>
      </c>
      <c r="J117" s="697">
        <f t="shared" si="23"/>
        <v>0</v>
      </c>
      <c r="K117" s="697">
        <f t="shared" si="23"/>
        <v>0</v>
      </c>
      <c r="L117" s="697">
        <f t="shared" si="23"/>
        <v>0</v>
      </c>
      <c r="M117" s="697">
        <f t="shared" si="23"/>
        <v>0</v>
      </c>
      <c r="N117" s="54"/>
      <c r="O117" s="343"/>
      <c r="Q117" s="50"/>
      <c r="R117" s="50"/>
      <c r="S117" s="50"/>
      <c r="T117" s="50"/>
      <c r="U117" s="50"/>
      <c r="V117" s="50"/>
      <c r="W117" s="50"/>
      <c r="X117" s="50"/>
      <c r="Y117" s="50"/>
      <c r="Z117" s="50"/>
      <c r="AA117" s="50"/>
      <c r="AB117" s="50"/>
      <c r="AC117" s="50"/>
      <c r="AD117" s="50"/>
      <c r="AE117" s="50"/>
    </row>
    <row r="118" spans="1:31" outlineLevel="1" x14ac:dyDescent="0.25">
      <c r="A118" s="480">
        <f>ROW()</f>
        <v>118</v>
      </c>
      <c r="B118" s="145"/>
      <c r="C118" s="146" t="s">
        <v>640</v>
      </c>
      <c r="D118" s="154">
        <v>0</v>
      </c>
      <c r="E118" s="1399"/>
      <c r="F118" s="1399"/>
      <c r="G118" s="697">
        <f t="shared" si="23"/>
        <v>0</v>
      </c>
      <c r="H118" s="697">
        <f t="shared" si="23"/>
        <v>0</v>
      </c>
      <c r="I118" s="697">
        <f t="shared" si="23"/>
        <v>0</v>
      </c>
      <c r="J118" s="697">
        <f t="shared" si="23"/>
        <v>0</v>
      </c>
      <c r="K118" s="697">
        <f t="shared" si="23"/>
        <v>0</v>
      </c>
      <c r="L118" s="697">
        <f t="shared" si="23"/>
        <v>0</v>
      </c>
      <c r="M118" s="697">
        <f t="shared" si="23"/>
        <v>0</v>
      </c>
      <c r="N118" s="54"/>
      <c r="O118" s="343"/>
      <c r="Q118" s="50"/>
      <c r="R118" s="50"/>
      <c r="S118" s="50"/>
      <c r="T118" s="50"/>
      <c r="U118" s="50"/>
      <c r="V118" s="50"/>
      <c r="W118" s="50"/>
      <c r="X118" s="50"/>
      <c r="Y118" s="50"/>
      <c r="Z118" s="50"/>
      <c r="AA118" s="50"/>
      <c r="AB118" s="50"/>
      <c r="AC118" s="50"/>
      <c r="AD118" s="50"/>
      <c r="AE118" s="50"/>
    </row>
    <row r="119" spans="1:31" outlineLevel="1" x14ac:dyDescent="0.25">
      <c r="A119" s="480">
        <f>ROW()</f>
        <v>119</v>
      </c>
      <c r="B119" s="145"/>
      <c r="C119" s="146" t="s">
        <v>640</v>
      </c>
      <c r="D119" s="154"/>
      <c r="E119" s="1399"/>
      <c r="F119" s="1399"/>
      <c r="G119" s="699">
        <f t="shared" si="23"/>
        <v>0</v>
      </c>
      <c r="H119" s="699">
        <f t="shared" si="23"/>
        <v>0</v>
      </c>
      <c r="I119" s="699">
        <f t="shared" si="23"/>
        <v>0</v>
      </c>
      <c r="J119" s="699">
        <f t="shared" si="23"/>
        <v>0</v>
      </c>
      <c r="K119" s="699">
        <f t="shared" si="23"/>
        <v>0</v>
      </c>
      <c r="L119" s="699">
        <f t="shared" si="23"/>
        <v>0</v>
      </c>
      <c r="M119" s="699">
        <f t="shared" si="23"/>
        <v>0</v>
      </c>
      <c r="N119" s="54"/>
      <c r="O119" s="343"/>
      <c r="Q119" s="50"/>
      <c r="R119" s="50"/>
      <c r="S119" s="50"/>
      <c r="T119" s="50"/>
      <c r="U119" s="50"/>
      <c r="V119" s="50"/>
      <c r="W119" s="50"/>
      <c r="X119" s="50"/>
      <c r="Y119" s="50"/>
      <c r="Z119" s="50"/>
      <c r="AA119" s="50"/>
      <c r="AB119" s="50"/>
      <c r="AC119" s="50"/>
      <c r="AD119" s="50"/>
      <c r="AE119" s="50"/>
    </row>
    <row r="120" spans="1:31" outlineLevel="1" x14ac:dyDescent="0.25">
      <c r="A120" s="480">
        <f>ROW()</f>
        <v>120</v>
      </c>
      <c r="B120" s="1404" t="s">
        <v>651</v>
      </c>
      <c r="C120" s="1404"/>
      <c r="D120" s="1404"/>
      <c r="E120" s="1404"/>
      <c r="F120" s="1404"/>
      <c r="G120" s="1419">
        <f t="shared" ref="G120:M120" si="24">SUM(G111:G119)</f>
        <v>4</v>
      </c>
      <c r="H120" s="1419">
        <f t="shared" si="24"/>
        <v>4</v>
      </c>
      <c r="I120" s="1407">
        <f t="shared" si="24"/>
        <v>4</v>
      </c>
      <c r="J120" s="1407">
        <f t="shared" si="24"/>
        <v>4</v>
      </c>
      <c r="K120" s="1407">
        <f t="shared" si="24"/>
        <v>4</v>
      </c>
      <c r="L120" s="1407">
        <f t="shared" si="24"/>
        <v>4</v>
      </c>
      <c r="M120" s="1407">
        <f t="shared" si="24"/>
        <v>4</v>
      </c>
      <c r="N120" s="54"/>
      <c r="O120" s="343"/>
      <c r="Q120" s="50"/>
      <c r="R120" s="50"/>
      <c r="S120" s="50"/>
      <c r="T120" s="50"/>
      <c r="U120" s="50"/>
      <c r="V120" s="50"/>
      <c r="W120" s="50"/>
      <c r="X120" s="50"/>
      <c r="Y120" s="50"/>
      <c r="Z120" s="50"/>
      <c r="AA120" s="50"/>
      <c r="AB120" s="50"/>
      <c r="AC120" s="50"/>
      <c r="AD120" s="50"/>
      <c r="AE120" s="50"/>
    </row>
    <row r="121" spans="1:31" outlineLevel="1" x14ac:dyDescent="0.25">
      <c r="A121" s="480">
        <f>ROW()</f>
        <v>121</v>
      </c>
      <c r="B121" s="1422"/>
      <c r="C121" s="1422"/>
      <c r="D121" s="1422"/>
      <c r="E121" s="1422"/>
      <c r="F121" s="1422"/>
      <c r="G121" s="1410"/>
      <c r="H121" s="1410"/>
      <c r="I121" s="1410"/>
      <c r="J121" s="1410"/>
      <c r="K121" s="1410"/>
      <c r="L121" s="1410"/>
      <c r="M121" s="1410"/>
      <c r="N121" s="54"/>
      <c r="O121" s="343"/>
      <c r="Q121" s="50"/>
      <c r="R121" s="50"/>
      <c r="S121" s="50"/>
      <c r="T121" s="50"/>
      <c r="U121" s="50"/>
      <c r="V121" s="50"/>
      <c r="W121" s="50"/>
      <c r="X121" s="50"/>
      <c r="Y121" s="50"/>
      <c r="Z121" s="50"/>
      <c r="AA121" s="50"/>
      <c r="AB121" s="50"/>
      <c r="AC121" s="50"/>
      <c r="AD121" s="50"/>
      <c r="AE121" s="50"/>
    </row>
    <row r="122" spans="1:31" ht="15.75" outlineLevel="1" x14ac:dyDescent="0.25">
      <c r="A122" s="480">
        <f>ROW()</f>
        <v>122</v>
      </c>
      <c r="B122" s="1424" t="s">
        <v>652</v>
      </c>
      <c r="C122" s="1412"/>
      <c r="D122" s="1413"/>
      <c r="E122" s="1413"/>
      <c r="F122" s="1413"/>
      <c r="G122" s="1414"/>
      <c r="H122" s="1414"/>
      <c r="I122" s="1414"/>
      <c r="J122" s="1414"/>
      <c r="K122" s="1414"/>
      <c r="L122" s="1414"/>
      <c r="M122" s="1414"/>
      <c r="N122" s="54"/>
      <c r="O122" s="343"/>
      <c r="Q122" s="50"/>
      <c r="R122" s="50"/>
      <c r="S122" s="50"/>
      <c r="T122" s="50"/>
      <c r="U122" s="50"/>
      <c r="V122" s="50"/>
      <c r="W122" s="50"/>
      <c r="X122" s="50"/>
      <c r="Y122" s="50"/>
      <c r="Z122" s="50"/>
      <c r="AA122" s="50"/>
      <c r="AB122" s="50"/>
      <c r="AC122" s="50"/>
      <c r="AD122" s="50"/>
      <c r="AE122" s="50"/>
    </row>
    <row r="123" spans="1:31" outlineLevel="1" x14ac:dyDescent="0.25">
      <c r="A123" s="480">
        <f>ROW()</f>
        <v>123</v>
      </c>
      <c r="B123" s="188" t="s">
        <v>1517</v>
      </c>
      <c r="C123" s="189">
        <v>2025</v>
      </c>
      <c r="D123" s="190">
        <v>107417.62</v>
      </c>
      <c r="E123" s="1399"/>
      <c r="F123" s="1399"/>
      <c r="G123" s="698">
        <v>2</v>
      </c>
      <c r="H123" s="698">
        <v>2</v>
      </c>
      <c r="I123" s="698">
        <v>2</v>
      </c>
      <c r="J123" s="698">
        <v>2</v>
      </c>
      <c r="K123" s="698">
        <v>2</v>
      </c>
      <c r="L123" s="698">
        <v>2</v>
      </c>
      <c r="M123" s="698">
        <v>2</v>
      </c>
      <c r="N123" s="54"/>
      <c r="O123" s="343"/>
      <c r="Q123" s="50"/>
      <c r="R123" s="50"/>
      <c r="S123" s="50"/>
      <c r="T123" s="50"/>
      <c r="U123" s="50"/>
      <c r="V123" s="50"/>
      <c r="W123" s="50"/>
      <c r="X123" s="50"/>
      <c r="Y123" s="50"/>
      <c r="Z123" s="50"/>
      <c r="AA123" s="50"/>
      <c r="AB123" s="50"/>
      <c r="AC123" s="50"/>
      <c r="AD123" s="50"/>
      <c r="AE123" s="50"/>
    </row>
    <row r="124" spans="1:31" outlineLevel="1" x14ac:dyDescent="0.25">
      <c r="A124" s="480">
        <f>ROW()</f>
        <v>124</v>
      </c>
      <c r="B124" s="145" t="s">
        <v>653</v>
      </c>
      <c r="C124" s="146">
        <v>2025</v>
      </c>
      <c r="D124" s="154">
        <v>105574.80333333334</v>
      </c>
      <c r="E124" s="1399"/>
      <c r="F124" s="1399"/>
      <c r="G124" s="697">
        <v>3</v>
      </c>
      <c r="H124" s="697">
        <v>3</v>
      </c>
      <c r="I124" s="697">
        <v>3</v>
      </c>
      <c r="J124" s="697">
        <v>3</v>
      </c>
      <c r="K124" s="697">
        <v>3</v>
      </c>
      <c r="L124" s="697">
        <v>3</v>
      </c>
      <c r="M124" s="697">
        <v>3</v>
      </c>
      <c r="N124" s="54"/>
      <c r="O124" s="343"/>
      <c r="Q124" s="50"/>
      <c r="R124" s="50"/>
      <c r="S124" s="50"/>
      <c r="T124" s="50"/>
      <c r="U124" s="50"/>
      <c r="V124" s="50"/>
      <c r="W124" s="50"/>
      <c r="X124" s="50"/>
      <c r="Y124" s="50"/>
      <c r="Z124" s="50"/>
      <c r="AA124" s="50"/>
      <c r="AB124" s="50"/>
      <c r="AC124" s="50"/>
      <c r="AD124" s="50"/>
      <c r="AE124" s="50"/>
    </row>
    <row r="125" spans="1:31" outlineLevel="1" x14ac:dyDescent="0.25">
      <c r="A125" s="480">
        <f>ROW()</f>
        <v>125</v>
      </c>
      <c r="B125" s="145" t="s">
        <v>654</v>
      </c>
      <c r="C125" s="146" t="s">
        <v>640</v>
      </c>
      <c r="D125" s="154">
        <v>95870.29</v>
      </c>
      <c r="E125" s="1399"/>
      <c r="F125" s="1399"/>
      <c r="G125" s="697">
        <v>3</v>
      </c>
      <c r="H125" s="697">
        <v>3</v>
      </c>
      <c r="I125" s="697">
        <v>3</v>
      </c>
      <c r="J125" s="697">
        <v>3</v>
      </c>
      <c r="K125" s="697">
        <v>3</v>
      </c>
      <c r="L125" s="697">
        <v>3</v>
      </c>
      <c r="M125" s="697">
        <v>3</v>
      </c>
      <c r="N125" s="54"/>
      <c r="O125" s="343"/>
      <c r="Q125" s="50"/>
      <c r="R125" s="50"/>
      <c r="S125" s="50"/>
      <c r="T125" s="50"/>
      <c r="U125" s="50"/>
      <c r="V125" s="50"/>
      <c r="W125" s="50"/>
      <c r="X125" s="50"/>
      <c r="Y125" s="50"/>
      <c r="Z125" s="50"/>
      <c r="AA125" s="50"/>
      <c r="AB125" s="50"/>
      <c r="AC125" s="50"/>
      <c r="AD125" s="50"/>
      <c r="AE125" s="50"/>
    </row>
    <row r="126" spans="1:31" outlineLevel="1" x14ac:dyDescent="0.25">
      <c r="A126" s="480">
        <f>ROW()</f>
        <v>126</v>
      </c>
      <c r="B126" s="145" t="s">
        <v>655</v>
      </c>
      <c r="C126" s="146" t="s">
        <v>640</v>
      </c>
      <c r="D126" s="154">
        <v>0</v>
      </c>
      <c r="E126" s="1399"/>
      <c r="F126" s="1399"/>
      <c r="G126" s="697">
        <f t="shared" ref="G126:M133" si="25">IF($C126&lt;=G$10,1,0)</f>
        <v>0</v>
      </c>
      <c r="H126" s="697">
        <f t="shared" si="25"/>
        <v>0</v>
      </c>
      <c r="I126" s="697">
        <f t="shared" si="25"/>
        <v>0</v>
      </c>
      <c r="J126" s="697">
        <f t="shared" si="25"/>
        <v>0</v>
      </c>
      <c r="K126" s="697">
        <f t="shared" si="25"/>
        <v>0</v>
      </c>
      <c r="L126" s="697">
        <f t="shared" si="25"/>
        <v>0</v>
      </c>
      <c r="M126" s="697">
        <f t="shared" si="25"/>
        <v>0</v>
      </c>
      <c r="N126" s="54"/>
      <c r="O126" s="343"/>
      <c r="Q126" s="50"/>
      <c r="R126" s="50"/>
      <c r="S126" s="50"/>
      <c r="T126" s="50"/>
      <c r="U126" s="50"/>
      <c r="V126" s="50"/>
      <c r="W126" s="50"/>
      <c r="X126" s="50"/>
      <c r="Y126" s="50"/>
      <c r="Z126" s="50"/>
      <c r="AA126" s="50"/>
      <c r="AB126" s="50"/>
      <c r="AC126" s="50"/>
      <c r="AD126" s="50"/>
      <c r="AE126" s="50"/>
    </row>
    <row r="127" spans="1:31" outlineLevel="1" x14ac:dyDescent="0.25">
      <c r="A127" s="480">
        <f>ROW()</f>
        <v>127</v>
      </c>
      <c r="B127" s="145" t="s">
        <v>656</v>
      </c>
      <c r="C127" s="146" t="s">
        <v>640</v>
      </c>
      <c r="D127" s="154">
        <v>0</v>
      </c>
      <c r="E127" s="1399"/>
      <c r="F127" s="1399"/>
      <c r="G127" s="697">
        <f t="shared" si="25"/>
        <v>0</v>
      </c>
      <c r="H127" s="697">
        <f t="shared" si="25"/>
        <v>0</v>
      </c>
      <c r="I127" s="697">
        <f t="shared" si="25"/>
        <v>0</v>
      </c>
      <c r="J127" s="697">
        <f t="shared" si="25"/>
        <v>0</v>
      </c>
      <c r="K127" s="697">
        <f t="shared" si="25"/>
        <v>0</v>
      </c>
      <c r="L127" s="697">
        <f t="shared" si="25"/>
        <v>0</v>
      </c>
      <c r="M127" s="697">
        <f t="shared" si="25"/>
        <v>0</v>
      </c>
      <c r="N127" s="54"/>
      <c r="O127" s="343"/>
      <c r="Q127" s="50"/>
      <c r="R127" s="50"/>
      <c r="S127" s="50"/>
      <c r="T127" s="50"/>
      <c r="U127" s="50"/>
      <c r="V127" s="50"/>
      <c r="W127" s="50"/>
      <c r="X127" s="50"/>
      <c r="Y127" s="50"/>
      <c r="Z127" s="50"/>
      <c r="AA127" s="50"/>
      <c r="AB127" s="50"/>
      <c r="AC127" s="50"/>
      <c r="AD127" s="50"/>
      <c r="AE127" s="50"/>
    </row>
    <row r="128" spans="1:31" outlineLevel="1" x14ac:dyDescent="0.25">
      <c r="A128" s="480">
        <f>ROW()</f>
        <v>128</v>
      </c>
      <c r="B128" s="145" t="s">
        <v>657</v>
      </c>
      <c r="C128" s="146">
        <v>2025</v>
      </c>
      <c r="D128" s="154">
        <v>55776.92</v>
      </c>
      <c r="E128" s="1399"/>
      <c r="F128" s="1399"/>
      <c r="G128" s="697">
        <v>2</v>
      </c>
      <c r="H128" s="697">
        <v>2</v>
      </c>
      <c r="I128" s="697">
        <v>2</v>
      </c>
      <c r="J128" s="697">
        <v>2</v>
      </c>
      <c r="K128" s="697">
        <v>2</v>
      </c>
      <c r="L128" s="697">
        <v>2</v>
      </c>
      <c r="M128" s="697">
        <v>2</v>
      </c>
      <c r="N128" s="54"/>
      <c r="O128" s="343"/>
      <c r="Q128" s="50"/>
      <c r="R128" s="50"/>
      <c r="S128" s="50"/>
      <c r="T128" s="50"/>
      <c r="U128" s="50"/>
      <c r="V128" s="50"/>
      <c r="W128" s="50"/>
      <c r="X128" s="50"/>
      <c r="Y128" s="50"/>
      <c r="Z128" s="50"/>
      <c r="AA128" s="50"/>
      <c r="AB128" s="50"/>
      <c r="AC128" s="50"/>
      <c r="AD128" s="50"/>
      <c r="AE128" s="50"/>
    </row>
    <row r="129" spans="1:31" outlineLevel="1" x14ac:dyDescent="0.25">
      <c r="A129" s="480">
        <f>ROW()</f>
        <v>129</v>
      </c>
      <c r="B129" s="145" t="s">
        <v>658</v>
      </c>
      <c r="C129" s="146" t="s">
        <v>640</v>
      </c>
      <c r="D129" s="154">
        <v>0</v>
      </c>
      <c r="E129" s="1399"/>
      <c r="F129" s="1399"/>
      <c r="G129" s="697">
        <f t="shared" si="25"/>
        <v>0</v>
      </c>
      <c r="H129" s="697">
        <f t="shared" si="25"/>
        <v>0</v>
      </c>
      <c r="I129" s="697">
        <f t="shared" si="25"/>
        <v>0</v>
      </c>
      <c r="J129" s="697">
        <f t="shared" si="25"/>
        <v>0</v>
      </c>
      <c r="K129" s="697">
        <f t="shared" si="25"/>
        <v>0</v>
      </c>
      <c r="L129" s="697">
        <f t="shared" si="25"/>
        <v>0</v>
      </c>
      <c r="M129" s="697">
        <f t="shared" si="25"/>
        <v>0</v>
      </c>
      <c r="N129" s="54"/>
      <c r="O129" s="343"/>
      <c r="Q129" s="50"/>
      <c r="R129" s="50"/>
      <c r="S129" s="50"/>
      <c r="T129" s="50"/>
      <c r="U129" s="50"/>
      <c r="V129" s="50"/>
      <c r="W129" s="50"/>
      <c r="X129" s="50"/>
      <c r="Y129" s="50"/>
      <c r="Z129" s="50"/>
      <c r="AA129" s="50"/>
      <c r="AB129" s="50"/>
      <c r="AC129" s="50"/>
      <c r="AD129" s="50"/>
      <c r="AE129" s="50"/>
    </row>
    <row r="130" spans="1:31" outlineLevel="1" x14ac:dyDescent="0.25">
      <c r="A130" s="480">
        <f>ROW()</f>
        <v>130</v>
      </c>
      <c r="B130" s="145" t="s">
        <v>659</v>
      </c>
      <c r="C130" s="146" t="s">
        <v>640</v>
      </c>
      <c r="D130" s="154">
        <v>0</v>
      </c>
      <c r="E130" s="1399"/>
      <c r="F130" s="1399"/>
      <c r="G130" s="697">
        <f t="shared" si="25"/>
        <v>0</v>
      </c>
      <c r="H130" s="697">
        <f t="shared" si="25"/>
        <v>0</v>
      </c>
      <c r="I130" s="697">
        <f t="shared" si="25"/>
        <v>0</v>
      </c>
      <c r="J130" s="697">
        <f t="shared" si="25"/>
        <v>0</v>
      </c>
      <c r="K130" s="697">
        <f t="shared" si="25"/>
        <v>0</v>
      </c>
      <c r="L130" s="697">
        <f t="shared" si="25"/>
        <v>0</v>
      </c>
      <c r="M130" s="697">
        <f t="shared" si="25"/>
        <v>0</v>
      </c>
      <c r="N130" s="54"/>
      <c r="O130" s="343"/>
      <c r="Q130" s="50"/>
      <c r="R130" s="50"/>
      <c r="S130" s="50"/>
      <c r="T130" s="50"/>
      <c r="U130" s="50"/>
      <c r="V130" s="50"/>
      <c r="W130" s="50"/>
      <c r="X130" s="50"/>
      <c r="Y130" s="50"/>
      <c r="Z130" s="50"/>
      <c r="AA130" s="50"/>
      <c r="AB130" s="50"/>
      <c r="AC130" s="50"/>
      <c r="AD130" s="50"/>
      <c r="AE130" s="50"/>
    </row>
    <row r="131" spans="1:31" outlineLevel="1" x14ac:dyDescent="0.25">
      <c r="A131" s="480">
        <f>ROW()</f>
        <v>131</v>
      </c>
      <c r="B131" s="145"/>
      <c r="C131" s="146" t="s">
        <v>640</v>
      </c>
      <c r="D131" s="154">
        <v>0</v>
      </c>
      <c r="E131" s="1399"/>
      <c r="F131" s="1399"/>
      <c r="G131" s="697">
        <f t="shared" si="25"/>
        <v>0</v>
      </c>
      <c r="H131" s="697">
        <f t="shared" si="25"/>
        <v>0</v>
      </c>
      <c r="I131" s="697">
        <f t="shared" si="25"/>
        <v>0</v>
      </c>
      <c r="J131" s="697">
        <f t="shared" si="25"/>
        <v>0</v>
      </c>
      <c r="K131" s="697">
        <f t="shared" si="25"/>
        <v>0</v>
      </c>
      <c r="L131" s="697">
        <f t="shared" si="25"/>
        <v>0</v>
      </c>
      <c r="M131" s="697">
        <f t="shared" si="25"/>
        <v>0</v>
      </c>
      <c r="N131" s="54"/>
      <c r="O131" s="343"/>
      <c r="Q131" s="50"/>
      <c r="R131" s="50"/>
      <c r="S131" s="50"/>
      <c r="T131" s="50"/>
      <c r="U131" s="50"/>
      <c r="V131" s="50"/>
      <c r="W131" s="50"/>
      <c r="X131" s="50"/>
      <c r="Y131" s="50"/>
      <c r="Z131" s="50"/>
      <c r="AA131" s="50"/>
      <c r="AB131" s="50"/>
      <c r="AC131" s="50"/>
      <c r="AD131" s="50"/>
      <c r="AE131" s="50"/>
    </row>
    <row r="132" spans="1:31" outlineLevel="1" x14ac:dyDescent="0.25">
      <c r="A132" s="480">
        <f>ROW()</f>
        <v>132</v>
      </c>
      <c r="B132" s="145"/>
      <c r="C132" s="146" t="s">
        <v>640</v>
      </c>
      <c r="D132" s="154">
        <v>0</v>
      </c>
      <c r="E132" s="1399"/>
      <c r="F132" s="1399"/>
      <c r="G132" s="697">
        <f t="shared" si="25"/>
        <v>0</v>
      </c>
      <c r="H132" s="697">
        <f t="shared" si="25"/>
        <v>0</v>
      </c>
      <c r="I132" s="697">
        <f t="shared" si="25"/>
        <v>0</v>
      </c>
      <c r="J132" s="697">
        <f t="shared" si="25"/>
        <v>0</v>
      </c>
      <c r="K132" s="697">
        <f t="shared" si="25"/>
        <v>0</v>
      </c>
      <c r="L132" s="697">
        <f t="shared" si="25"/>
        <v>0</v>
      </c>
      <c r="M132" s="697">
        <f t="shared" si="25"/>
        <v>0</v>
      </c>
      <c r="N132" s="54"/>
      <c r="O132" s="343"/>
      <c r="Q132" s="50"/>
      <c r="R132" s="50"/>
      <c r="S132" s="50"/>
      <c r="T132" s="50"/>
      <c r="U132" s="50"/>
      <c r="V132" s="50"/>
      <c r="W132" s="50"/>
      <c r="X132" s="50"/>
      <c r="Y132" s="50"/>
      <c r="Z132" s="50"/>
      <c r="AA132" s="50"/>
      <c r="AB132" s="50"/>
      <c r="AC132" s="50"/>
      <c r="AD132" s="50"/>
      <c r="AE132" s="50"/>
    </row>
    <row r="133" spans="1:31" outlineLevel="1" x14ac:dyDescent="0.25">
      <c r="A133" s="480">
        <f>ROW()</f>
        <v>133</v>
      </c>
      <c r="B133" s="145"/>
      <c r="C133" s="146" t="s">
        <v>640</v>
      </c>
      <c r="D133" s="154"/>
      <c r="E133" s="1399"/>
      <c r="F133" s="1399"/>
      <c r="G133" s="699">
        <f t="shared" si="25"/>
        <v>0</v>
      </c>
      <c r="H133" s="699">
        <f t="shared" si="25"/>
        <v>0</v>
      </c>
      <c r="I133" s="699">
        <f t="shared" si="25"/>
        <v>0</v>
      </c>
      <c r="J133" s="699">
        <f t="shared" si="25"/>
        <v>0</v>
      </c>
      <c r="K133" s="699">
        <f t="shared" si="25"/>
        <v>0</v>
      </c>
      <c r="L133" s="699">
        <f t="shared" si="25"/>
        <v>0</v>
      </c>
      <c r="M133" s="699">
        <f t="shared" si="25"/>
        <v>0</v>
      </c>
      <c r="N133" s="54"/>
      <c r="O133" s="343"/>
      <c r="Q133" s="50"/>
      <c r="R133" s="50"/>
      <c r="S133" s="50"/>
      <c r="T133" s="50"/>
      <c r="U133" s="50"/>
      <c r="V133" s="50"/>
      <c r="W133" s="50"/>
      <c r="X133" s="50"/>
      <c r="Y133" s="50"/>
      <c r="Z133" s="50"/>
      <c r="AA133" s="50"/>
      <c r="AB133" s="50"/>
      <c r="AC133" s="50"/>
      <c r="AD133" s="50"/>
      <c r="AE133" s="50"/>
    </row>
    <row r="134" spans="1:31" outlineLevel="1" x14ac:dyDescent="0.25">
      <c r="A134" s="480">
        <f>ROW()</f>
        <v>134</v>
      </c>
      <c r="B134" s="127" t="s">
        <v>660</v>
      </c>
      <c r="C134" s="127"/>
      <c r="D134" s="127"/>
      <c r="E134" s="127"/>
      <c r="F134" s="127"/>
      <c r="G134" s="1202">
        <f t="shared" ref="G134:M134" si="26">SUM(G123:G133)</f>
        <v>10</v>
      </c>
      <c r="H134" s="1202">
        <f t="shared" si="26"/>
        <v>10</v>
      </c>
      <c r="I134" s="344">
        <f t="shared" si="26"/>
        <v>10</v>
      </c>
      <c r="J134" s="344">
        <f t="shared" si="26"/>
        <v>10</v>
      </c>
      <c r="K134" s="344">
        <f t="shared" si="26"/>
        <v>10</v>
      </c>
      <c r="L134" s="344">
        <f t="shared" si="26"/>
        <v>10</v>
      </c>
      <c r="M134" s="344">
        <f t="shared" si="26"/>
        <v>10</v>
      </c>
      <c r="N134" s="54"/>
      <c r="O134" s="343"/>
      <c r="Q134" s="50"/>
      <c r="R134" s="50"/>
      <c r="S134" s="50"/>
      <c r="T134" s="50"/>
      <c r="U134" s="50"/>
      <c r="V134" s="50"/>
      <c r="W134" s="50"/>
      <c r="X134" s="50"/>
      <c r="Y134" s="50"/>
      <c r="Z134" s="50"/>
      <c r="AA134" s="50"/>
      <c r="AB134" s="50"/>
      <c r="AC134" s="50"/>
      <c r="AD134" s="50"/>
      <c r="AE134" s="50"/>
    </row>
    <row r="135" spans="1:31" outlineLevel="1" x14ac:dyDescent="0.25">
      <c r="A135" s="480">
        <f>ROW()</f>
        <v>135</v>
      </c>
      <c r="G135" s="54"/>
      <c r="H135" s="54"/>
      <c r="I135" s="54"/>
      <c r="J135" s="54"/>
      <c r="K135" s="54"/>
      <c r="L135" s="54"/>
      <c r="M135" s="54"/>
      <c r="N135" s="54"/>
      <c r="O135" s="343"/>
      <c r="Q135" s="50"/>
      <c r="R135" s="50"/>
      <c r="S135" s="50"/>
      <c r="T135" s="50"/>
      <c r="U135" s="50"/>
      <c r="V135" s="50"/>
      <c r="W135" s="50"/>
      <c r="X135" s="50"/>
      <c r="Y135" s="50"/>
      <c r="Z135" s="50"/>
      <c r="AA135" s="50"/>
      <c r="AB135" s="50"/>
      <c r="AC135" s="50"/>
      <c r="AD135" s="50"/>
      <c r="AE135" s="50"/>
    </row>
    <row r="136" spans="1:31" outlineLevel="1" x14ac:dyDescent="0.25">
      <c r="A136" s="480">
        <f>ROW()</f>
        <v>136</v>
      </c>
      <c r="B136" s="127" t="s">
        <v>661</v>
      </c>
      <c r="C136" s="127"/>
      <c r="D136" s="127"/>
      <c r="E136" s="127"/>
      <c r="F136" s="127"/>
      <c r="G136" s="1202">
        <f t="shared" ref="G136:M136" si="27">+G106+G120+G134</f>
        <v>41</v>
      </c>
      <c r="H136" s="1202">
        <f t="shared" si="27"/>
        <v>41</v>
      </c>
      <c r="I136" s="344">
        <f t="shared" si="27"/>
        <v>41</v>
      </c>
      <c r="J136" s="344">
        <f t="shared" si="27"/>
        <v>41</v>
      </c>
      <c r="K136" s="344">
        <f t="shared" si="27"/>
        <v>41</v>
      </c>
      <c r="L136" s="344">
        <f t="shared" si="27"/>
        <v>41</v>
      </c>
      <c r="M136" s="344">
        <f t="shared" si="27"/>
        <v>41</v>
      </c>
      <c r="N136" s="54"/>
      <c r="O136" s="343"/>
      <c r="Q136" s="50"/>
      <c r="R136" s="50"/>
      <c r="S136" s="50"/>
      <c r="T136" s="50"/>
      <c r="U136" s="50"/>
      <c r="V136" s="50"/>
      <c r="W136" s="50"/>
      <c r="X136" s="50"/>
      <c r="Y136" s="50"/>
      <c r="Z136" s="50"/>
      <c r="AA136" s="50"/>
      <c r="AB136" s="50"/>
      <c r="AC136" s="50"/>
      <c r="AD136" s="50"/>
      <c r="AE136" s="50"/>
    </row>
    <row r="137" spans="1:31" outlineLevel="1" x14ac:dyDescent="0.25">
      <c r="A137" s="480">
        <f>ROW()</f>
        <v>137</v>
      </c>
      <c r="B137" s="127" t="s">
        <v>662</v>
      </c>
      <c r="C137" s="127"/>
      <c r="D137" s="127"/>
      <c r="E137" s="127"/>
      <c r="F137" s="127"/>
      <c r="G137" s="344">
        <f t="shared" ref="G137:M137" si="28">+G136+G94</f>
        <v>71</v>
      </c>
      <c r="H137" s="344">
        <f t="shared" si="28"/>
        <v>71</v>
      </c>
      <c r="I137" s="344">
        <f t="shared" si="28"/>
        <v>71</v>
      </c>
      <c r="J137" s="344">
        <f t="shared" si="28"/>
        <v>71</v>
      </c>
      <c r="K137" s="344">
        <f t="shared" si="28"/>
        <v>71</v>
      </c>
      <c r="L137" s="344">
        <f t="shared" si="28"/>
        <v>71</v>
      </c>
      <c r="M137" s="344">
        <f t="shared" si="28"/>
        <v>71</v>
      </c>
      <c r="N137" s="54"/>
      <c r="O137" s="343"/>
      <c r="Q137" s="50"/>
      <c r="R137" s="50"/>
      <c r="S137" s="50"/>
      <c r="T137" s="50"/>
      <c r="U137" s="50"/>
      <c r="V137" s="50"/>
      <c r="W137" s="50"/>
      <c r="X137" s="50"/>
      <c r="Y137" s="50"/>
      <c r="Z137" s="50"/>
      <c r="AA137" s="50"/>
      <c r="AB137" s="50"/>
      <c r="AC137" s="50"/>
      <c r="AD137" s="50"/>
      <c r="AE137" s="50"/>
    </row>
    <row r="138" spans="1:31" outlineLevel="1" x14ac:dyDescent="0.25">
      <c r="A138" s="480">
        <f>ROW()</f>
        <v>138</v>
      </c>
      <c r="B138" s="165"/>
      <c r="C138" s="165"/>
      <c r="D138" s="165"/>
      <c r="E138" s="165"/>
      <c r="F138" s="165"/>
      <c r="G138" s="167"/>
      <c r="H138" s="165"/>
      <c r="I138" s="165"/>
      <c r="J138" s="165"/>
      <c r="K138" s="165"/>
      <c r="L138" s="165"/>
      <c r="M138" s="166"/>
      <c r="N138" s="54"/>
      <c r="O138" s="343"/>
      <c r="Q138" s="50"/>
      <c r="R138" s="50"/>
      <c r="S138" s="50"/>
      <c r="T138" s="50"/>
      <c r="U138" s="50"/>
      <c r="V138" s="50"/>
      <c r="W138" s="50"/>
      <c r="X138" s="50"/>
      <c r="Y138" s="50"/>
      <c r="Z138" s="50"/>
      <c r="AA138" s="50"/>
      <c r="AB138" s="50"/>
      <c r="AC138" s="50"/>
      <c r="AD138" s="50"/>
      <c r="AE138" s="50"/>
    </row>
    <row r="139" spans="1:31" ht="15.75" outlineLevel="1" x14ac:dyDescent="0.25">
      <c r="A139" s="480">
        <f>ROW()</f>
        <v>139</v>
      </c>
      <c r="B139" s="172" t="s">
        <v>663</v>
      </c>
      <c r="C139" s="63"/>
      <c r="D139" s="63"/>
      <c r="E139" s="63"/>
      <c r="F139" s="63"/>
      <c r="G139" s="1651"/>
      <c r="H139" s="63"/>
      <c r="I139" s="63"/>
      <c r="J139" s="63"/>
      <c r="K139" s="63"/>
      <c r="L139" s="63"/>
      <c r="M139" s="173"/>
      <c r="N139" s="54"/>
      <c r="O139" s="343"/>
      <c r="Q139" s="50"/>
      <c r="R139" s="50"/>
      <c r="S139" s="50"/>
      <c r="T139" s="50"/>
      <c r="U139" s="50"/>
      <c r="V139" s="50"/>
      <c r="W139" s="50"/>
      <c r="X139" s="50"/>
      <c r="Y139" s="50"/>
      <c r="Z139" s="50"/>
      <c r="AA139" s="50"/>
      <c r="AB139" s="50"/>
      <c r="AC139" s="50"/>
      <c r="AD139" s="50"/>
      <c r="AE139" s="50"/>
    </row>
    <row r="140" spans="1:31" ht="30" outlineLevel="1" x14ac:dyDescent="0.25">
      <c r="A140" s="480">
        <f>ROW()</f>
        <v>140</v>
      </c>
      <c r="B140" s="94" t="s">
        <v>664</v>
      </c>
      <c r="C140" s="32" t="s">
        <v>665</v>
      </c>
      <c r="D140" s="32" t="s">
        <v>666</v>
      </c>
      <c r="E140" s="32" t="s">
        <v>631</v>
      </c>
      <c r="F140" s="94" t="s">
        <v>667</v>
      </c>
      <c r="G140" s="94" t="s">
        <v>668</v>
      </c>
      <c r="H140" s="118" t="s">
        <v>633</v>
      </c>
      <c r="I140" s="94"/>
      <c r="J140" s="94"/>
      <c r="L140" s="54"/>
      <c r="N140" s="54"/>
      <c r="O140" s="343"/>
      <c r="Q140" s="50"/>
      <c r="R140" s="50"/>
      <c r="S140" s="50"/>
      <c r="T140" s="50"/>
      <c r="U140" s="50"/>
      <c r="V140" s="50"/>
      <c r="W140" s="50"/>
      <c r="X140" s="50"/>
      <c r="Y140" s="50"/>
      <c r="Z140" s="50"/>
      <c r="AA140" s="50"/>
      <c r="AB140" s="50"/>
      <c r="AC140" s="50"/>
      <c r="AD140" s="50"/>
      <c r="AE140" s="50"/>
    </row>
    <row r="141" spans="1:31" outlineLevel="1" x14ac:dyDescent="0.25">
      <c r="A141" s="480">
        <f>ROW()</f>
        <v>141</v>
      </c>
      <c r="B141" s="75" t="s">
        <v>632</v>
      </c>
      <c r="C141" s="57"/>
      <c r="D141" s="57">
        <f>' Enrol &amp; Rev'!$G$10</f>
        <v>2025</v>
      </c>
      <c r="E141" s="1651"/>
      <c r="F141" s="1651"/>
      <c r="G141" s="63"/>
      <c r="H141" s="63"/>
      <c r="I141" s="152"/>
      <c r="J141" s="152"/>
      <c r="K141" s="152"/>
      <c r="L141" s="173"/>
      <c r="M141" s="63"/>
      <c r="N141" s="54"/>
      <c r="O141" s="343"/>
      <c r="Q141" s="50"/>
      <c r="R141" s="50"/>
      <c r="S141" s="50"/>
      <c r="T141" s="50"/>
      <c r="U141" s="50"/>
      <c r="V141" s="50"/>
      <c r="W141" s="50"/>
      <c r="X141" s="50"/>
      <c r="Y141" s="50"/>
      <c r="Z141" s="50"/>
      <c r="AA141" s="50"/>
      <c r="AB141" s="50"/>
      <c r="AC141" s="50"/>
      <c r="AD141" s="50"/>
      <c r="AE141" s="50"/>
    </row>
    <row r="142" spans="1:31" outlineLevel="1" x14ac:dyDescent="0.25">
      <c r="A142" s="480">
        <f>ROW()</f>
        <v>142</v>
      </c>
      <c r="C142" s="42"/>
      <c r="D142" s="42"/>
      <c r="E142" s="31"/>
      <c r="F142" s="31"/>
      <c r="G142" s="33" t="s">
        <v>669</v>
      </c>
      <c r="L142" s="54"/>
      <c r="N142" s="54"/>
      <c r="O142" s="343"/>
      <c r="Q142" s="50"/>
      <c r="R142" s="50"/>
      <c r="S142" s="50"/>
      <c r="T142" s="50"/>
      <c r="U142" s="50"/>
      <c r="V142" s="50"/>
      <c r="W142" s="50"/>
      <c r="X142" s="50"/>
      <c r="Y142" s="50"/>
      <c r="Z142" s="50"/>
      <c r="AA142" s="50"/>
      <c r="AB142" s="50"/>
      <c r="AC142" s="50"/>
      <c r="AD142" s="50"/>
      <c r="AE142" s="50"/>
    </row>
    <row r="143" spans="1:31" outlineLevel="1" x14ac:dyDescent="0.25">
      <c r="A143" s="480">
        <f>ROW()</f>
        <v>143</v>
      </c>
      <c r="B143" s="191" t="s">
        <v>1478</v>
      </c>
      <c r="C143" s="151" t="s">
        <v>1479</v>
      </c>
      <c r="D143" s="151">
        <v>2025</v>
      </c>
      <c r="E143" s="323">
        <v>102898.33333333333</v>
      </c>
      <c r="F143" s="192" t="s">
        <v>672</v>
      </c>
      <c r="G143" s="697">
        <v>12</v>
      </c>
      <c r="H143" s="697">
        <v>12</v>
      </c>
      <c r="I143" s="697">
        <v>12</v>
      </c>
      <c r="J143" s="697">
        <v>12</v>
      </c>
      <c r="K143" s="697">
        <v>12</v>
      </c>
      <c r="L143" s="697">
        <v>12</v>
      </c>
      <c r="M143" s="697">
        <v>12</v>
      </c>
      <c r="O143" s="343"/>
      <c r="Q143" s="50"/>
      <c r="R143" s="50"/>
      <c r="S143" s="50"/>
      <c r="T143" s="50"/>
      <c r="U143" s="50"/>
      <c r="V143" s="50"/>
      <c r="W143" s="50"/>
      <c r="X143" s="50"/>
      <c r="Y143" s="50"/>
      <c r="Z143" s="50"/>
      <c r="AA143" s="50"/>
      <c r="AB143" s="50"/>
      <c r="AC143" s="50"/>
      <c r="AD143" s="50"/>
      <c r="AE143" s="50"/>
    </row>
    <row r="144" spans="1:31" outlineLevel="1" x14ac:dyDescent="0.25">
      <c r="A144" s="480">
        <f>ROW()</f>
        <v>144</v>
      </c>
      <c r="B144" s="191" t="s">
        <v>670</v>
      </c>
      <c r="C144" s="151" t="s">
        <v>640</v>
      </c>
      <c r="D144" s="151" t="s">
        <v>671</v>
      </c>
      <c r="E144" s="153">
        <v>0</v>
      </c>
      <c r="F144" s="192" t="s">
        <v>672</v>
      </c>
      <c r="G144" s="697">
        <f>IF($D144&lt;=G$10,1,0)</f>
        <v>0</v>
      </c>
      <c r="H144" s="697">
        <f t="shared" ref="H144:M145" si="29">IF($D144&lt;=H$10,1,0)</f>
        <v>0</v>
      </c>
      <c r="I144" s="697">
        <f t="shared" si="29"/>
        <v>0</v>
      </c>
      <c r="J144" s="697">
        <f t="shared" si="29"/>
        <v>0</v>
      </c>
      <c r="K144" s="697">
        <f t="shared" si="29"/>
        <v>0</v>
      </c>
      <c r="L144" s="697">
        <f t="shared" si="29"/>
        <v>0</v>
      </c>
      <c r="M144" s="697">
        <f t="shared" si="29"/>
        <v>0</v>
      </c>
      <c r="O144" s="343"/>
      <c r="Q144" s="50"/>
      <c r="R144" s="50"/>
      <c r="S144" s="50"/>
      <c r="T144" s="50"/>
      <c r="U144" s="50"/>
      <c r="V144" s="50"/>
      <c r="W144" s="50"/>
      <c r="X144" s="50"/>
      <c r="Y144" s="50"/>
      <c r="Z144" s="50"/>
      <c r="AA144" s="50"/>
      <c r="AB144" s="50"/>
      <c r="AC144" s="50"/>
      <c r="AD144" s="50"/>
      <c r="AE144" s="50"/>
    </row>
    <row r="145" spans="1:31" outlineLevel="1" x14ac:dyDescent="0.25">
      <c r="A145" s="480">
        <f>ROW()</f>
        <v>145</v>
      </c>
      <c r="B145" s="191" t="s">
        <v>670</v>
      </c>
      <c r="C145" s="151" t="s">
        <v>640</v>
      </c>
      <c r="D145" s="151" t="s">
        <v>671</v>
      </c>
      <c r="E145" s="153">
        <v>0</v>
      </c>
      <c r="F145" s="192" t="s">
        <v>672</v>
      </c>
      <c r="G145" s="697">
        <f>IF($D145&lt;=G$10,1,0)</f>
        <v>0</v>
      </c>
      <c r="H145" s="697">
        <f t="shared" si="29"/>
        <v>0</v>
      </c>
      <c r="I145" s="697">
        <f t="shared" si="29"/>
        <v>0</v>
      </c>
      <c r="J145" s="697">
        <f t="shared" si="29"/>
        <v>0</v>
      </c>
      <c r="K145" s="697">
        <f t="shared" si="29"/>
        <v>0</v>
      </c>
      <c r="L145" s="697">
        <f t="shared" si="29"/>
        <v>0</v>
      </c>
      <c r="M145" s="697">
        <f t="shared" si="29"/>
        <v>0</v>
      </c>
      <c r="O145" s="343"/>
      <c r="Q145" s="50"/>
      <c r="R145" s="50"/>
      <c r="S145" s="50"/>
      <c r="T145" s="50"/>
      <c r="U145" s="50"/>
      <c r="V145" s="50"/>
      <c r="W145" s="50"/>
      <c r="X145" s="50"/>
      <c r="Y145" s="50"/>
      <c r="Z145" s="50"/>
      <c r="AA145" s="50"/>
      <c r="AB145" s="50"/>
      <c r="AC145" s="50"/>
      <c r="AD145" s="50"/>
      <c r="AE145" s="50"/>
    </row>
    <row r="146" spans="1:31" outlineLevel="1" x14ac:dyDescent="0.25">
      <c r="A146" s="480">
        <f>ROW()</f>
        <v>146</v>
      </c>
      <c r="B146" s="1390"/>
      <c r="C146" s="1391"/>
      <c r="D146" s="1391"/>
      <c r="E146" s="1392"/>
      <c r="F146" s="1393"/>
      <c r="G146" s="140"/>
      <c r="H146" s="140"/>
      <c r="I146" s="140"/>
      <c r="J146" s="140"/>
      <c r="K146" s="140"/>
      <c r="L146" s="140"/>
      <c r="M146" s="140"/>
      <c r="O146" s="343"/>
      <c r="Q146" s="50"/>
      <c r="R146" s="50"/>
      <c r="S146" s="50"/>
      <c r="T146" s="50"/>
      <c r="U146" s="50"/>
      <c r="V146" s="50"/>
      <c r="W146" s="50"/>
      <c r="X146" s="50"/>
      <c r="Y146" s="50"/>
      <c r="Z146" s="50"/>
      <c r="AA146" s="50"/>
      <c r="AB146" s="50"/>
      <c r="AC146" s="50"/>
      <c r="AD146" s="50"/>
      <c r="AE146" s="50"/>
    </row>
    <row r="147" spans="1:31" outlineLevel="1" x14ac:dyDescent="0.25">
      <c r="A147" s="480">
        <f>ROW()</f>
        <v>147</v>
      </c>
      <c r="B147" s="191" t="s">
        <v>1480</v>
      </c>
      <c r="C147" s="151" t="s">
        <v>1481</v>
      </c>
      <c r="D147" s="151">
        <v>2025</v>
      </c>
      <c r="E147" s="323">
        <v>77948.5</v>
      </c>
      <c r="F147" s="192" t="s">
        <v>1486</v>
      </c>
      <c r="G147" s="697">
        <v>2</v>
      </c>
      <c r="H147" s="697">
        <v>2</v>
      </c>
      <c r="I147" s="697">
        <v>2</v>
      </c>
      <c r="J147" s="697">
        <v>2</v>
      </c>
      <c r="K147" s="697">
        <v>2</v>
      </c>
      <c r="L147" s="697">
        <v>2</v>
      </c>
      <c r="M147" s="697">
        <v>2</v>
      </c>
      <c r="O147" s="343"/>
      <c r="Q147" s="50"/>
      <c r="R147" s="50"/>
      <c r="S147" s="50"/>
      <c r="T147" s="50"/>
      <c r="U147" s="50"/>
      <c r="V147" s="50"/>
      <c r="W147" s="50"/>
      <c r="X147" s="50"/>
      <c r="Y147" s="50"/>
      <c r="Z147" s="50"/>
      <c r="AA147" s="50"/>
      <c r="AB147" s="50"/>
      <c r="AC147" s="50"/>
      <c r="AD147" s="50"/>
      <c r="AE147" s="50"/>
    </row>
    <row r="148" spans="1:31" outlineLevel="1" x14ac:dyDescent="0.25">
      <c r="A148" s="480">
        <f>ROW()</f>
        <v>148</v>
      </c>
      <c r="B148" s="191" t="s">
        <v>1482</v>
      </c>
      <c r="C148" s="151" t="s">
        <v>1481</v>
      </c>
      <c r="D148" s="151">
        <v>2025</v>
      </c>
      <c r="E148" s="153">
        <v>73596</v>
      </c>
      <c r="F148" s="192" t="s">
        <v>1487</v>
      </c>
      <c r="G148" s="697">
        <v>2</v>
      </c>
      <c r="H148" s="697">
        <v>2</v>
      </c>
      <c r="I148" s="697">
        <v>2</v>
      </c>
      <c r="J148" s="697">
        <v>2</v>
      </c>
      <c r="K148" s="697">
        <v>2</v>
      </c>
      <c r="L148" s="697">
        <v>2</v>
      </c>
      <c r="M148" s="697">
        <v>2</v>
      </c>
      <c r="O148" s="343"/>
      <c r="Q148" s="50"/>
      <c r="R148" s="50"/>
      <c r="S148" s="50"/>
      <c r="T148" s="50"/>
      <c r="U148" s="50"/>
      <c r="V148" s="50"/>
      <c r="W148" s="50"/>
      <c r="X148" s="50"/>
      <c r="Y148" s="50"/>
      <c r="Z148" s="50"/>
      <c r="AA148" s="50"/>
      <c r="AB148" s="50"/>
      <c r="AC148" s="50"/>
      <c r="AD148" s="50"/>
      <c r="AE148" s="50"/>
    </row>
    <row r="149" spans="1:31" outlineLevel="1" x14ac:dyDescent="0.25">
      <c r="A149" s="480">
        <f>ROW()</f>
        <v>149</v>
      </c>
      <c r="B149" s="191" t="s">
        <v>1483</v>
      </c>
      <c r="C149" s="151" t="s">
        <v>1481</v>
      </c>
      <c r="D149" s="151">
        <v>2025</v>
      </c>
      <c r="E149" s="153">
        <v>103623.25</v>
      </c>
      <c r="F149" s="192" t="s">
        <v>1488</v>
      </c>
      <c r="G149" s="697">
        <v>4</v>
      </c>
      <c r="H149" s="697">
        <v>4</v>
      </c>
      <c r="I149" s="697">
        <v>4</v>
      </c>
      <c r="J149" s="697">
        <v>4</v>
      </c>
      <c r="K149" s="697">
        <v>4</v>
      </c>
      <c r="L149" s="697">
        <v>4</v>
      </c>
      <c r="M149" s="697">
        <v>4</v>
      </c>
      <c r="O149" s="343"/>
      <c r="Q149" s="50"/>
      <c r="R149" s="50"/>
      <c r="S149" s="50"/>
      <c r="T149" s="50"/>
      <c r="U149" s="50"/>
      <c r="V149" s="50"/>
      <c r="W149" s="50"/>
      <c r="X149" s="50"/>
      <c r="Y149" s="50"/>
      <c r="Z149" s="50"/>
      <c r="AA149" s="50"/>
      <c r="AB149" s="50"/>
      <c r="AC149" s="50"/>
      <c r="AD149" s="50"/>
      <c r="AE149" s="50"/>
    </row>
    <row r="150" spans="1:31" outlineLevel="1" x14ac:dyDescent="0.25">
      <c r="A150" s="480">
        <f>ROW()</f>
        <v>150</v>
      </c>
      <c r="B150" s="191" t="s">
        <v>1484</v>
      </c>
      <c r="C150" s="151" t="s">
        <v>1481</v>
      </c>
      <c r="D150" s="151">
        <v>2025</v>
      </c>
      <c r="E150" s="153">
        <v>81816.509999999995</v>
      </c>
      <c r="F150" s="192" t="s">
        <v>1489</v>
      </c>
      <c r="G150" s="697">
        <f t="shared" ref="G150:M150" si="30">IF($D150&lt;=G$10,1,0)</f>
        <v>1</v>
      </c>
      <c r="H150" s="697">
        <f t="shared" si="30"/>
        <v>1</v>
      </c>
      <c r="I150" s="697">
        <f t="shared" si="30"/>
        <v>1</v>
      </c>
      <c r="J150" s="697">
        <f t="shared" si="30"/>
        <v>1</v>
      </c>
      <c r="K150" s="697">
        <f t="shared" si="30"/>
        <v>1</v>
      </c>
      <c r="L150" s="697">
        <f t="shared" si="30"/>
        <v>1</v>
      </c>
      <c r="M150" s="697">
        <f t="shared" si="30"/>
        <v>1</v>
      </c>
      <c r="O150" s="343"/>
      <c r="Q150" s="50"/>
      <c r="R150" s="50"/>
      <c r="S150" s="50"/>
      <c r="T150" s="50"/>
      <c r="U150" s="50"/>
      <c r="V150" s="50"/>
      <c r="W150" s="50"/>
      <c r="X150" s="50"/>
      <c r="Y150" s="50"/>
      <c r="Z150" s="50"/>
      <c r="AA150" s="50"/>
      <c r="AB150" s="50"/>
      <c r="AC150" s="50"/>
      <c r="AD150" s="50"/>
      <c r="AE150" s="50"/>
    </row>
    <row r="151" spans="1:31" outlineLevel="1" x14ac:dyDescent="0.25">
      <c r="A151" s="480">
        <f>ROW()</f>
        <v>151</v>
      </c>
      <c r="B151" s="191" t="s">
        <v>1485</v>
      </c>
      <c r="C151" s="151" t="s">
        <v>1481</v>
      </c>
      <c r="D151" s="151">
        <v>2025</v>
      </c>
      <c r="E151" s="153">
        <v>94485</v>
      </c>
      <c r="F151" s="192" t="s">
        <v>1485</v>
      </c>
      <c r="G151" s="697">
        <v>2</v>
      </c>
      <c r="H151" s="697">
        <v>2</v>
      </c>
      <c r="I151" s="697">
        <v>2</v>
      </c>
      <c r="J151" s="697">
        <v>2</v>
      </c>
      <c r="K151" s="697">
        <v>2</v>
      </c>
      <c r="L151" s="697">
        <v>2</v>
      </c>
      <c r="M151" s="697">
        <v>2</v>
      </c>
      <c r="O151" s="343"/>
      <c r="Q151" s="50"/>
      <c r="R151" s="50"/>
      <c r="S151" s="50"/>
      <c r="T151" s="50"/>
      <c r="U151" s="50"/>
      <c r="V151" s="50"/>
      <c r="W151" s="50"/>
      <c r="X151" s="50"/>
      <c r="Y151" s="50"/>
      <c r="Z151" s="50"/>
      <c r="AA151" s="50"/>
      <c r="AB151" s="50"/>
      <c r="AC151" s="50"/>
      <c r="AD151" s="50"/>
      <c r="AE151" s="50"/>
    </row>
    <row r="152" spans="1:31" outlineLevel="1" x14ac:dyDescent="0.25">
      <c r="A152" s="480">
        <f>ROW()</f>
        <v>152</v>
      </c>
      <c r="B152" s="1390"/>
      <c r="C152" s="1391"/>
      <c r="D152" s="1391"/>
      <c r="E152" s="1394"/>
      <c r="F152" s="1394"/>
      <c r="G152" s="140"/>
      <c r="H152" s="140"/>
      <c r="I152" s="140"/>
      <c r="J152" s="140"/>
      <c r="K152" s="140"/>
      <c r="L152" s="140"/>
      <c r="M152" s="140"/>
      <c r="O152" s="343"/>
      <c r="Q152" s="50"/>
      <c r="R152" s="50"/>
      <c r="S152" s="50"/>
      <c r="T152" s="50"/>
      <c r="U152" s="50"/>
      <c r="V152" s="50"/>
      <c r="W152" s="50"/>
      <c r="X152" s="50"/>
      <c r="Y152" s="50"/>
      <c r="Z152" s="50"/>
      <c r="AA152" s="50"/>
      <c r="AB152" s="50"/>
      <c r="AC152" s="50"/>
      <c r="AD152" s="50"/>
      <c r="AE152" s="50"/>
    </row>
    <row r="153" spans="1:31" outlineLevel="1" x14ac:dyDescent="0.25">
      <c r="A153" s="480">
        <f>ROW()</f>
        <v>153</v>
      </c>
      <c r="B153" s="191" t="s">
        <v>1493</v>
      </c>
      <c r="C153" s="151" t="s">
        <v>1481</v>
      </c>
      <c r="D153" s="151">
        <v>2025</v>
      </c>
      <c r="E153" s="323">
        <v>102028</v>
      </c>
      <c r="F153" s="192" t="s">
        <v>1490</v>
      </c>
      <c r="G153" s="697">
        <v>3</v>
      </c>
      <c r="H153" s="697">
        <v>3</v>
      </c>
      <c r="I153" s="697">
        <v>3</v>
      </c>
      <c r="J153" s="697">
        <v>3</v>
      </c>
      <c r="K153" s="697">
        <v>3</v>
      </c>
      <c r="L153" s="697">
        <v>3</v>
      </c>
      <c r="M153" s="697">
        <v>3</v>
      </c>
      <c r="O153" s="343"/>
      <c r="Q153" s="50"/>
      <c r="R153" s="50"/>
      <c r="S153" s="50"/>
      <c r="T153" s="50"/>
      <c r="U153" s="50"/>
      <c r="V153" s="50"/>
      <c r="W153" s="50"/>
      <c r="X153" s="50"/>
      <c r="Y153" s="50"/>
      <c r="Z153" s="50"/>
      <c r="AA153" s="50"/>
      <c r="AB153" s="50"/>
      <c r="AC153" s="50"/>
      <c r="AD153" s="50"/>
      <c r="AE153" s="50"/>
    </row>
    <row r="154" spans="1:31" outlineLevel="1" x14ac:dyDescent="0.25">
      <c r="A154" s="480">
        <f>ROW()</f>
        <v>154</v>
      </c>
      <c r="B154" s="191" t="s">
        <v>1494</v>
      </c>
      <c r="C154" s="151" t="s">
        <v>1481</v>
      </c>
      <c r="D154" s="151">
        <v>2025</v>
      </c>
      <c r="E154" s="153">
        <v>68376</v>
      </c>
      <c r="F154" s="192" t="s">
        <v>1498</v>
      </c>
      <c r="G154" s="697">
        <f t="shared" ref="G154:M156" si="31">IF($D154&lt;=G$10,1,0)</f>
        <v>1</v>
      </c>
      <c r="H154" s="697">
        <f t="shared" si="31"/>
        <v>1</v>
      </c>
      <c r="I154" s="697">
        <f t="shared" si="31"/>
        <v>1</v>
      </c>
      <c r="J154" s="697">
        <f t="shared" si="31"/>
        <v>1</v>
      </c>
      <c r="K154" s="697">
        <f t="shared" si="31"/>
        <v>1</v>
      </c>
      <c r="L154" s="697">
        <f t="shared" si="31"/>
        <v>1</v>
      </c>
      <c r="M154" s="697">
        <f t="shared" si="31"/>
        <v>1</v>
      </c>
      <c r="O154" s="343"/>
      <c r="Q154" s="50"/>
      <c r="R154" s="50"/>
      <c r="S154" s="50"/>
      <c r="T154" s="50"/>
      <c r="U154" s="50"/>
      <c r="V154" s="50"/>
      <c r="W154" s="50"/>
      <c r="X154" s="50"/>
      <c r="Y154" s="50"/>
      <c r="Z154" s="50"/>
      <c r="AA154" s="50"/>
      <c r="AB154" s="50"/>
      <c r="AC154" s="50"/>
      <c r="AD154" s="50"/>
      <c r="AE154" s="50"/>
    </row>
    <row r="155" spans="1:31" outlineLevel="1" x14ac:dyDescent="0.25">
      <c r="A155" s="480">
        <f>ROW()</f>
        <v>155</v>
      </c>
      <c r="B155" s="191" t="s">
        <v>1491</v>
      </c>
      <c r="C155" s="151" t="s">
        <v>1492</v>
      </c>
      <c r="D155" s="151">
        <v>2025</v>
      </c>
      <c r="E155" s="153">
        <v>79979.166666666672</v>
      </c>
      <c r="F155" s="192" t="s">
        <v>1486</v>
      </c>
      <c r="G155" s="697">
        <v>6</v>
      </c>
      <c r="H155" s="697">
        <v>6</v>
      </c>
      <c r="I155" s="697">
        <v>6</v>
      </c>
      <c r="J155" s="697">
        <v>6</v>
      </c>
      <c r="K155" s="697">
        <v>6</v>
      </c>
      <c r="L155" s="697">
        <v>6</v>
      </c>
      <c r="M155" s="697">
        <v>6</v>
      </c>
      <c r="O155" s="343"/>
      <c r="Q155" s="50"/>
      <c r="R155" s="50"/>
      <c r="S155" s="50"/>
      <c r="T155" s="50"/>
      <c r="U155" s="50"/>
      <c r="V155" s="50"/>
      <c r="W155" s="50"/>
      <c r="X155" s="50"/>
      <c r="Y155" s="50"/>
      <c r="Z155" s="50"/>
      <c r="AA155" s="50"/>
      <c r="AB155" s="50"/>
      <c r="AC155" s="50"/>
      <c r="AD155" s="50"/>
      <c r="AE155" s="50"/>
    </row>
    <row r="156" spans="1:31" outlineLevel="1" x14ac:dyDescent="0.25">
      <c r="A156" s="480">
        <f>ROW()</f>
        <v>156</v>
      </c>
      <c r="B156" s="191" t="s">
        <v>1495</v>
      </c>
      <c r="C156" s="151" t="s">
        <v>1492</v>
      </c>
      <c r="D156" s="151">
        <v>2025</v>
      </c>
      <c r="E156" s="153">
        <v>84039</v>
      </c>
      <c r="F156" s="192" t="s">
        <v>1497</v>
      </c>
      <c r="G156" s="697">
        <f t="shared" si="31"/>
        <v>1</v>
      </c>
      <c r="H156" s="697">
        <f t="shared" si="31"/>
        <v>1</v>
      </c>
      <c r="I156" s="697">
        <f t="shared" si="31"/>
        <v>1</v>
      </c>
      <c r="J156" s="697">
        <f t="shared" si="31"/>
        <v>1</v>
      </c>
      <c r="K156" s="697">
        <f t="shared" si="31"/>
        <v>1</v>
      </c>
      <c r="L156" s="697">
        <f t="shared" si="31"/>
        <v>1</v>
      </c>
      <c r="M156" s="697">
        <f t="shared" si="31"/>
        <v>1</v>
      </c>
      <c r="O156" s="343"/>
      <c r="Q156" s="50"/>
      <c r="R156" s="50"/>
      <c r="S156" s="50"/>
      <c r="T156" s="50"/>
      <c r="U156" s="50"/>
      <c r="V156" s="50"/>
      <c r="W156" s="50"/>
      <c r="X156" s="50"/>
      <c r="Y156" s="50"/>
      <c r="Z156" s="50"/>
      <c r="AA156" s="50"/>
      <c r="AB156" s="50"/>
      <c r="AC156" s="50"/>
      <c r="AD156" s="50"/>
      <c r="AE156" s="50"/>
    </row>
    <row r="157" spans="1:31" outlineLevel="1" x14ac:dyDescent="0.25">
      <c r="A157" s="480">
        <f>ROW()</f>
        <v>157</v>
      </c>
      <c r="B157" s="191" t="s">
        <v>1496</v>
      </c>
      <c r="C157" s="151" t="s">
        <v>1492</v>
      </c>
      <c r="D157" s="151">
        <v>2025</v>
      </c>
      <c r="E157" s="153">
        <v>83170</v>
      </c>
      <c r="F157" s="192" t="s">
        <v>1488</v>
      </c>
      <c r="G157" s="697">
        <v>6</v>
      </c>
      <c r="H157" s="697">
        <v>6</v>
      </c>
      <c r="I157" s="697">
        <v>6</v>
      </c>
      <c r="J157" s="697">
        <v>6</v>
      </c>
      <c r="K157" s="697">
        <v>6</v>
      </c>
      <c r="L157" s="697">
        <v>6</v>
      </c>
      <c r="M157" s="697">
        <v>6</v>
      </c>
      <c r="O157" s="343"/>
      <c r="Q157" s="50"/>
      <c r="R157" s="50"/>
      <c r="S157" s="50"/>
      <c r="T157" s="50"/>
      <c r="U157" s="50"/>
      <c r="V157" s="50"/>
      <c r="W157" s="50"/>
      <c r="X157" s="50"/>
      <c r="Y157" s="50"/>
      <c r="Z157" s="50"/>
      <c r="AA157" s="50"/>
      <c r="AB157" s="50"/>
      <c r="AC157" s="50"/>
      <c r="AD157" s="50"/>
      <c r="AE157" s="50"/>
    </row>
    <row r="158" spans="1:31" outlineLevel="1" x14ac:dyDescent="0.25">
      <c r="A158" s="480">
        <f>ROW()</f>
        <v>158</v>
      </c>
      <c r="B158" s="1390"/>
      <c r="C158" s="1391"/>
      <c r="D158" s="1393"/>
      <c r="E158" s="1394"/>
      <c r="F158" s="1394"/>
      <c r="G158" s="140"/>
      <c r="H158" s="140"/>
      <c r="I158" s="140"/>
      <c r="J158" s="140"/>
      <c r="K158" s="140"/>
      <c r="L158" s="140"/>
      <c r="M158" s="140"/>
      <c r="O158" s="343"/>
      <c r="Q158" s="50"/>
      <c r="R158" s="50"/>
      <c r="S158" s="50"/>
      <c r="T158" s="50"/>
      <c r="U158" s="50"/>
      <c r="V158" s="50"/>
      <c r="W158" s="50"/>
      <c r="X158" s="50"/>
      <c r="Y158" s="50"/>
      <c r="Z158" s="50"/>
      <c r="AA158" s="50"/>
      <c r="AB158" s="50"/>
      <c r="AC158" s="50"/>
      <c r="AD158" s="50"/>
      <c r="AE158" s="50"/>
    </row>
    <row r="159" spans="1:31" outlineLevel="1" x14ac:dyDescent="0.25">
      <c r="A159" s="480">
        <f>ROW()</f>
        <v>159</v>
      </c>
      <c r="B159" s="191" t="s">
        <v>1499</v>
      </c>
      <c r="C159" s="151" t="s">
        <v>1492</v>
      </c>
      <c r="D159" s="151">
        <v>2025</v>
      </c>
      <c r="E159" s="323">
        <v>105799.5</v>
      </c>
      <c r="F159" s="192" t="s">
        <v>1501</v>
      </c>
      <c r="G159" s="697">
        <v>2</v>
      </c>
      <c r="H159" s="697">
        <v>2</v>
      </c>
      <c r="I159" s="697">
        <v>2</v>
      </c>
      <c r="J159" s="697">
        <v>2</v>
      </c>
      <c r="K159" s="697">
        <v>2</v>
      </c>
      <c r="L159" s="697">
        <v>2</v>
      </c>
      <c r="M159" s="697">
        <v>2</v>
      </c>
      <c r="O159" s="343"/>
      <c r="Q159" s="50"/>
      <c r="R159" s="50"/>
      <c r="S159" s="50"/>
      <c r="T159" s="50"/>
      <c r="U159" s="50"/>
      <c r="V159" s="50"/>
      <c r="W159" s="50"/>
      <c r="X159" s="50"/>
      <c r="Y159" s="50"/>
      <c r="Z159" s="50"/>
      <c r="AA159" s="50"/>
      <c r="AB159" s="50"/>
      <c r="AC159" s="50"/>
      <c r="AD159" s="50"/>
      <c r="AE159" s="50"/>
    </row>
    <row r="160" spans="1:31" outlineLevel="1" x14ac:dyDescent="0.25">
      <c r="A160" s="480">
        <f>ROW()</f>
        <v>160</v>
      </c>
      <c r="B160" s="191" t="s">
        <v>1500</v>
      </c>
      <c r="C160" s="151" t="s">
        <v>1492</v>
      </c>
      <c r="D160" s="151">
        <v>2025</v>
      </c>
      <c r="E160" s="153">
        <v>95529.2</v>
      </c>
      <c r="F160" s="192" t="s">
        <v>1490</v>
      </c>
      <c r="G160" s="697">
        <v>5</v>
      </c>
      <c r="H160" s="697">
        <v>5</v>
      </c>
      <c r="I160" s="697">
        <v>5</v>
      </c>
      <c r="J160" s="697">
        <v>5</v>
      </c>
      <c r="K160" s="697">
        <v>5</v>
      </c>
      <c r="L160" s="697">
        <v>5</v>
      </c>
      <c r="M160" s="697">
        <v>5</v>
      </c>
      <c r="O160" s="343"/>
      <c r="Q160" s="50"/>
      <c r="R160" s="50"/>
      <c r="S160" s="50"/>
      <c r="T160" s="50"/>
      <c r="U160" s="50"/>
      <c r="V160" s="50"/>
      <c r="W160" s="50"/>
      <c r="X160" s="50"/>
      <c r="Y160" s="50"/>
      <c r="Z160" s="50"/>
      <c r="AA160" s="50"/>
      <c r="AB160" s="50"/>
      <c r="AC160" s="50"/>
      <c r="AD160" s="50"/>
      <c r="AE160" s="50"/>
    </row>
    <row r="161" spans="1:31" outlineLevel="1" x14ac:dyDescent="0.25">
      <c r="A161" s="480">
        <f>ROW()</f>
        <v>161</v>
      </c>
      <c r="B161" s="191" t="s">
        <v>1503</v>
      </c>
      <c r="C161" s="151" t="s">
        <v>1492</v>
      </c>
      <c r="D161" s="151">
        <v>2025</v>
      </c>
      <c r="E161" s="153">
        <v>84041.5</v>
      </c>
      <c r="F161" s="192" t="s">
        <v>1502</v>
      </c>
      <c r="G161" s="697">
        <v>2</v>
      </c>
      <c r="H161" s="697">
        <v>2</v>
      </c>
      <c r="I161" s="697">
        <v>2</v>
      </c>
      <c r="J161" s="697">
        <v>2</v>
      </c>
      <c r="K161" s="697">
        <v>2</v>
      </c>
      <c r="L161" s="697">
        <v>2</v>
      </c>
      <c r="M161" s="697">
        <v>2</v>
      </c>
      <c r="O161" s="343"/>
      <c r="Q161" s="50"/>
      <c r="R161" s="50"/>
      <c r="S161" s="50"/>
      <c r="T161" s="50"/>
      <c r="U161" s="50"/>
      <c r="V161" s="50"/>
      <c r="W161" s="50"/>
      <c r="X161" s="50"/>
      <c r="Y161" s="50"/>
      <c r="Z161" s="50"/>
      <c r="AA161" s="50"/>
      <c r="AB161" s="50"/>
      <c r="AC161" s="50"/>
      <c r="AD161" s="50"/>
      <c r="AE161" s="50"/>
    </row>
    <row r="162" spans="1:31" outlineLevel="1" x14ac:dyDescent="0.25">
      <c r="A162" s="480">
        <f>ROW()</f>
        <v>162</v>
      </c>
      <c r="B162" s="191" t="s">
        <v>1504</v>
      </c>
      <c r="C162" s="151" t="s">
        <v>1492</v>
      </c>
      <c r="D162" s="151">
        <v>2025</v>
      </c>
      <c r="E162" s="153">
        <v>117114</v>
      </c>
      <c r="F162" s="192" t="s">
        <v>1487</v>
      </c>
      <c r="G162" s="697">
        <f t="shared" ref="G162:M163" si="32">IF($D162&lt;=G$10,1,0)</f>
        <v>1</v>
      </c>
      <c r="H162" s="697">
        <f t="shared" si="32"/>
        <v>1</v>
      </c>
      <c r="I162" s="697">
        <f t="shared" si="32"/>
        <v>1</v>
      </c>
      <c r="J162" s="697">
        <f t="shared" si="32"/>
        <v>1</v>
      </c>
      <c r="K162" s="697">
        <f t="shared" si="32"/>
        <v>1</v>
      </c>
      <c r="L162" s="697">
        <f t="shared" si="32"/>
        <v>1</v>
      </c>
      <c r="M162" s="697">
        <f t="shared" si="32"/>
        <v>1</v>
      </c>
      <c r="O162" s="343"/>
      <c r="Q162" s="50"/>
      <c r="R162" s="50"/>
      <c r="S162" s="50"/>
      <c r="T162" s="50"/>
      <c r="U162" s="50"/>
      <c r="V162" s="50"/>
      <c r="W162" s="50"/>
      <c r="X162" s="50"/>
      <c r="Y162" s="50"/>
      <c r="Z162" s="50"/>
      <c r="AA162" s="50"/>
      <c r="AB162" s="50"/>
      <c r="AC162" s="50"/>
      <c r="AD162" s="50"/>
      <c r="AE162" s="50"/>
    </row>
    <row r="163" spans="1:31" outlineLevel="1" x14ac:dyDescent="0.25">
      <c r="A163" s="480">
        <f>ROW()</f>
        <v>163</v>
      </c>
      <c r="B163" s="191" t="s">
        <v>1505</v>
      </c>
      <c r="C163" s="151" t="s">
        <v>1492</v>
      </c>
      <c r="D163" s="151">
        <v>2025</v>
      </c>
      <c r="E163" s="153">
        <v>64893</v>
      </c>
      <c r="F163" s="192" t="s">
        <v>1506</v>
      </c>
      <c r="G163" s="697">
        <f t="shared" si="32"/>
        <v>1</v>
      </c>
      <c r="H163" s="697">
        <f t="shared" si="32"/>
        <v>1</v>
      </c>
      <c r="I163" s="697">
        <f t="shared" si="32"/>
        <v>1</v>
      </c>
      <c r="J163" s="697">
        <f t="shared" si="32"/>
        <v>1</v>
      </c>
      <c r="K163" s="697">
        <f t="shared" si="32"/>
        <v>1</v>
      </c>
      <c r="L163" s="697">
        <f t="shared" si="32"/>
        <v>1</v>
      </c>
      <c r="M163" s="697">
        <f t="shared" si="32"/>
        <v>1</v>
      </c>
      <c r="O163" s="343"/>
      <c r="Q163" s="50"/>
      <c r="R163" s="50"/>
      <c r="S163" s="50"/>
      <c r="T163" s="50"/>
      <c r="U163" s="50"/>
      <c r="V163" s="50"/>
      <c r="W163" s="50"/>
      <c r="X163" s="50"/>
      <c r="Y163" s="50"/>
      <c r="Z163" s="50"/>
      <c r="AA163" s="50"/>
      <c r="AB163" s="50"/>
      <c r="AC163" s="50"/>
      <c r="AD163" s="50"/>
      <c r="AE163" s="50"/>
    </row>
    <row r="164" spans="1:31" outlineLevel="1" x14ac:dyDescent="0.25">
      <c r="A164" s="480">
        <f>ROW()</f>
        <v>164</v>
      </c>
      <c r="B164" s="1390"/>
      <c r="C164" s="1391"/>
      <c r="D164" s="1391"/>
      <c r="E164" s="1395"/>
      <c r="F164" s="1395"/>
      <c r="G164" s="140"/>
      <c r="H164" s="140"/>
      <c r="I164" s="140"/>
      <c r="J164" s="140"/>
      <c r="K164" s="140"/>
      <c r="L164" s="140"/>
      <c r="M164" s="140"/>
      <c r="O164" s="343"/>
      <c r="Q164" s="50"/>
      <c r="R164" s="50"/>
      <c r="S164" s="50"/>
      <c r="T164" s="50"/>
      <c r="U164" s="50"/>
      <c r="V164" s="50"/>
      <c r="W164" s="50"/>
      <c r="X164" s="50"/>
      <c r="Y164" s="50"/>
      <c r="Z164" s="50"/>
      <c r="AA164" s="50"/>
      <c r="AB164" s="50"/>
      <c r="AC164" s="50"/>
      <c r="AD164" s="50"/>
      <c r="AE164" s="50"/>
    </row>
    <row r="165" spans="1:31" outlineLevel="1" x14ac:dyDescent="0.25">
      <c r="A165" s="480">
        <f>ROW()</f>
        <v>165</v>
      </c>
      <c r="B165" s="191" t="s">
        <v>673</v>
      </c>
      <c r="C165" s="151" t="s">
        <v>640</v>
      </c>
      <c r="D165" s="151" t="s">
        <v>671</v>
      </c>
      <c r="E165" s="323">
        <v>0</v>
      </c>
      <c r="F165" s="192" t="s">
        <v>672</v>
      </c>
      <c r="G165" s="697">
        <f t="shared" ref="G165:M169" si="33">IF($D165&lt;=G$10,1,0)</f>
        <v>0</v>
      </c>
      <c r="H165" s="697">
        <f t="shared" si="33"/>
        <v>0</v>
      </c>
      <c r="I165" s="697">
        <f t="shared" si="33"/>
        <v>0</v>
      </c>
      <c r="J165" s="697">
        <f t="shared" si="33"/>
        <v>0</v>
      </c>
      <c r="K165" s="697">
        <f t="shared" si="33"/>
        <v>0</v>
      </c>
      <c r="L165" s="697">
        <f t="shared" si="33"/>
        <v>0</v>
      </c>
      <c r="M165" s="697">
        <f t="shared" si="33"/>
        <v>0</v>
      </c>
      <c r="O165" s="343"/>
      <c r="Q165" s="50"/>
      <c r="R165" s="50"/>
      <c r="S165" s="50"/>
      <c r="T165" s="50"/>
      <c r="U165" s="50"/>
      <c r="V165" s="50"/>
      <c r="W165" s="50"/>
      <c r="X165" s="50"/>
      <c r="Y165" s="50"/>
      <c r="Z165" s="50"/>
      <c r="AA165" s="50"/>
      <c r="AB165" s="50"/>
      <c r="AC165" s="50"/>
      <c r="AD165" s="50"/>
      <c r="AE165" s="50"/>
    </row>
    <row r="166" spans="1:31" outlineLevel="1" x14ac:dyDescent="0.25">
      <c r="A166" s="480">
        <f>ROW()</f>
        <v>166</v>
      </c>
      <c r="B166" s="191" t="s">
        <v>673</v>
      </c>
      <c r="C166" s="151" t="s">
        <v>640</v>
      </c>
      <c r="D166" s="151" t="s">
        <v>671</v>
      </c>
      <c r="E166" s="153">
        <v>0</v>
      </c>
      <c r="F166" s="192" t="s">
        <v>672</v>
      </c>
      <c r="G166" s="697">
        <f t="shared" si="33"/>
        <v>0</v>
      </c>
      <c r="H166" s="697">
        <f t="shared" si="33"/>
        <v>0</v>
      </c>
      <c r="I166" s="697">
        <f t="shared" si="33"/>
        <v>0</v>
      </c>
      <c r="J166" s="697">
        <f t="shared" si="33"/>
        <v>0</v>
      </c>
      <c r="K166" s="697">
        <f t="shared" si="33"/>
        <v>0</v>
      </c>
      <c r="L166" s="697">
        <f t="shared" si="33"/>
        <v>0</v>
      </c>
      <c r="M166" s="697">
        <f t="shared" si="33"/>
        <v>0</v>
      </c>
      <c r="O166" s="343"/>
      <c r="Q166" s="50"/>
      <c r="R166" s="50"/>
      <c r="S166" s="50"/>
      <c r="T166" s="50"/>
      <c r="U166" s="50"/>
      <c r="V166" s="50"/>
      <c r="W166" s="50"/>
      <c r="X166" s="50"/>
      <c r="Y166" s="50"/>
      <c r="Z166" s="50"/>
      <c r="AA166" s="50"/>
      <c r="AB166" s="50"/>
      <c r="AC166" s="50"/>
      <c r="AD166" s="50"/>
      <c r="AE166" s="50"/>
    </row>
    <row r="167" spans="1:31" outlineLevel="1" x14ac:dyDescent="0.25">
      <c r="A167" s="480">
        <f>ROW()</f>
        <v>167</v>
      </c>
      <c r="B167" s="191" t="s">
        <v>673</v>
      </c>
      <c r="C167" s="151" t="s">
        <v>640</v>
      </c>
      <c r="D167" s="151" t="s">
        <v>671</v>
      </c>
      <c r="E167" s="153">
        <v>0</v>
      </c>
      <c r="F167" s="192" t="s">
        <v>672</v>
      </c>
      <c r="G167" s="697">
        <f t="shared" si="33"/>
        <v>0</v>
      </c>
      <c r="H167" s="697">
        <f t="shared" si="33"/>
        <v>0</v>
      </c>
      <c r="I167" s="697">
        <f t="shared" si="33"/>
        <v>0</v>
      </c>
      <c r="J167" s="697">
        <f t="shared" si="33"/>
        <v>0</v>
      </c>
      <c r="K167" s="697">
        <f t="shared" si="33"/>
        <v>0</v>
      </c>
      <c r="L167" s="697">
        <f t="shared" si="33"/>
        <v>0</v>
      </c>
      <c r="M167" s="697">
        <f t="shared" si="33"/>
        <v>0</v>
      </c>
      <c r="O167" s="343"/>
      <c r="Q167" s="50"/>
      <c r="R167" s="50"/>
      <c r="S167" s="50"/>
      <c r="T167" s="50"/>
      <c r="U167" s="50"/>
      <c r="V167" s="50"/>
      <c r="W167" s="50"/>
      <c r="X167" s="50"/>
      <c r="Y167" s="50"/>
      <c r="Z167" s="50"/>
      <c r="AA167" s="50"/>
      <c r="AB167" s="50"/>
      <c r="AC167" s="50"/>
      <c r="AD167" s="50"/>
      <c r="AE167" s="50"/>
    </row>
    <row r="168" spans="1:31" outlineLevel="1" x14ac:dyDescent="0.25">
      <c r="A168" s="480">
        <f>ROW()</f>
        <v>168</v>
      </c>
      <c r="B168" s="191" t="s">
        <v>673</v>
      </c>
      <c r="C168" s="151" t="s">
        <v>640</v>
      </c>
      <c r="D168" s="151" t="s">
        <v>671</v>
      </c>
      <c r="E168" s="153">
        <v>0</v>
      </c>
      <c r="F168" s="192" t="s">
        <v>672</v>
      </c>
      <c r="G168" s="697">
        <f t="shared" si="33"/>
        <v>0</v>
      </c>
      <c r="H168" s="697">
        <f t="shared" si="33"/>
        <v>0</v>
      </c>
      <c r="I168" s="697">
        <f t="shared" si="33"/>
        <v>0</v>
      </c>
      <c r="J168" s="697">
        <f t="shared" si="33"/>
        <v>0</v>
      </c>
      <c r="K168" s="697">
        <f t="shared" si="33"/>
        <v>0</v>
      </c>
      <c r="L168" s="697">
        <f t="shared" si="33"/>
        <v>0</v>
      </c>
      <c r="M168" s="697">
        <f t="shared" si="33"/>
        <v>0</v>
      </c>
      <c r="O168" s="343"/>
      <c r="Q168" s="50"/>
      <c r="R168" s="50"/>
      <c r="S168" s="50"/>
      <c r="T168" s="50"/>
      <c r="U168" s="50"/>
      <c r="V168" s="50"/>
      <c r="W168" s="50"/>
      <c r="X168" s="50"/>
      <c r="Y168" s="50"/>
      <c r="Z168" s="50"/>
      <c r="AA168" s="50"/>
      <c r="AB168" s="50"/>
      <c r="AC168" s="50"/>
      <c r="AD168" s="50"/>
      <c r="AE168" s="50"/>
    </row>
    <row r="169" spans="1:31" outlineLevel="1" x14ac:dyDescent="0.25">
      <c r="A169" s="480">
        <f>ROW()</f>
        <v>169</v>
      </c>
      <c r="B169" s="191"/>
      <c r="C169" s="151" t="s">
        <v>640</v>
      </c>
      <c r="D169" s="151" t="s">
        <v>671</v>
      </c>
      <c r="E169" s="153">
        <v>0</v>
      </c>
      <c r="F169" s="192"/>
      <c r="G169" s="697">
        <f t="shared" si="33"/>
        <v>0</v>
      </c>
      <c r="H169" s="697">
        <f t="shared" si="33"/>
        <v>0</v>
      </c>
      <c r="I169" s="697">
        <f t="shared" si="33"/>
        <v>0</v>
      </c>
      <c r="J169" s="697">
        <f t="shared" si="33"/>
        <v>0</v>
      </c>
      <c r="K169" s="697">
        <f t="shared" si="33"/>
        <v>0</v>
      </c>
      <c r="L169" s="697">
        <f t="shared" si="33"/>
        <v>0</v>
      </c>
      <c r="M169" s="697">
        <f t="shared" si="33"/>
        <v>0</v>
      </c>
      <c r="O169" s="343"/>
      <c r="Q169" s="50"/>
      <c r="R169" s="50"/>
      <c r="S169" s="50"/>
      <c r="T169" s="50"/>
      <c r="U169" s="50"/>
      <c r="V169" s="50"/>
      <c r="W169" s="50"/>
      <c r="X169" s="50"/>
      <c r="Y169" s="50"/>
      <c r="Z169" s="50"/>
      <c r="AA169" s="50"/>
      <c r="AB169" s="50"/>
      <c r="AC169" s="50"/>
      <c r="AD169" s="50"/>
      <c r="AE169" s="50"/>
    </row>
    <row r="170" spans="1:31" outlineLevel="1" x14ac:dyDescent="0.25">
      <c r="A170" s="480">
        <f>ROW()</f>
        <v>170</v>
      </c>
      <c r="B170" s="1390"/>
      <c r="C170" s="1391"/>
      <c r="D170" s="1393"/>
      <c r="E170" s="1394"/>
      <c r="F170" s="1395"/>
      <c r="G170" s="140"/>
      <c r="H170" s="140"/>
      <c r="I170" s="140"/>
      <c r="J170" s="140"/>
      <c r="K170" s="140"/>
      <c r="L170" s="140"/>
      <c r="M170" s="140"/>
      <c r="O170" s="343"/>
      <c r="Q170" s="50"/>
      <c r="R170" s="50"/>
      <c r="S170" s="50"/>
      <c r="T170" s="50"/>
      <c r="U170" s="50"/>
      <c r="V170" s="50"/>
      <c r="W170" s="50"/>
      <c r="X170" s="50"/>
      <c r="Y170" s="50"/>
      <c r="Z170" s="50"/>
      <c r="AA170" s="50"/>
      <c r="AB170" s="50"/>
      <c r="AC170" s="50"/>
      <c r="AD170" s="50"/>
      <c r="AE170" s="50"/>
    </row>
    <row r="171" spans="1:31" outlineLevel="1" x14ac:dyDescent="0.25">
      <c r="A171" s="480">
        <f>ROW()</f>
        <v>171</v>
      </c>
      <c r="B171" s="191" t="s">
        <v>674</v>
      </c>
      <c r="C171" s="151" t="s">
        <v>640</v>
      </c>
      <c r="D171" s="151" t="s">
        <v>671</v>
      </c>
      <c r="E171" s="323">
        <v>0</v>
      </c>
      <c r="F171" s="192" t="s">
        <v>672</v>
      </c>
      <c r="G171" s="697">
        <f t="shared" ref="G171:M175" si="34">IF($D171&lt;=G$10,1,0)</f>
        <v>0</v>
      </c>
      <c r="H171" s="697">
        <f t="shared" si="34"/>
        <v>0</v>
      </c>
      <c r="I171" s="697">
        <f t="shared" si="34"/>
        <v>0</v>
      </c>
      <c r="J171" s="697">
        <f t="shared" si="34"/>
        <v>0</v>
      </c>
      <c r="K171" s="697">
        <f t="shared" si="34"/>
        <v>0</v>
      </c>
      <c r="L171" s="697">
        <f t="shared" si="34"/>
        <v>0</v>
      </c>
      <c r="M171" s="697">
        <f t="shared" si="34"/>
        <v>0</v>
      </c>
      <c r="O171" s="343"/>
      <c r="Q171" s="50"/>
      <c r="R171" s="50"/>
      <c r="S171" s="50"/>
      <c r="T171" s="50"/>
      <c r="U171" s="50"/>
      <c r="V171" s="50"/>
      <c r="W171" s="50"/>
      <c r="X171" s="50"/>
      <c r="Y171" s="50"/>
      <c r="Z171" s="50"/>
      <c r="AA171" s="50"/>
      <c r="AB171" s="50"/>
      <c r="AC171" s="50"/>
      <c r="AD171" s="50"/>
      <c r="AE171" s="50"/>
    </row>
    <row r="172" spans="1:31" outlineLevel="1" x14ac:dyDescent="0.25">
      <c r="A172" s="480">
        <f>ROW()</f>
        <v>172</v>
      </c>
      <c r="B172" s="191" t="s">
        <v>674</v>
      </c>
      <c r="C172" s="151" t="s">
        <v>640</v>
      </c>
      <c r="D172" s="151" t="s">
        <v>671</v>
      </c>
      <c r="E172" s="153">
        <v>0</v>
      </c>
      <c r="F172" s="192" t="s">
        <v>672</v>
      </c>
      <c r="G172" s="697">
        <f t="shared" si="34"/>
        <v>0</v>
      </c>
      <c r="H172" s="697">
        <f t="shared" si="34"/>
        <v>0</v>
      </c>
      <c r="I172" s="697">
        <f t="shared" si="34"/>
        <v>0</v>
      </c>
      <c r="J172" s="697">
        <f t="shared" si="34"/>
        <v>0</v>
      </c>
      <c r="K172" s="697">
        <f t="shared" si="34"/>
        <v>0</v>
      </c>
      <c r="L172" s="697">
        <f t="shared" si="34"/>
        <v>0</v>
      </c>
      <c r="M172" s="697">
        <f t="shared" si="34"/>
        <v>0</v>
      </c>
      <c r="O172" s="343"/>
      <c r="Q172" s="50"/>
      <c r="R172" s="50"/>
      <c r="S172" s="50"/>
      <c r="T172" s="50"/>
      <c r="U172" s="50"/>
      <c r="V172" s="50"/>
      <c r="W172" s="50"/>
      <c r="X172" s="50"/>
      <c r="Y172" s="50"/>
      <c r="Z172" s="50"/>
      <c r="AA172" s="50"/>
      <c r="AB172" s="50"/>
      <c r="AC172" s="50"/>
      <c r="AD172" s="50"/>
      <c r="AE172" s="50"/>
    </row>
    <row r="173" spans="1:31" outlineLevel="1" x14ac:dyDescent="0.25">
      <c r="A173" s="480">
        <f>ROW()</f>
        <v>173</v>
      </c>
      <c r="B173" s="191" t="s">
        <v>674</v>
      </c>
      <c r="C173" s="151" t="s">
        <v>640</v>
      </c>
      <c r="D173" s="151" t="s">
        <v>671</v>
      </c>
      <c r="E173" s="153">
        <v>0</v>
      </c>
      <c r="F173" s="192" t="s">
        <v>672</v>
      </c>
      <c r="G173" s="697">
        <f t="shared" si="34"/>
        <v>0</v>
      </c>
      <c r="H173" s="697">
        <f t="shared" si="34"/>
        <v>0</v>
      </c>
      <c r="I173" s="697">
        <f t="shared" si="34"/>
        <v>0</v>
      </c>
      <c r="J173" s="697">
        <f t="shared" si="34"/>
        <v>0</v>
      </c>
      <c r="K173" s="697">
        <f t="shared" si="34"/>
        <v>0</v>
      </c>
      <c r="L173" s="697">
        <f t="shared" si="34"/>
        <v>0</v>
      </c>
      <c r="M173" s="697">
        <f t="shared" si="34"/>
        <v>0</v>
      </c>
      <c r="O173" s="343"/>
      <c r="Q173" s="50"/>
      <c r="R173" s="50"/>
      <c r="S173" s="50"/>
      <c r="T173" s="50"/>
      <c r="U173" s="50"/>
      <c r="V173" s="50"/>
      <c r="W173" s="50"/>
      <c r="X173" s="50"/>
      <c r="Y173" s="50"/>
      <c r="Z173" s="50"/>
      <c r="AA173" s="50"/>
      <c r="AB173" s="50"/>
      <c r="AC173" s="50"/>
      <c r="AD173" s="50"/>
      <c r="AE173" s="50"/>
    </row>
    <row r="174" spans="1:31" outlineLevel="1" x14ac:dyDescent="0.25">
      <c r="A174" s="480">
        <f>ROW()</f>
        <v>174</v>
      </c>
      <c r="B174" s="191" t="s">
        <v>674</v>
      </c>
      <c r="C174" s="151" t="s">
        <v>640</v>
      </c>
      <c r="D174" s="151" t="s">
        <v>671</v>
      </c>
      <c r="E174" s="153">
        <v>0</v>
      </c>
      <c r="F174" s="192" t="s">
        <v>672</v>
      </c>
      <c r="G174" s="697">
        <f t="shared" si="34"/>
        <v>0</v>
      </c>
      <c r="H174" s="697">
        <f t="shared" si="34"/>
        <v>0</v>
      </c>
      <c r="I174" s="697">
        <f t="shared" si="34"/>
        <v>0</v>
      </c>
      <c r="J174" s="697">
        <f t="shared" si="34"/>
        <v>0</v>
      </c>
      <c r="K174" s="697">
        <f t="shared" si="34"/>
        <v>0</v>
      </c>
      <c r="L174" s="697">
        <f t="shared" si="34"/>
        <v>0</v>
      </c>
      <c r="M174" s="697">
        <f t="shared" si="34"/>
        <v>0</v>
      </c>
      <c r="O174" s="343"/>
      <c r="Q174" s="50"/>
      <c r="R174" s="50"/>
      <c r="S174" s="50"/>
      <c r="T174" s="50"/>
      <c r="U174" s="50"/>
      <c r="V174" s="50"/>
      <c r="W174" s="50"/>
      <c r="X174" s="50"/>
      <c r="Y174" s="50"/>
      <c r="Z174" s="50"/>
      <c r="AA174" s="50"/>
      <c r="AB174" s="50"/>
      <c r="AC174" s="50"/>
      <c r="AD174" s="50"/>
      <c r="AE174" s="50"/>
    </row>
    <row r="175" spans="1:31" outlineLevel="1" x14ac:dyDescent="0.25">
      <c r="A175" s="480">
        <f>ROW()</f>
        <v>175</v>
      </c>
      <c r="B175" s="191"/>
      <c r="C175" s="151" t="s">
        <v>640</v>
      </c>
      <c r="D175" s="151" t="s">
        <v>671</v>
      </c>
      <c r="E175" s="153">
        <v>0</v>
      </c>
      <c r="F175" s="192"/>
      <c r="G175" s="697">
        <f t="shared" si="34"/>
        <v>0</v>
      </c>
      <c r="H175" s="697">
        <f t="shared" si="34"/>
        <v>0</v>
      </c>
      <c r="I175" s="697">
        <f t="shared" si="34"/>
        <v>0</v>
      </c>
      <c r="J175" s="697">
        <f t="shared" si="34"/>
        <v>0</v>
      </c>
      <c r="K175" s="697">
        <f t="shared" si="34"/>
        <v>0</v>
      </c>
      <c r="L175" s="697">
        <f t="shared" si="34"/>
        <v>0</v>
      </c>
      <c r="M175" s="697">
        <f t="shared" si="34"/>
        <v>0</v>
      </c>
      <c r="O175" s="343"/>
      <c r="Q175" s="50"/>
      <c r="R175" s="50"/>
      <c r="S175" s="50"/>
      <c r="T175" s="50"/>
      <c r="U175" s="50"/>
      <c r="V175" s="50"/>
      <c r="W175" s="50"/>
      <c r="X175" s="50"/>
      <c r="Y175" s="50"/>
      <c r="Z175" s="50"/>
      <c r="AA175" s="50"/>
      <c r="AB175" s="50"/>
      <c r="AC175" s="50"/>
      <c r="AD175" s="50"/>
      <c r="AE175" s="50"/>
    </row>
    <row r="176" spans="1:31" outlineLevel="1" x14ac:dyDescent="0.25">
      <c r="A176" s="480">
        <f>ROW()</f>
        <v>176</v>
      </c>
      <c r="B176" s="1390"/>
      <c r="C176" s="1391"/>
      <c r="D176" s="1391"/>
      <c r="E176" s="1394"/>
      <c r="F176" s="1395"/>
      <c r="G176" s="140"/>
      <c r="H176" s="140"/>
      <c r="I176" s="140"/>
      <c r="J176" s="140"/>
      <c r="K176" s="140"/>
      <c r="L176" s="140"/>
      <c r="M176" s="140"/>
      <c r="O176" s="343"/>
      <c r="Q176" s="50"/>
      <c r="R176" s="50"/>
      <c r="S176" s="50"/>
      <c r="T176" s="50"/>
      <c r="U176" s="50"/>
      <c r="V176" s="50"/>
      <c r="W176" s="50"/>
      <c r="X176" s="50"/>
      <c r="Y176" s="50"/>
      <c r="Z176" s="50"/>
      <c r="AA176" s="50"/>
      <c r="AB176" s="50"/>
      <c r="AC176" s="50"/>
      <c r="AD176" s="50"/>
      <c r="AE176" s="50"/>
    </row>
    <row r="177" spans="1:31" outlineLevel="1" x14ac:dyDescent="0.25">
      <c r="A177" s="480">
        <f>ROW()</f>
        <v>177</v>
      </c>
      <c r="B177" s="191" t="s">
        <v>675</v>
      </c>
      <c r="C177" s="151" t="s">
        <v>640</v>
      </c>
      <c r="D177" s="151" t="s">
        <v>671</v>
      </c>
      <c r="E177" s="323">
        <v>0</v>
      </c>
      <c r="F177" s="192" t="s">
        <v>672</v>
      </c>
      <c r="G177" s="697">
        <f t="shared" ref="G177:M181" si="35">IF($D177&lt;=G$10,1,0)</f>
        <v>0</v>
      </c>
      <c r="H177" s="697">
        <f t="shared" si="35"/>
        <v>0</v>
      </c>
      <c r="I177" s="697">
        <f t="shared" si="35"/>
        <v>0</v>
      </c>
      <c r="J177" s="697">
        <f t="shared" si="35"/>
        <v>0</v>
      </c>
      <c r="K177" s="697">
        <f t="shared" si="35"/>
        <v>0</v>
      </c>
      <c r="L177" s="697">
        <f t="shared" si="35"/>
        <v>0</v>
      </c>
      <c r="M177" s="697">
        <f t="shared" si="35"/>
        <v>0</v>
      </c>
      <c r="O177" s="343"/>
      <c r="Q177" s="50"/>
      <c r="R177" s="50"/>
      <c r="S177" s="50"/>
      <c r="T177" s="50"/>
      <c r="U177" s="50"/>
      <c r="V177" s="50"/>
      <c r="W177" s="50"/>
      <c r="X177" s="50"/>
      <c r="Y177" s="50"/>
      <c r="Z177" s="50"/>
      <c r="AA177" s="50"/>
      <c r="AB177" s="50"/>
      <c r="AC177" s="50"/>
      <c r="AD177" s="50"/>
      <c r="AE177" s="50"/>
    </row>
    <row r="178" spans="1:31" outlineLevel="1" x14ac:dyDescent="0.25">
      <c r="A178" s="480">
        <f>ROW()</f>
        <v>178</v>
      </c>
      <c r="B178" s="191" t="s">
        <v>675</v>
      </c>
      <c r="C178" s="151" t="s">
        <v>640</v>
      </c>
      <c r="D178" s="151" t="s">
        <v>671</v>
      </c>
      <c r="E178" s="153">
        <v>0</v>
      </c>
      <c r="F178" s="192" t="s">
        <v>672</v>
      </c>
      <c r="G178" s="697">
        <f t="shared" si="35"/>
        <v>0</v>
      </c>
      <c r="H178" s="697">
        <f t="shared" si="35"/>
        <v>0</v>
      </c>
      <c r="I178" s="697">
        <f t="shared" si="35"/>
        <v>0</v>
      </c>
      <c r="J178" s="697">
        <f t="shared" si="35"/>
        <v>0</v>
      </c>
      <c r="K178" s="697">
        <f t="shared" si="35"/>
        <v>0</v>
      </c>
      <c r="L178" s="697">
        <f t="shared" si="35"/>
        <v>0</v>
      </c>
      <c r="M178" s="697">
        <f t="shared" si="35"/>
        <v>0</v>
      </c>
      <c r="O178" s="343"/>
      <c r="Q178" s="50"/>
      <c r="R178" s="50"/>
      <c r="S178" s="50"/>
      <c r="T178" s="50"/>
      <c r="U178" s="50"/>
      <c r="V178" s="50"/>
      <c r="W178" s="50"/>
      <c r="X178" s="50"/>
      <c r="Y178" s="50"/>
      <c r="Z178" s="50"/>
      <c r="AA178" s="50"/>
      <c r="AB178" s="50"/>
      <c r="AC178" s="50"/>
      <c r="AD178" s="50"/>
      <c r="AE178" s="50"/>
    </row>
    <row r="179" spans="1:31" outlineLevel="1" x14ac:dyDescent="0.25">
      <c r="A179" s="480">
        <f>ROW()</f>
        <v>179</v>
      </c>
      <c r="B179" s="191" t="s">
        <v>675</v>
      </c>
      <c r="C179" s="151" t="s">
        <v>640</v>
      </c>
      <c r="D179" s="151" t="s">
        <v>671</v>
      </c>
      <c r="E179" s="153">
        <v>0</v>
      </c>
      <c r="F179" s="192" t="s">
        <v>672</v>
      </c>
      <c r="G179" s="697">
        <f t="shared" si="35"/>
        <v>0</v>
      </c>
      <c r="H179" s="697">
        <f t="shared" si="35"/>
        <v>0</v>
      </c>
      <c r="I179" s="697">
        <f t="shared" si="35"/>
        <v>0</v>
      </c>
      <c r="J179" s="697">
        <f t="shared" si="35"/>
        <v>0</v>
      </c>
      <c r="K179" s="697">
        <f t="shared" si="35"/>
        <v>0</v>
      </c>
      <c r="L179" s="697">
        <f t="shared" si="35"/>
        <v>0</v>
      </c>
      <c r="M179" s="697">
        <f t="shared" si="35"/>
        <v>0</v>
      </c>
      <c r="O179" s="343"/>
      <c r="Q179" s="50"/>
      <c r="R179" s="50"/>
      <c r="S179" s="50"/>
      <c r="T179" s="50"/>
      <c r="U179" s="50"/>
      <c r="V179" s="50"/>
      <c r="W179" s="50"/>
      <c r="X179" s="50"/>
      <c r="Y179" s="50"/>
      <c r="Z179" s="50"/>
      <c r="AA179" s="50"/>
      <c r="AB179" s="50"/>
      <c r="AC179" s="50"/>
      <c r="AD179" s="50"/>
      <c r="AE179" s="50"/>
    </row>
    <row r="180" spans="1:31" outlineLevel="1" x14ac:dyDescent="0.25">
      <c r="A180" s="480">
        <f>ROW()</f>
        <v>180</v>
      </c>
      <c r="B180" s="191" t="s">
        <v>675</v>
      </c>
      <c r="C180" s="151" t="s">
        <v>640</v>
      </c>
      <c r="D180" s="151" t="s">
        <v>671</v>
      </c>
      <c r="E180" s="153">
        <v>0</v>
      </c>
      <c r="F180" s="192" t="s">
        <v>672</v>
      </c>
      <c r="G180" s="697">
        <f t="shared" si="35"/>
        <v>0</v>
      </c>
      <c r="H180" s="697">
        <f t="shared" si="35"/>
        <v>0</v>
      </c>
      <c r="I180" s="697">
        <f t="shared" si="35"/>
        <v>0</v>
      </c>
      <c r="J180" s="697">
        <f t="shared" si="35"/>
        <v>0</v>
      </c>
      <c r="K180" s="697">
        <f t="shared" si="35"/>
        <v>0</v>
      </c>
      <c r="L180" s="697">
        <f t="shared" si="35"/>
        <v>0</v>
      </c>
      <c r="M180" s="697">
        <f t="shared" si="35"/>
        <v>0</v>
      </c>
      <c r="O180" s="343"/>
      <c r="Q180" s="50"/>
      <c r="R180" s="50"/>
      <c r="S180" s="50"/>
      <c r="T180" s="50"/>
      <c r="U180" s="50"/>
      <c r="V180" s="50"/>
      <c r="W180" s="50"/>
      <c r="X180" s="50"/>
      <c r="Y180" s="50"/>
      <c r="Z180" s="50"/>
      <c r="AA180" s="50"/>
      <c r="AB180" s="50"/>
      <c r="AC180" s="50"/>
      <c r="AD180" s="50"/>
      <c r="AE180" s="50"/>
    </row>
    <row r="181" spans="1:31" outlineLevel="1" x14ac:dyDescent="0.25">
      <c r="A181" s="480">
        <f>ROW()</f>
        <v>181</v>
      </c>
      <c r="B181" s="191"/>
      <c r="C181" s="151" t="s">
        <v>640</v>
      </c>
      <c r="D181" s="151" t="s">
        <v>671</v>
      </c>
      <c r="E181" s="153">
        <v>0</v>
      </c>
      <c r="F181" s="192"/>
      <c r="G181" s="697">
        <f t="shared" si="35"/>
        <v>0</v>
      </c>
      <c r="H181" s="697">
        <f t="shared" si="35"/>
        <v>0</v>
      </c>
      <c r="I181" s="697">
        <f t="shared" si="35"/>
        <v>0</v>
      </c>
      <c r="J181" s="697">
        <f t="shared" si="35"/>
        <v>0</v>
      </c>
      <c r="K181" s="697">
        <f t="shared" si="35"/>
        <v>0</v>
      </c>
      <c r="L181" s="697">
        <f t="shared" si="35"/>
        <v>0</v>
      </c>
      <c r="M181" s="697">
        <f t="shared" si="35"/>
        <v>0</v>
      </c>
      <c r="O181" s="343"/>
      <c r="Q181" s="50"/>
      <c r="R181" s="50"/>
      <c r="S181" s="50"/>
      <c r="T181" s="50"/>
      <c r="U181" s="50"/>
      <c r="V181" s="50"/>
      <c r="W181" s="50"/>
      <c r="X181" s="50"/>
      <c r="Y181" s="50"/>
      <c r="Z181" s="50"/>
      <c r="AA181" s="50"/>
      <c r="AB181" s="50"/>
      <c r="AC181" s="50"/>
      <c r="AD181" s="50"/>
      <c r="AE181" s="50"/>
    </row>
    <row r="182" spans="1:31" outlineLevel="1" x14ac:dyDescent="0.25">
      <c r="A182" s="480">
        <f>ROW()</f>
        <v>182</v>
      </c>
      <c r="B182" s="1390"/>
      <c r="C182" s="1395"/>
      <c r="D182" s="1393"/>
      <c r="E182" s="1394"/>
      <c r="F182" s="1395"/>
      <c r="G182" s="140"/>
      <c r="H182" s="140"/>
      <c r="I182" s="140"/>
      <c r="J182" s="140"/>
      <c r="K182" s="140"/>
      <c r="L182" s="140"/>
      <c r="M182" s="140"/>
      <c r="O182" s="343"/>
      <c r="Q182" s="50"/>
      <c r="R182" s="50"/>
      <c r="S182" s="50"/>
      <c r="T182" s="50"/>
      <c r="U182" s="50"/>
      <c r="V182" s="50"/>
      <c r="W182" s="50"/>
      <c r="X182" s="50"/>
      <c r="Y182" s="50"/>
      <c r="Z182" s="50"/>
      <c r="AA182" s="50"/>
      <c r="AB182" s="50"/>
      <c r="AC182" s="50"/>
      <c r="AD182" s="50"/>
      <c r="AE182" s="50"/>
    </row>
    <row r="183" spans="1:31" outlineLevel="1" x14ac:dyDescent="0.25">
      <c r="A183" s="480">
        <f>ROW()</f>
        <v>183</v>
      </c>
      <c r="B183" s="191" t="s">
        <v>676</v>
      </c>
      <c r="C183" s="151" t="s">
        <v>640</v>
      </c>
      <c r="D183" s="151" t="s">
        <v>671</v>
      </c>
      <c r="E183" s="323">
        <v>0</v>
      </c>
      <c r="F183" s="192" t="s">
        <v>672</v>
      </c>
      <c r="G183" s="697">
        <f t="shared" ref="G183:M187" si="36">IF($D183&lt;=G$10,1,0)</f>
        <v>0</v>
      </c>
      <c r="H183" s="697">
        <f t="shared" si="36"/>
        <v>0</v>
      </c>
      <c r="I183" s="697">
        <f t="shared" si="36"/>
        <v>0</v>
      </c>
      <c r="J183" s="697">
        <f t="shared" si="36"/>
        <v>0</v>
      </c>
      <c r="K183" s="697">
        <f t="shared" si="36"/>
        <v>0</v>
      </c>
      <c r="L183" s="697">
        <f t="shared" si="36"/>
        <v>0</v>
      </c>
      <c r="M183" s="697">
        <f t="shared" si="36"/>
        <v>0</v>
      </c>
      <c r="O183" s="343"/>
      <c r="Q183" s="50"/>
      <c r="R183" s="50"/>
      <c r="S183" s="50"/>
      <c r="T183" s="50"/>
      <c r="U183" s="50"/>
      <c r="V183" s="50"/>
      <c r="W183" s="50"/>
      <c r="X183" s="50"/>
      <c r="Y183" s="50"/>
      <c r="Z183" s="50"/>
      <c r="AA183" s="50"/>
      <c r="AB183" s="50"/>
      <c r="AC183" s="50"/>
      <c r="AD183" s="50"/>
      <c r="AE183" s="50"/>
    </row>
    <row r="184" spans="1:31" outlineLevel="1" x14ac:dyDescent="0.25">
      <c r="A184" s="480">
        <f>ROW()</f>
        <v>184</v>
      </c>
      <c r="B184" s="191" t="s">
        <v>676</v>
      </c>
      <c r="C184" s="151" t="s">
        <v>640</v>
      </c>
      <c r="D184" s="151" t="s">
        <v>671</v>
      </c>
      <c r="E184" s="153">
        <v>0</v>
      </c>
      <c r="F184" s="192" t="s">
        <v>672</v>
      </c>
      <c r="G184" s="697">
        <f t="shared" si="36"/>
        <v>0</v>
      </c>
      <c r="H184" s="697">
        <f t="shared" si="36"/>
        <v>0</v>
      </c>
      <c r="I184" s="697">
        <f t="shared" si="36"/>
        <v>0</v>
      </c>
      <c r="J184" s="697">
        <f t="shared" si="36"/>
        <v>0</v>
      </c>
      <c r="K184" s="697">
        <f t="shared" si="36"/>
        <v>0</v>
      </c>
      <c r="L184" s="697">
        <f t="shared" si="36"/>
        <v>0</v>
      </c>
      <c r="M184" s="697">
        <f t="shared" si="36"/>
        <v>0</v>
      </c>
      <c r="O184" s="343"/>
      <c r="Q184" s="50"/>
      <c r="R184" s="50"/>
      <c r="S184" s="50"/>
      <c r="T184" s="50"/>
      <c r="U184" s="50"/>
      <c r="V184" s="50"/>
      <c r="W184" s="50"/>
      <c r="X184" s="50"/>
      <c r="Y184" s="50"/>
      <c r="Z184" s="50"/>
      <c r="AA184" s="50"/>
      <c r="AB184" s="50"/>
      <c r="AC184" s="50"/>
      <c r="AD184" s="50"/>
      <c r="AE184" s="50"/>
    </row>
    <row r="185" spans="1:31" outlineLevel="1" x14ac:dyDescent="0.25">
      <c r="A185" s="480">
        <f>ROW()</f>
        <v>185</v>
      </c>
      <c r="B185" s="191" t="s">
        <v>676</v>
      </c>
      <c r="C185" s="151" t="s">
        <v>640</v>
      </c>
      <c r="D185" s="151" t="s">
        <v>671</v>
      </c>
      <c r="E185" s="153">
        <v>0</v>
      </c>
      <c r="F185" s="192" t="s">
        <v>672</v>
      </c>
      <c r="G185" s="697">
        <f t="shared" si="36"/>
        <v>0</v>
      </c>
      <c r="H185" s="697">
        <f t="shared" si="36"/>
        <v>0</v>
      </c>
      <c r="I185" s="697">
        <f t="shared" si="36"/>
        <v>0</v>
      </c>
      <c r="J185" s="697">
        <f t="shared" si="36"/>
        <v>0</v>
      </c>
      <c r="K185" s="697">
        <f t="shared" si="36"/>
        <v>0</v>
      </c>
      <c r="L185" s="697">
        <f t="shared" si="36"/>
        <v>0</v>
      </c>
      <c r="M185" s="697">
        <f t="shared" si="36"/>
        <v>0</v>
      </c>
      <c r="O185" s="343"/>
      <c r="Q185" s="50"/>
      <c r="R185" s="50"/>
      <c r="S185" s="50"/>
      <c r="T185" s="50"/>
      <c r="U185" s="50"/>
      <c r="V185" s="50"/>
      <c r="W185" s="50"/>
      <c r="X185" s="50"/>
      <c r="Y185" s="50"/>
      <c r="Z185" s="50"/>
      <c r="AA185" s="50"/>
      <c r="AB185" s="50"/>
      <c r="AC185" s="50"/>
      <c r="AD185" s="50"/>
      <c r="AE185" s="50"/>
    </row>
    <row r="186" spans="1:31" outlineLevel="1" x14ac:dyDescent="0.25">
      <c r="A186" s="480">
        <f>ROW()</f>
        <v>186</v>
      </c>
      <c r="B186" s="191" t="s">
        <v>676</v>
      </c>
      <c r="C186" s="151" t="s">
        <v>640</v>
      </c>
      <c r="D186" s="151" t="s">
        <v>671</v>
      </c>
      <c r="E186" s="153">
        <v>0</v>
      </c>
      <c r="F186" s="192" t="s">
        <v>672</v>
      </c>
      <c r="G186" s="697">
        <f t="shared" si="36"/>
        <v>0</v>
      </c>
      <c r="H186" s="697">
        <f t="shared" si="36"/>
        <v>0</v>
      </c>
      <c r="I186" s="697">
        <f t="shared" si="36"/>
        <v>0</v>
      </c>
      <c r="J186" s="697">
        <f t="shared" si="36"/>
        <v>0</v>
      </c>
      <c r="K186" s="697">
        <f t="shared" si="36"/>
        <v>0</v>
      </c>
      <c r="L186" s="697">
        <f t="shared" si="36"/>
        <v>0</v>
      </c>
      <c r="M186" s="697">
        <f t="shared" si="36"/>
        <v>0</v>
      </c>
      <c r="O186" s="343"/>
      <c r="Q186" s="50"/>
      <c r="R186" s="50"/>
      <c r="S186" s="50"/>
      <c r="T186" s="50"/>
      <c r="U186" s="50"/>
      <c r="V186" s="50"/>
      <c r="W186" s="50"/>
      <c r="X186" s="50"/>
      <c r="Y186" s="50"/>
      <c r="Z186" s="50"/>
      <c r="AA186" s="50"/>
      <c r="AB186" s="50"/>
      <c r="AC186" s="50"/>
      <c r="AD186" s="50"/>
      <c r="AE186" s="50"/>
    </row>
    <row r="187" spans="1:31" outlineLevel="1" x14ac:dyDescent="0.25">
      <c r="A187" s="480">
        <f>ROW()</f>
        <v>187</v>
      </c>
      <c r="B187" s="191"/>
      <c r="C187" s="151" t="s">
        <v>640</v>
      </c>
      <c r="D187" s="151" t="s">
        <v>671</v>
      </c>
      <c r="E187" s="153">
        <v>0</v>
      </c>
      <c r="F187" s="192" t="s">
        <v>672</v>
      </c>
      <c r="G187" s="697">
        <f t="shared" si="36"/>
        <v>0</v>
      </c>
      <c r="H187" s="697">
        <f t="shared" si="36"/>
        <v>0</v>
      </c>
      <c r="I187" s="697">
        <f t="shared" si="36"/>
        <v>0</v>
      </c>
      <c r="J187" s="697">
        <f t="shared" si="36"/>
        <v>0</v>
      </c>
      <c r="K187" s="697">
        <f t="shared" si="36"/>
        <v>0</v>
      </c>
      <c r="L187" s="697">
        <f t="shared" si="36"/>
        <v>0</v>
      </c>
      <c r="M187" s="697">
        <f t="shared" si="36"/>
        <v>0</v>
      </c>
      <c r="O187" s="343"/>
      <c r="Q187" s="50"/>
      <c r="R187" s="50"/>
      <c r="S187" s="50"/>
      <c r="T187" s="50"/>
      <c r="U187" s="50"/>
      <c r="V187" s="50"/>
      <c r="W187" s="50"/>
      <c r="X187" s="50"/>
      <c r="Y187" s="50"/>
      <c r="Z187" s="50"/>
      <c r="AA187" s="50"/>
      <c r="AB187" s="50"/>
      <c r="AC187" s="50"/>
      <c r="AD187" s="50"/>
      <c r="AE187" s="50"/>
    </row>
    <row r="188" spans="1:31" outlineLevel="1" x14ac:dyDescent="0.25">
      <c r="A188" s="480">
        <f>ROW()</f>
        <v>188</v>
      </c>
      <c r="B188" s="1390"/>
      <c r="C188" s="1391"/>
      <c r="D188" s="1391"/>
      <c r="E188" s="1394"/>
      <c r="F188" s="1395"/>
      <c r="G188" s="140"/>
      <c r="H188" s="140"/>
      <c r="I188" s="140"/>
      <c r="J188" s="140"/>
      <c r="K188" s="140"/>
      <c r="L188" s="140"/>
      <c r="M188" s="140"/>
      <c r="O188" s="343"/>
      <c r="Q188" s="50"/>
      <c r="R188" s="50"/>
      <c r="S188" s="50"/>
      <c r="T188" s="50"/>
      <c r="U188" s="50"/>
      <c r="V188" s="50"/>
      <c r="W188" s="50"/>
      <c r="X188" s="50"/>
      <c r="Y188" s="50"/>
      <c r="Z188" s="50"/>
      <c r="AA188" s="50"/>
      <c r="AB188" s="50"/>
      <c r="AC188" s="50"/>
      <c r="AD188" s="50"/>
      <c r="AE188" s="50"/>
    </row>
    <row r="189" spans="1:31" outlineLevel="1" x14ac:dyDescent="0.25">
      <c r="A189" s="480">
        <f>ROW()</f>
        <v>189</v>
      </c>
      <c r="B189" s="191" t="s">
        <v>677</v>
      </c>
      <c r="C189" s="151" t="s">
        <v>640</v>
      </c>
      <c r="D189" s="151" t="s">
        <v>671</v>
      </c>
      <c r="E189" s="323">
        <v>0</v>
      </c>
      <c r="F189" s="192" t="s">
        <v>672</v>
      </c>
      <c r="G189" s="697">
        <f t="shared" ref="G189:M194" si="37">IF($D189&lt;=G$10,1,0)</f>
        <v>0</v>
      </c>
      <c r="H189" s="697">
        <f t="shared" si="37"/>
        <v>0</v>
      </c>
      <c r="I189" s="697">
        <f t="shared" si="37"/>
        <v>0</v>
      </c>
      <c r="J189" s="697">
        <f t="shared" si="37"/>
        <v>0</v>
      </c>
      <c r="K189" s="697">
        <f t="shared" si="37"/>
        <v>0</v>
      </c>
      <c r="L189" s="697">
        <f t="shared" si="37"/>
        <v>0</v>
      </c>
      <c r="M189" s="697">
        <f t="shared" si="37"/>
        <v>0</v>
      </c>
      <c r="O189" s="343"/>
      <c r="Q189" s="50"/>
      <c r="R189" s="50"/>
      <c r="S189" s="50"/>
      <c r="T189" s="50"/>
      <c r="U189" s="50"/>
      <c r="V189" s="50"/>
      <c r="W189" s="50"/>
      <c r="X189" s="50"/>
      <c r="Y189" s="50"/>
      <c r="Z189" s="50"/>
      <c r="AA189" s="50"/>
      <c r="AB189" s="50"/>
      <c r="AC189" s="50"/>
      <c r="AD189" s="50"/>
      <c r="AE189" s="50"/>
    </row>
    <row r="190" spans="1:31" outlineLevel="1" x14ac:dyDescent="0.25">
      <c r="A190" s="480">
        <f>ROW()</f>
        <v>190</v>
      </c>
      <c r="B190" s="191" t="s">
        <v>677</v>
      </c>
      <c r="C190" s="151" t="s">
        <v>640</v>
      </c>
      <c r="D190" s="151" t="s">
        <v>671</v>
      </c>
      <c r="E190" s="153">
        <v>0</v>
      </c>
      <c r="F190" s="192" t="s">
        <v>672</v>
      </c>
      <c r="G190" s="697">
        <f t="shared" si="37"/>
        <v>0</v>
      </c>
      <c r="H190" s="697">
        <f t="shared" si="37"/>
        <v>0</v>
      </c>
      <c r="I190" s="697">
        <f t="shared" si="37"/>
        <v>0</v>
      </c>
      <c r="J190" s="697">
        <f t="shared" si="37"/>
        <v>0</v>
      </c>
      <c r="K190" s="697">
        <f t="shared" si="37"/>
        <v>0</v>
      </c>
      <c r="L190" s="697">
        <f t="shared" si="37"/>
        <v>0</v>
      </c>
      <c r="M190" s="697">
        <f t="shared" si="37"/>
        <v>0</v>
      </c>
      <c r="O190" s="343"/>
      <c r="Q190" s="50"/>
      <c r="R190" s="50"/>
      <c r="S190" s="50"/>
      <c r="T190" s="50"/>
      <c r="U190" s="50"/>
      <c r="V190" s="50"/>
      <c r="W190" s="50"/>
      <c r="X190" s="50"/>
      <c r="Y190" s="50"/>
      <c r="Z190" s="50"/>
      <c r="AA190" s="50"/>
      <c r="AB190" s="50"/>
      <c r="AC190" s="50"/>
      <c r="AD190" s="50"/>
      <c r="AE190" s="50"/>
    </row>
    <row r="191" spans="1:31" outlineLevel="1" x14ac:dyDescent="0.25">
      <c r="A191" s="480">
        <f>ROW()</f>
        <v>191</v>
      </c>
      <c r="B191" s="191" t="s">
        <v>677</v>
      </c>
      <c r="C191" s="151" t="s">
        <v>640</v>
      </c>
      <c r="D191" s="151" t="s">
        <v>671</v>
      </c>
      <c r="E191" s="153">
        <v>0</v>
      </c>
      <c r="F191" s="192" t="s">
        <v>672</v>
      </c>
      <c r="G191" s="697">
        <f t="shared" si="37"/>
        <v>0</v>
      </c>
      <c r="H191" s="697">
        <f t="shared" si="37"/>
        <v>0</v>
      </c>
      <c r="I191" s="697">
        <f t="shared" si="37"/>
        <v>0</v>
      </c>
      <c r="J191" s="697">
        <f t="shared" si="37"/>
        <v>0</v>
      </c>
      <c r="K191" s="697">
        <f t="shared" si="37"/>
        <v>0</v>
      </c>
      <c r="L191" s="697">
        <f t="shared" si="37"/>
        <v>0</v>
      </c>
      <c r="M191" s="697">
        <f t="shared" si="37"/>
        <v>0</v>
      </c>
      <c r="O191" s="343"/>
      <c r="Q191" s="50"/>
      <c r="R191" s="50"/>
      <c r="S191" s="50"/>
      <c r="T191" s="50"/>
      <c r="U191" s="50"/>
      <c r="V191" s="50"/>
      <c r="W191" s="50"/>
      <c r="X191" s="50"/>
      <c r="Y191" s="50"/>
      <c r="Z191" s="50"/>
      <c r="AA191" s="50"/>
      <c r="AB191" s="50"/>
      <c r="AC191" s="50"/>
      <c r="AD191" s="50"/>
      <c r="AE191" s="50"/>
    </row>
    <row r="192" spans="1:31" outlineLevel="1" x14ac:dyDescent="0.25">
      <c r="A192" s="480">
        <f>ROW()</f>
        <v>192</v>
      </c>
      <c r="B192" s="191" t="s">
        <v>677</v>
      </c>
      <c r="C192" s="151" t="s">
        <v>640</v>
      </c>
      <c r="D192" s="151" t="s">
        <v>671</v>
      </c>
      <c r="E192" s="153">
        <v>0</v>
      </c>
      <c r="F192" s="192" t="s">
        <v>672</v>
      </c>
      <c r="G192" s="697">
        <f t="shared" si="37"/>
        <v>0</v>
      </c>
      <c r="H192" s="697">
        <f t="shared" si="37"/>
        <v>0</v>
      </c>
      <c r="I192" s="697">
        <f t="shared" si="37"/>
        <v>0</v>
      </c>
      <c r="J192" s="697">
        <f t="shared" si="37"/>
        <v>0</v>
      </c>
      <c r="K192" s="697">
        <f t="shared" si="37"/>
        <v>0</v>
      </c>
      <c r="L192" s="697">
        <f t="shared" si="37"/>
        <v>0</v>
      </c>
      <c r="M192" s="697">
        <f t="shared" si="37"/>
        <v>0</v>
      </c>
      <c r="O192" s="343"/>
      <c r="Q192" s="50"/>
      <c r="R192" s="50"/>
      <c r="S192" s="50"/>
      <c r="T192" s="50"/>
      <c r="U192" s="50"/>
      <c r="V192" s="50"/>
      <c r="W192" s="50"/>
      <c r="X192" s="50"/>
      <c r="Y192" s="50"/>
      <c r="Z192" s="50"/>
      <c r="AA192" s="50"/>
      <c r="AB192" s="50"/>
      <c r="AC192" s="50"/>
      <c r="AD192" s="50"/>
      <c r="AE192" s="50"/>
    </row>
    <row r="193" spans="1:31" outlineLevel="1" x14ac:dyDescent="0.25">
      <c r="A193" s="480">
        <f>ROW()</f>
        <v>193</v>
      </c>
      <c r="B193" s="191"/>
      <c r="C193" s="151" t="s">
        <v>640</v>
      </c>
      <c r="D193" s="151" t="s">
        <v>671</v>
      </c>
      <c r="E193" s="153">
        <v>0</v>
      </c>
      <c r="F193" s="192" t="s">
        <v>672</v>
      </c>
      <c r="G193" s="697">
        <f t="shared" si="37"/>
        <v>0</v>
      </c>
      <c r="H193" s="697">
        <f t="shared" si="37"/>
        <v>0</v>
      </c>
      <c r="I193" s="697">
        <f t="shared" si="37"/>
        <v>0</v>
      </c>
      <c r="J193" s="697">
        <f t="shared" si="37"/>
        <v>0</v>
      </c>
      <c r="K193" s="697">
        <f t="shared" si="37"/>
        <v>0</v>
      </c>
      <c r="L193" s="697">
        <f t="shared" si="37"/>
        <v>0</v>
      </c>
      <c r="M193" s="697">
        <f t="shared" si="37"/>
        <v>0</v>
      </c>
      <c r="O193" s="343"/>
      <c r="Q193" s="50"/>
      <c r="R193" s="50"/>
      <c r="S193" s="50"/>
      <c r="T193" s="50"/>
      <c r="U193" s="50"/>
      <c r="V193" s="50"/>
      <c r="W193" s="50"/>
      <c r="X193" s="50"/>
      <c r="Y193" s="50"/>
      <c r="Z193" s="50"/>
      <c r="AA193" s="50"/>
      <c r="AB193" s="50"/>
      <c r="AC193" s="50"/>
      <c r="AD193" s="50"/>
      <c r="AE193" s="50"/>
    </row>
    <row r="194" spans="1:31" outlineLevel="1" x14ac:dyDescent="0.25">
      <c r="A194" s="480">
        <f>ROW()</f>
        <v>194</v>
      </c>
      <c r="B194" s="191"/>
      <c r="C194" s="151" t="s">
        <v>640</v>
      </c>
      <c r="D194" s="151" t="s">
        <v>671</v>
      </c>
      <c r="E194" s="192"/>
      <c r="F194" s="192" t="s">
        <v>672</v>
      </c>
      <c r="G194" s="697">
        <f t="shared" si="37"/>
        <v>0</v>
      </c>
      <c r="H194" s="697">
        <f t="shared" si="37"/>
        <v>0</v>
      </c>
      <c r="I194" s="697">
        <f t="shared" si="37"/>
        <v>0</v>
      </c>
      <c r="J194" s="697">
        <f t="shared" si="37"/>
        <v>0</v>
      </c>
      <c r="K194" s="697">
        <f t="shared" si="37"/>
        <v>0</v>
      </c>
      <c r="L194" s="697">
        <f t="shared" si="37"/>
        <v>0</v>
      </c>
      <c r="M194" s="697">
        <f t="shared" si="37"/>
        <v>0</v>
      </c>
      <c r="O194" s="343"/>
      <c r="Q194" s="50"/>
      <c r="R194" s="50"/>
      <c r="S194" s="50"/>
      <c r="T194" s="50"/>
      <c r="U194" s="50"/>
      <c r="V194" s="50"/>
      <c r="W194" s="50"/>
      <c r="X194" s="50"/>
      <c r="Y194" s="50"/>
      <c r="Z194" s="50"/>
      <c r="AA194" s="50"/>
      <c r="AB194" s="50"/>
      <c r="AC194" s="50"/>
      <c r="AD194" s="50"/>
      <c r="AE194" s="50"/>
    </row>
    <row r="195" spans="1:31" outlineLevel="1" x14ac:dyDescent="0.25">
      <c r="A195" s="480">
        <f>ROW()</f>
        <v>195</v>
      </c>
      <c r="B195" s="1377"/>
      <c r="C195" s="1396"/>
      <c r="D195" s="1396"/>
      <c r="E195" s="1397"/>
      <c r="F195" s="1395"/>
      <c r="G195" s="140"/>
      <c r="H195" s="140"/>
      <c r="I195" s="140"/>
      <c r="J195" s="140"/>
      <c r="K195" s="140"/>
      <c r="L195" s="140"/>
      <c r="M195" s="140"/>
      <c r="O195" s="343"/>
      <c r="Q195" s="50"/>
      <c r="R195" s="50"/>
      <c r="S195" s="50"/>
      <c r="T195" s="50"/>
      <c r="U195" s="50"/>
      <c r="V195" s="50"/>
      <c r="W195" s="50"/>
      <c r="X195" s="50"/>
      <c r="Y195" s="50"/>
      <c r="Z195" s="50"/>
      <c r="AA195" s="50"/>
      <c r="AB195" s="50"/>
      <c r="AC195" s="50"/>
      <c r="AD195" s="50"/>
      <c r="AE195" s="50"/>
    </row>
    <row r="196" spans="1:31" outlineLevel="1" x14ac:dyDescent="0.25">
      <c r="A196" s="480">
        <f>ROW()</f>
        <v>196</v>
      </c>
      <c r="B196" s="191" t="s">
        <v>678</v>
      </c>
      <c r="C196" s="151" t="s">
        <v>640</v>
      </c>
      <c r="D196" s="151" t="s">
        <v>671</v>
      </c>
      <c r="E196" s="323">
        <v>0</v>
      </c>
      <c r="F196" s="192" t="s">
        <v>672</v>
      </c>
      <c r="G196" s="697">
        <f t="shared" ref="G196:M200" si="38">IF($D196&lt;=G$10,1,0)</f>
        <v>0</v>
      </c>
      <c r="H196" s="697">
        <f t="shared" si="38"/>
        <v>0</v>
      </c>
      <c r="I196" s="697">
        <f t="shared" si="38"/>
        <v>0</v>
      </c>
      <c r="J196" s="697">
        <f t="shared" si="38"/>
        <v>0</v>
      </c>
      <c r="K196" s="697">
        <f t="shared" si="38"/>
        <v>0</v>
      </c>
      <c r="L196" s="697">
        <f t="shared" si="38"/>
        <v>0</v>
      </c>
      <c r="M196" s="697">
        <f t="shared" si="38"/>
        <v>0</v>
      </c>
      <c r="O196" s="343"/>
      <c r="Q196" s="50"/>
      <c r="R196" s="50"/>
      <c r="S196" s="50"/>
      <c r="T196" s="50"/>
      <c r="U196" s="50"/>
      <c r="V196" s="50"/>
      <c r="W196" s="50"/>
      <c r="X196" s="50"/>
      <c r="Y196" s="50"/>
      <c r="Z196" s="50"/>
      <c r="AA196" s="50"/>
      <c r="AB196" s="50"/>
      <c r="AC196" s="50"/>
      <c r="AD196" s="50"/>
      <c r="AE196" s="50"/>
    </row>
    <row r="197" spans="1:31" outlineLevel="1" x14ac:dyDescent="0.25">
      <c r="A197" s="480">
        <f>ROW()</f>
        <v>197</v>
      </c>
      <c r="B197" s="191" t="s">
        <v>678</v>
      </c>
      <c r="C197" s="151" t="s">
        <v>640</v>
      </c>
      <c r="D197" s="151" t="s">
        <v>671</v>
      </c>
      <c r="E197" s="153">
        <v>0</v>
      </c>
      <c r="F197" s="192" t="s">
        <v>672</v>
      </c>
      <c r="G197" s="697">
        <f t="shared" si="38"/>
        <v>0</v>
      </c>
      <c r="H197" s="697">
        <f t="shared" si="38"/>
        <v>0</v>
      </c>
      <c r="I197" s="697">
        <f t="shared" si="38"/>
        <v>0</v>
      </c>
      <c r="J197" s="697">
        <f t="shared" si="38"/>
        <v>0</v>
      </c>
      <c r="K197" s="697">
        <f t="shared" si="38"/>
        <v>0</v>
      </c>
      <c r="L197" s="697">
        <f t="shared" si="38"/>
        <v>0</v>
      </c>
      <c r="M197" s="697">
        <f t="shared" si="38"/>
        <v>0</v>
      </c>
      <c r="O197" s="343"/>
      <c r="Q197" s="50"/>
      <c r="R197" s="50"/>
      <c r="S197" s="50"/>
      <c r="T197" s="50"/>
      <c r="U197" s="50"/>
      <c r="V197" s="50"/>
      <c r="W197" s="50"/>
      <c r="X197" s="50"/>
      <c r="Y197" s="50"/>
      <c r="Z197" s="50"/>
      <c r="AA197" s="50"/>
      <c r="AB197" s="50"/>
      <c r="AC197" s="50"/>
      <c r="AD197" s="50"/>
      <c r="AE197" s="50"/>
    </row>
    <row r="198" spans="1:31" outlineLevel="1" x14ac:dyDescent="0.25">
      <c r="A198" s="480">
        <f>ROW()</f>
        <v>198</v>
      </c>
      <c r="B198" s="191" t="s">
        <v>678</v>
      </c>
      <c r="C198" s="151" t="s">
        <v>640</v>
      </c>
      <c r="D198" s="151" t="s">
        <v>671</v>
      </c>
      <c r="E198" s="153">
        <v>0</v>
      </c>
      <c r="F198" s="192" t="s">
        <v>672</v>
      </c>
      <c r="G198" s="697">
        <f t="shared" si="38"/>
        <v>0</v>
      </c>
      <c r="H198" s="697">
        <f t="shared" si="38"/>
        <v>0</v>
      </c>
      <c r="I198" s="697">
        <f t="shared" si="38"/>
        <v>0</v>
      </c>
      <c r="J198" s="697">
        <f t="shared" si="38"/>
        <v>0</v>
      </c>
      <c r="K198" s="697">
        <f t="shared" si="38"/>
        <v>0</v>
      </c>
      <c r="L198" s="697">
        <f t="shared" si="38"/>
        <v>0</v>
      </c>
      <c r="M198" s="697">
        <f t="shared" si="38"/>
        <v>0</v>
      </c>
      <c r="O198" s="343"/>
      <c r="Q198" s="50"/>
      <c r="R198" s="50"/>
      <c r="S198" s="50"/>
      <c r="T198" s="50"/>
      <c r="U198" s="50"/>
      <c r="V198" s="50"/>
      <c r="W198" s="50"/>
      <c r="X198" s="50"/>
      <c r="Y198" s="50"/>
      <c r="Z198" s="50"/>
      <c r="AA198" s="50"/>
      <c r="AB198" s="50"/>
      <c r="AC198" s="50"/>
      <c r="AD198" s="50"/>
      <c r="AE198" s="50"/>
    </row>
    <row r="199" spans="1:31" outlineLevel="1" x14ac:dyDescent="0.25">
      <c r="A199" s="480">
        <f>ROW()</f>
        <v>199</v>
      </c>
      <c r="B199" s="191" t="s">
        <v>678</v>
      </c>
      <c r="C199" s="151" t="s">
        <v>640</v>
      </c>
      <c r="D199" s="151" t="s">
        <v>671</v>
      </c>
      <c r="E199" s="153">
        <v>0</v>
      </c>
      <c r="F199" s="192" t="s">
        <v>672</v>
      </c>
      <c r="G199" s="697">
        <f t="shared" si="38"/>
        <v>0</v>
      </c>
      <c r="H199" s="697">
        <f t="shared" si="38"/>
        <v>0</v>
      </c>
      <c r="I199" s="697">
        <f t="shared" si="38"/>
        <v>0</v>
      </c>
      <c r="J199" s="697">
        <f t="shared" si="38"/>
        <v>0</v>
      </c>
      <c r="K199" s="697">
        <f t="shared" si="38"/>
        <v>0</v>
      </c>
      <c r="L199" s="697">
        <f t="shared" si="38"/>
        <v>0</v>
      </c>
      <c r="M199" s="697">
        <f t="shared" si="38"/>
        <v>0</v>
      </c>
      <c r="O199" s="343"/>
      <c r="Q199" s="50"/>
      <c r="R199" s="50"/>
      <c r="S199" s="50"/>
      <c r="T199" s="50"/>
      <c r="U199" s="50"/>
      <c r="V199" s="50"/>
      <c r="W199" s="50"/>
      <c r="X199" s="50"/>
      <c r="Y199" s="50"/>
      <c r="Z199" s="50"/>
      <c r="AA199" s="50"/>
      <c r="AB199" s="50"/>
      <c r="AC199" s="50"/>
      <c r="AD199" s="50"/>
      <c r="AE199" s="50"/>
    </row>
    <row r="200" spans="1:31" outlineLevel="1" x14ac:dyDescent="0.25">
      <c r="A200" s="480">
        <f>ROW()</f>
        <v>200</v>
      </c>
      <c r="B200" s="191"/>
      <c r="C200" s="151" t="s">
        <v>640</v>
      </c>
      <c r="D200" s="151" t="s">
        <v>671</v>
      </c>
      <c r="E200" s="153">
        <v>0</v>
      </c>
      <c r="F200" s="192" t="s">
        <v>672</v>
      </c>
      <c r="G200" s="697">
        <f t="shared" si="38"/>
        <v>0</v>
      </c>
      <c r="H200" s="697">
        <f t="shared" si="38"/>
        <v>0</v>
      </c>
      <c r="I200" s="697">
        <f t="shared" si="38"/>
        <v>0</v>
      </c>
      <c r="J200" s="697">
        <f t="shared" si="38"/>
        <v>0</v>
      </c>
      <c r="K200" s="697">
        <f t="shared" si="38"/>
        <v>0</v>
      </c>
      <c r="L200" s="697">
        <f t="shared" si="38"/>
        <v>0</v>
      </c>
      <c r="M200" s="697">
        <f t="shared" si="38"/>
        <v>0</v>
      </c>
      <c r="O200" s="343"/>
      <c r="Q200" s="50"/>
      <c r="R200" s="50"/>
      <c r="S200" s="50"/>
      <c r="T200" s="50"/>
      <c r="U200" s="50"/>
      <c r="V200" s="50"/>
      <c r="W200" s="50"/>
      <c r="X200" s="50"/>
      <c r="Y200" s="50"/>
      <c r="Z200" s="50"/>
      <c r="AA200" s="50"/>
      <c r="AB200" s="50"/>
      <c r="AC200" s="50"/>
      <c r="AD200" s="50"/>
      <c r="AE200" s="50"/>
    </row>
    <row r="201" spans="1:31" outlineLevel="1" x14ac:dyDescent="0.25">
      <c r="A201" s="480">
        <f>ROW()</f>
        <v>201</v>
      </c>
      <c r="B201" s="307"/>
      <c r="C201" s="1393"/>
      <c r="D201" s="1393"/>
      <c r="E201" s="1394"/>
      <c r="F201" s="1395"/>
      <c r="G201" s="140"/>
      <c r="H201" s="140"/>
      <c r="I201" s="140"/>
      <c r="J201" s="140"/>
      <c r="K201" s="140"/>
      <c r="L201" s="140"/>
      <c r="M201" s="140"/>
      <c r="O201" s="343"/>
      <c r="Q201" s="50"/>
      <c r="R201" s="50"/>
      <c r="S201" s="50"/>
      <c r="T201" s="50"/>
      <c r="U201" s="50"/>
      <c r="V201" s="50"/>
      <c r="W201" s="50"/>
      <c r="X201" s="50"/>
      <c r="Y201" s="50"/>
      <c r="Z201" s="50"/>
      <c r="AA201" s="50"/>
      <c r="AB201" s="50"/>
      <c r="AC201" s="50"/>
      <c r="AD201" s="50"/>
      <c r="AE201" s="50"/>
    </row>
    <row r="202" spans="1:31" outlineLevel="1" x14ac:dyDescent="0.25">
      <c r="A202" s="480">
        <f>ROW()</f>
        <v>202</v>
      </c>
      <c r="B202" s="191" t="s">
        <v>679</v>
      </c>
      <c r="C202" s="151" t="s">
        <v>640</v>
      </c>
      <c r="D202" s="151" t="s">
        <v>671</v>
      </c>
      <c r="E202" s="323">
        <v>0</v>
      </c>
      <c r="F202" s="192" t="s">
        <v>672</v>
      </c>
      <c r="G202" s="697">
        <f t="shared" ref="G202:M206" si="39">IF($D202&lt;=G$10,1,0)</f>
        <v>0</v>
      </c>
      <c r="H202" s="697">
        <f t="shared" si="39"/>
        <v>0</v>
      </c>
      <c r="I202" s="697">
        <f t="shared" si="39"/>
        <v>0</v>
      </c>
      <c r="J202" s="697">
        <f t="shared" si="39"/>
        <v>0</v>
      </c>
      <c r="K202" s="697">
        <f t="shared" si="39"/>
        <v>0</v>
      </c>
      <c r="L202" s="697">
        <f t="shared" si="39"/>
        <v>0</v>
      </c>
      <c r="M202" s="697">
        <f t="shared" si="39"/>
        <v>0</v>
      </c>
      <c r="O202" s="343"/>
      <c r="Q202" s="50"/>
      <c r="R202" s="50"/>
      <c r="S202" s="50"/>
      <c r="T202" s="50"/>
      <c r="U202" s="50"/>
      <c r="V202" s="50"/>
      <c r="W202" s="50"/>
      <c r="X202" s="50"/>
      <c r="Y202" s="50"/>
      <c r="Z202" s="50"/>
      <c r="AA202" s="50"/>
      <c r="AB202" s="50"/>
      <c r="AC202" s="50"/>
      <c r="AD202" s="50"/>
      <c r="AE202" s="50"/>
    </row>
    <row r="203" spans="1:31" outlineLevel="1" x14ac:dyDescent="0.25">
      <c r="A203" s="480">
        <f>ROW()</f>
        <v>203</v>
      </c>
      <c r="B203" s="191" t="s">
        <v>679</v>
      </c>
      <c r="C203" s="151" t="s">
        <v>640</v>
      </c>
      <c r="D203" s="151" t="s">
        <v>671</v>
      </c>
      <c r="E203" s="153">
        <v>0</v>
      </c>
      <c r="F203" s="192" t="s">
        <v>672</v>
      </c>
      <c r="G203" s="697">
        <f t="shared" si="39"/>
        <v>0</v>
      </c>
      <c r="H203" s="697">
        <f t="shared" si="39"/>
        <v>0</v>
      </c>
      <c r="I203" s="697">
        <f t="shared" si="39"/>
        <v>0</v>
      </c>
      <c r="J203" s="697">
        <f t="shared" si="39"/>
        <v>0</v>
      </c>
      <c r="K203" s="697">
        <f t="shared" si="39"/>
        <v>0</v>
      </c>
      <c r="L203" s="697">
        <f t="shared" si="39"/>
        <v>0</v>
      </c>
      <c r="M203" s="697">
        <f t="shared" si="39"/>
        <v>0</v>
      </c>
      <c r="O203" s="343"/>
      <c r="Q203" s="50"/>
      <c r="R203" s="50"/>
      <c r="S203" s="50"/>
      <c r="T203" s="50"/>
      <c r="U203" s="50"/>
      <c r="V203" s="50"/>
      <c r="W203" s="50"/>
      <c r="X203" s="50"/>
      <c r="Y203" s="50"/>
      <c r="Z203" s="50"/>
      <c r="AA203" s="50"/>
      <c r="AB203" s="50"/>
      <c r="AC203" s="50"/>
      <c r="AD203" s="50"/>
      <c r="AE203" s="50"/>
    </row>
    <row r="204" spans="1:31" outlineLevel="1" x14ac:dyDescent="0.25">
      <c r="A204" s="480">
        <f>ROW()</f>
        <v>204</v>
      </c>
      <c r="B204" s="191" t="s">
        <v>670</v>
      </c>
      <c r="C204" s="151" t="s">
        <v>640</v>
      </c>
      <c r="D204" s="151" t="s">
        <v>671</v>
      </c>
      <c r="E204" s="153">
        <v>0</v>
      </c>
      <c r="F204" s="192" t="s">
        <v>672</v>
      </c>
      <c r="G204" s="697">
        <f t="shared" si="39"/>
        <v>0</v>
      </c>
      <c r="H204" s="697">
        <f t="shared" si="39"/>
        <v>0</v>
      </c>
      <c r="I204" s="697">
        <f t="shared" si="39"/>
        <v>0</v>
      </c>
      <c r="J204" s="697">
        <f t="shared" si="39"/>
        <v>0</v>
      </c>
      <c r="K204" s="697">
        <f t="shared" si="39"/>
        <v>0</v>
      </c>
      <c r="L204" s="697">
        <f t="shared" si="39"/>
        <v>0</v>
      </c>
      <c r="M204" s="697">
        <f t="shared" si="39"/>
        <v>0</v>
      </c>
      <c r="O204" s="343"/>
      <c r="Q204" s="50"/>
      <c r="R204" s="50"/>
      <c r="S204" s="50"/>
      <c r="T204" s="50"/>
      <c r="U204" s="50"/>
      <c r="V204" s="50"/>
      <c r="W204" s="50"/>
      <c r="X204" s="50"/>
      <c r="Y204" s="50"/>
      <c r="Z204" s="50"/>
      <c r="AA204" s="50"/>
      <c r="AB204" s="50"/>
      <c r="AC204" s="50"/>
      <c r="AD204" s="50"/>
      <c r="AE204" s="50"/>
    </row>
    <row r="205" spans="1:31" outlineLevel="1" x14ac:dyDescent="0.25">
      <c r="A205" s="480">
        <f>ROW()</f>
        <v>205</v>
      </c>
      <c r="B205" s="191" t="s">
        <v>670</v>
      </c>
      <c r="C205" s="151" t="s">
        <v>640</v>
      </c>
      <c r="D205" s="151" t="s">
        <v>671</v>
      </c>
      <c r="E205" s="153">
        <v>0</v>
      </c>
      <c r="F205" s="192" t="s">
        <v>672</v>
      </c>
      <c r="G205" s="697">
        <f t="shared" si="39"/>
        <v>0</v>
      </c>
      <c r="H205" s="697">
        <f t="shared" si="39"/>
        <v>0</v>
      </c>
      <c r="I205" s="697">
        <f t="shared" si="39"/>
        <v>0</v>
      </c>
      <c r="J205" s="697">
        <f t="shared" si="39"/>
        <v>0</v>
      </c>
      <c r="K205" s="697">
        <f t="shared" si="39"/>
        <v>0</v>
      </c>
      <c r="L205" s="697">
        <f t="shared" si="39"/>
        <v>0</v>
      </c>
      <c r="M205" s="697">
        <f t="shared" si="39"/>
        <v>0</v>
      </c>
      <c r="O205" s="343"/>
      <c r="Q205" s="50"/>
      <c r="R205" s="50"/>
      <c r="S205" s="50"/>
      <c r="T205" s="50"/>
      <c r="U205" s="50"/>
      <c r="V205" s="50"/>
      <c r="W205" s="50"/>
      <c r="X205" s="50"/>
      <c r="Y205" s="50"/>
      <c r="Z205" s="50"/>
      <c r="AA205" s="50"/>
      <c r="AB205" s="50"/>
      <c r="AC205" s="50"/>
      <c r="AD205" s="50"/>
      <c r="AE205" s="50"/>
    </row>
    <row r="206" spans="1:31" outlineLevel="1" x14ac:dyDescent="0.25">
      <c r="A206" s="480">
        <f>ROW()</f>
        <v>206</v>
      </c>
      <c r="B206" s="191" t="s">
        <v>670</v>
      </c>
      <c r="C206" s="151" t="s">
        <v>640</v>
      </c>
      <c r="D206" s="151" t="s">
        <v>671</v>
      </c>
      <c r="E206" s="153">
        <v>0</v>
      </c>
      <c r="F206" s="192" t="s">
        <v>672</v>
      </c>
      <c r="G206" s="697">
        <f t="shared" si="39"/>
        <v>0</v>
      </c>
      <c r="H206" s="697">
        <f t="shared" si="39"/>
        <v>0</v>
      </c>
      <c r="I206" s="697">
        <f t="shared" si="39"/>
        <v>0</v>
      </c>
      <c r="J206" s="697">
        <f t="shared" si="39"/>
        <v>0</v>
      </c>
      <c r="K206" s="697">
        <f t="shared" si="39"/>
        <v>0</v>
      </c>
      <c r="L206" s="697">
        <f t="shared" si="39"/>
        <v>0</v>
      </c>
      <c r="M206" s="697">
        <f t="shared" si="39"/>
        <v>0</v>
      </c>
      <c r="O206" s="343"/>
      <c r="Q206" s="50"/>
      <c r="R206" s="50"/>
      <c r="S206" s="50"/>
      <c r="T206" s="50"/>
      <c r="U206" s="50"/>
      <c r="V206" s="50"/>
      <c r="W206" s="50"/>
      <c r="X206" s="50"/>
      <c r="Y206" s="50"/>
      <c r="Z206" s="50"/>
      <c r="AA206" s="50"/>
      <c r="AB206" s="50"/>
      <c r="AC206" s="50"/>
      <c r="AD206" s="50"/>
      <c r="AE206" s="50"/>
    </row>
    <row r="207" spans="1:31" outlineLevel="1" x14ac:dyDescent="0.25">
      <c r="A207" s="480">
        <f>ROW()</f>
        <v>207</v>
      </c>
      <c r="B207" s="307"/>
      <c r="C207" s="1393"/>
      <c r="D207" s="1393"/>
      <c r="E207" s="1394"/>
      <c r="F207" s="1395"/>
      <c r="G207" s="140"/>
      <c r="H207" s="140"/>
      <c r="I207" s="140"/>
      <c r="J207" s="140"/>
      <c r="K207" s="140"/>
      <c r="L207" s="140"/>
      <c r="M207" s="140"/>
      <c r="O207" s="343"/>
      <c r="Q207" s="50"/>
      <c r="R207" s="50"/>
      <c r="S207" s="50"/>
      <c r="T207" s="50"/>
      <c r="U207" s="50"/>
      <c r="V207" s="50"/>
      <c r="W207" s="50"/>
      <c r="X207" s="50"/>
      <c r="Y207" s="50"/>
      <c r="Z207" s="50"/>
      <c r="AA207" s="50"/>
      <c r="AB207" s="50"/>
      <c r="AC207" s="50"/>
      <c r="AD207" s="50"/>
      <c r="AE207" s="50"/>
    </row>
    <row r="208" spans="1:31" outlineLevel="1" x14ac:dyDescent="0.25">
      <c r="A208" s="480">
        <f>ROW()</f>
        <v>208</v>
      </c>
      <c r="B208" s="191" t="s">
        <v>680</v>
      </c>
      <c r="C208" s="151" t="s">
        <v>640</v>
      </c>
      <c r="D208" s="151" t="s">
        <v>671</v>
      </c>
      <c r="E208" s="323">
        <v>0</v>
      </c>
      <c r="F208" s="192" t="s">
        <v>672</v>
      </c>
      <c r="G208" s="697">
        <f t="shared" ref="G208:M212" si="40">IF($D208&lt;=G$10,1,0)</f>
        <v>0</v>
      </c>
      <c r="H208" s="697">
        <f t="shared" si="40"/>
        <v>0</v>
      </c>
      <c r="I208" s="697">
        <f t="shared" si="40"/>
        <v>0</v>
      </c>
      <c r="J208" s="697">
        <f t="shared" si="40"/>
        <v>0</v>
      </c>
      <c r="K208" s="697">
        <f t="shared" si="40"/>
        <v>0</v>
      </c>
      <c r="L208" s="697">
        <f t="shared" si="40"/>
        <v>0</v>
      </c>
      <c r="M208" s="697">
        <f t="shared" si="40"/>
        <v>0</v>
      </c>
      <c r="O208" s="343"/>
      <c r="Q208" s="50"/>
      <c r="R208" s="50"/>
      <c r="S208" s="50"/>
      <c r="T208" s="50"/>
      <c r="U208" s="50"/>
      <c r="V208" s="50"/>
      <c r="W208" s="50"/>
      <c r="X208" s="50"/>
      <c r="Y208" s="50"/>
      <c r="Z208" s="50"/>
      <c r="AA208" s="50"/>
      <c r="AB208" s="50"/>
      <c r="AC208" s="50"/>
      <c r="AD208" s="50"/>
      <c r="AE208" s="50"/>
    </row>
    <row r="209" spans="1:31" outlineLevel="1" x14ac:dyDescent="0.25">
      <c r="A209" s="480">
        <f>ROW()</f>
        <v>209</v>
      </c>
      <c r="B209" s="191" t="s">
        <v>680</v>
      </c>
      <c r="C209" s="151" t="s">
        <v>640</v>
      </c>
      <c r="D209" s="151" t="s">
        <v>671</v>
      </c>
      <c r="E209" s="153">
        <v>0</v>
      </c>
      <c r="F209" s="192" t="s">
        <v>672</v>
      </c>
      <c r="G209" s="697">
        <f t="shared" si="40"/>
        <v>0</v>
      </c>
      <c r="H209" s="697">
        <f t="shared" si="40"/>
        <v>0</v>
      </c>
      <c r="I209" s="697">
        <f t="shared" si="40"/>
        <v>0</v>
      </c>
      <c r="J209" s="697">
        <f t="shared" si="40"/>
        <v>0</v>
      </c>
      <c r="K209" s="697">
        <f t="shared" si="40"/>
        <v>0</v>
      </c>
      <c r="L209" s="697">
        <f t="shared" si="40"/>
        <v>0</v>
      </c>
      <c r="M209" s="697">
        <f t="shared" si="40"/>
        <v>0</v>
      </c>
      <c r="O209" s="343"/>
      <c r="Q209" s="50"/>
      <c r="R209" s="50"/>
      <c r="S209" s="50"/>
      <c r="T209" s="50"/>
      <c r="U209" s="50"/>
      <c r="V209" s="50"/>
      <c r="W209" s="50"/>
      <c r="X209" s="50"/>
      <c r="Y209" s="50"/>
      <c r="Z209" s="50"/>
      <c r="AA209" s="50"/>
      <c r="AB209" s="50"/>
      <c r="AC209" s="50"/>
      <c r="AD209" s="50"/>
      <c r="AE209" s="50"/>
    </row>
    <row r="210" spans="1:31" outlineLevel="1" x14ac:dyDescent="0.25">
      <c r="A210" s="480">
        <f>ROW()</f>
        <v>210</v>
      </c>
      <c r="B210" s="191" t="s">
        <v>670</v>
      </c>
      <c r="C210" s="151" t="s">
        <v>640</v>
      </c>
      <c r="D210" s="151" t="s">
        <v>671</v>
      </c>
      <c r="E210" s="153">
        <v>0</v>
      </c>
      <c r="F210" s="192" t="s">
        <v>672</v>
      </c>
      <c r="G210" s="697">
        <f t="shared" si="40"/>
        <v>0</v>
      </c>
      <c r="H210" s="697">
        <f t="shared" si="40"/>
        <v>0</v>
      </c>
      <c r="I210" s="697">
        <f t="shared" si="40"/>
        <v>0</v>
      </c>
      <c r="J210" s="697">
        <f t="shared" si="40"/>
        <v>0</v>
      </c>
      <c r="K210" s="697">
        <f t="shared" si="40"/>
        <v>0</v>
      </c>
      <c r="L210" s="697">
        <f t="shared" si="40"/>
        <v>0</v>
      </c>
      <c r="M210" s="697">
        <f t="shared" si="40"/>
        <v>0</v>
      </c>
      <c r="O210" s="343"/>
      <c r="Q210" s="50"/>
      <c r="R210" s="50"/>
      <c r="S210" s="50"/>
      <c r="T210" s="50"/>
      <c r="U210" s="50"/>
      <c r="V210" s="50"/>
      <c r="W210" s="50"/>
      <c r="X210" s="50"/>
      <c r="Y210" s="50"/>
      <c r="Z210" s="50"/>
      <c r="AA210" s="50"/>
      <c r="AB210" s="50"/>
      <c r="AC210" s="50"/>
      <c r="AD210" s="50"/>
      <c r="AE210" s="50"/>
    </row>
    <row r="211" spans="1:31" outlineLevel="1" x14ac:dyDescent="0.25">
      <c r="A211" s="480">
        <f>ROW()</f>
        <v>211</v>
      </c>
      <c r="B211" s="191" t="s">
        <v>670</v>
      </c>
      <c r="C211" s="151" t="s">
        <v>640</v>
      </c>
      <c r="D211" s="151" t="s">
        <v>671</v>
      </c>
      <c r="E211" s="153">
        <v>0</v>
      </c>
      <c r="F211" s="192" t="s">
        <v>672</v>
      </c>
      <c r="G211" s="697">
        <f t="shared" si="40"/>
        <v>0</v>
      </c>
      <c r="H211" s="697">
        <f t="shared" si="40"/>
        <v>0</v>
      </c>
      <c r="I211" s="697">
        <f t="shared" si="40"/>
        <v>0</v>
      </c>
      <c r="J211" s="697">
        <f t="shared" si="40"/>
        <v>0</v>
      </c>
      <c r="K211" s="697">
        <f t="shared" si="40"/>
        <v>0</v>
      </c>
      <c r="L211" s="697">
        <f t="shared" si="40"/>
        <v>0</v>
      </c>
      <c r="M211" s="697">
        <f t="shared" si="40"/>
        <v>0</v>
      </c>
      <c r="O211" s="343"/>
      <c r="Q211" s="50"/>
      <c r="R211" s="50"/>
      <c r="S211" s="50"/>
      <c r="T211" s="50"/>
      <c r="U211" s="50"/>
      <c r="V211" s="50"/>
      <c r="W211" s="50"/>
      <c r="X211" s="50"/>
      <c r="Y211" s="50"/>
      <c r="Z211" s="50"/>
      <c r="AA211" s="50"/>
      <c r="AB211" s="50"/>
      <c r="AC211" s="50"/>
      <c r="AD211" s="50"/>
      <c r="AE211" s="50"/>
    </row>
    <row r="212" spans="1:31" outlineLevel="1" x14ac:dyDescent="0.25">
      <c r="A212" s="480">
        <f>ROW()</f>
        <v>212</v>
      </c>
      <c r="B212" s="191" t="s">
        <v>670</v>
      </c>
      <c r="C212" s="151" t="s">
        <v>640</v>
      </c>
      <c r="D212" s="151" t="s">
        <v>671</v>
      </c>
      <c r="E212" s="153">
        <v>0</v>
      </c>
      <c r="F212" s="192" t="s">
        <v>672</v>
      </c>
      <c r="G212" s="697">
        <f t="shared" si="40"/>
        <v>0</v>
      </c>
      <c r="H212" s="697">
        <f t="shared" si="40"/>
        <v>0</v>
      </c>
      <c r="I212" s="697">
        <f t="shared" si="40"/>
        <v>0</v>
      </c>
      <c r="J212" s="697">
        <f t="shared" si="40"/>
        <v>0</v>
      </c>
      <c r="K212" s="697">
        <f t="shared" si="40"/>
        <v>0</v>
      </c>
      <c r="L212" s="697">
        <f t="shared" si="40"/>
        <v>0</v>
      </c>
      <c r="M212" s="697">
        <f t="shared" si="40"/>
        <v>0</v>
      </c>
      <c r="O212" s="343"/>
      <c r="Q212" s="50"/>
      <c r="R212" s="50"/>
      <c r="S212" s="50"/>
      <c r="T212" s="50"/>
      <c r="U212" s="50"/>
      <c r="V212" s="50"/>
      <c r="W212" s="50"/>
      <c r="X212" s="50"/>
      <c r="Y212" s="50"/>
      <c r="Z212" s="50"/>
      <c r="AA212" s="50"/>
      <c r="AB212" s="50"/>
      <c r="AC212" s="50"/>
      <c r="AD212" s="50"/>
      <c r="AE212" s="50"/>
    </row>
    <row r="213" spans="1:31" outlineLevel="1" x14ac:dyDescent="0.25">
      <c r="A213" s="480">
        <f>ROW()</f>
        <v>213</v>
      </c>
      <c r="B213" s="307"/>
      <c r="C213" s="1395"/>
      <c r="D213" s="1395"/>
      <c r="E213" s="1398"/>
      <c r="F213" s="1395"/>
      <c r="G213" s="140"/>
      <c r="H213" s="140"/>
      <c r="I213" s="140"/>
      <c r="J213" s="140"/>
      <c r="K213" s="140"/>
      <c r="L213" s="140"/>
      <c r="M213" s="140"/>
      <c r="O213" s="343"/>
      <c r="Q213" s="50"/>
      <c r="R213" s="50"/>
      <c r="S213" s="50"/>
      <c r="T213" s="50"/>
      <c r="U213" s="50"/>
      <c r="V213" s="50"/>
      <c r="W213" s="50"/>
      <c r="X213" s="50"/>
      <c r="Y213" s="50"/>
      <c r="Z213" s="50"/>
      <c r="AA213" s="50"/>
      <c r="AB213" s="50"/>
      <c r="AC213" s="50"/>
      <c r="AD213" s="50"/>
      <c r="AE213" s="50"/>
    </row>
    <row r="214" spans="1:31" outlineLevel="1" x14ac:dyDescent="0.25">
      <c r="A214" s="480">
        <f>ROW()</f>
        <v>214</v>
      </c>
      <c r="B214" s="191" t="s">
        <v>681</v>
      </c>
      <c r="C214" s="151" t="s">
        <v>640</v>
      </c>
      <c r="D214" s="151" t="s">
        <v>671</v>
      </c>
      <c r="E214" s="323">
        <v>0</v>
      </c>
      <c r="F214" s="192" t="s">
        <v>672</v>
      </c>
      <c r="G214" s="697">
        <f t="shared" ref="G214:M218" si="41">IF($D214&lt;=G$10,1,0)</f>
        <v>0</v>
      </c>
      <c r="H214" s="697">
        <f t="shared" si="41"/>
        <v>0</v>
      </c>
      <c r="I214" s="697">
        <f t="shared" si="41"/>
        <v>0</v>
      </c>
      <c r="J214" s="697">
        <f t="shared" si="41"/>
        <v>0</v>
      </c>
      <c r="K214" s="697">
        <f t="shared" si="41"/>
        <v>0</v>
      </c>
      <c r="L214" s="697">
        <f t="shared" si="41"/>
        <v>0</v>
      </c>
      <c r="M214" s="697">
        <f t="shared" si="41"/>
        <v>0</v>
      </c>
      <c r="O214" s="343"/>
      <c r="Q214" s="50"/>
      <c r="R214" s="50"/>
      <c r="S214" s="50"/>
      <c r="T214" s="50"/>
      <c r="U214" s="50"/>
      <c r="V214" s="50"/>
      <c r="W214" s="50"/>
      <c r="X214" s="50"/>
      <c r="Y214" s="50"/>
      <c r="Z214" s="50"/>
      <c r="AA214" s="50"/>
      <c r="AB214" s="50"/>
      <c r="AC214" s="50"/>
      <c r="AD214" s="50"/>
      <c r="AE214" s="50"/>
    </row>
    <row r="215" spans="1:31" outlineLevel="1" x14ac:dyDescent="0.25">
      <c r="A215" s="480">
        <f>ROW()</f>
        <v>215</v>
      </c>
      <c r="B215" s="191" t="s">
        <v>682</v>
      </c>
      <c r="C215" s="151" t="s">
        <v>640</v>
      </c>
      <c r="D215" s="151" t="s">
        <v>671</v>
      </c>
      <c r="E215" s="153">
        <v>0</v>
      </c>
      <c r="F215" s="192" t="s">
        <v>672</v>
      </c>
      <c r="G215" s="697">
        <f t="shared" si="41"/>
        <v>0</v>
      </c>
      <c r="H215" s="697">
        <f t="shared" si="41"/>
        <v>0</v>
      </c>
      <c r="I215" s="697">
        <f t="shared" si="41"/>
        <v>0</v>
      </c>
      <c r="J215" s="697">
        <f t="shared" si="41"/>
        <v>0</v>
      </c>
      <c r="K215" s="697">
        <f t="shared" si="41"/>
        <v>0</v>
      </c>
      <c r="L215" s="697">
        <f t="shared" si="41"/>
        <v>0</v>
      </c>
      <c r="M215" s="697">
        <f t="shared" si="41"/>
        <v>0</v>
      </c>
      <c r="O215" s="343"/>
      <c r="Q215" s="50"/>
      <c r="R215" s="50"/>
      <c r="S215" s="50"/>
      <c r="T215" s="50"/>
      <c r="U215" s="50"/>
      <c r="V215" s="50"/>
      <c r="W215" s="50"/>
      <c r="X215" s="50"/>
      <c r="Y215" s="50"/>
      <c r="Z215" s="50"/>
      <c r="AA215" s="50"/>
      <c r="AB215" s="50"/>
      <c r="AC215" s="50"/>
      <c r="AD215" s="50"/>
      <c r="AE215" s="50"/>
    </row>
    <row r="216" spans="1:31" outlineLevel="1" x14ac:dyDescent="0.25">
      <c r="A216" s="480">
        <f>ROW()</f>
        <v>216</v>
      </c>
      <c r="B216" s="191" t="s">
        <v>670</v>
      </c>
      <c r="C216" s="151" t="s">
        <v>640</v>
      </c>
      <c r="D216" s="151" t="s">
        <v>671</v>
      </c>
      <c r="E216" s="153">
        <v>0</v>
      </c>
      <c r="F216" s="192" t="s">
        <v>672</v>
      </c>
      <c r="G216" s="697">
        <f t="shared" si="41"/>
        <v>0</v>
      </c>
      <c r="H216" s="697">
        <f t="shared" si="41"/>
        <v>0</v>
      </c>
      <c r="I216" s="697">
        <f t="shared" si="41"/>
        <v>0</v>
      </c>
      <c r="J216" s="697">
        <f t="shared" si="41"/>
        <v>0</v>
      </c>
      <c r="K216" s="697">
        <f t="shared" si="41"/>
        <v>0</v>
      </c>
      <c r="L216" s="697">
        <f t="shared" si="41"/>
        <v>0</v>
      </c>
      <c r="M216" s="697">
        <f t="shared" si="41"/>
        <v>0</v>
      </c>
      <c r="O216" s="343"/>
      <c r="Q216" s="50"/>
      <c r="R216" s="50"/>
      <c r="S216" s="50"/>
      <c r="T216" s="50"/>
      <c r="U216" s="50"/>
      <c r="V216" s="50"/>
      <c r="W216" s="50"/>
      <c r="X216" s="50"/>
      <c r="Y216" s="50"/>
      <c r="Z216" s="50"/>
      <c r="AA216" s="50"/>
      <c r="AB216" s="50"/>
      <c r="AC216" s="50"/>
      <c r="AD216" s="50"/>
      <c r="AE216" s="50"/>
    </row>
    <row r="217" spans="1:31" outlineLevel="1" x14ac:dyDescent="0.25">
      <c r="A217" s="480">
        <f>ROW()</f>
        <v>217</v>
      </c>
      <c r="B217" s="191" t="s">
        <v>670</v>
      </c>
      <c r="C217" s="151" t="s">
        <v>640</v>
      </c>
      <c r="D217" s="151" t="s">
        <v>671</v>
      </c>
      <c r="E217" s="153">
        <v>0</v>
      </c>
      <c r="F217" s="192" t="s">
        <v>672</v>
      </c>
      <c r="G217" s="697">
        <f t="shared" si="41"/>
        <v>0</v>
      </c>
      <c r="H217" s="697">
        <f t="shared" si="41"/>
        <v>0</v>
      </c>
      <c r="I217" s="697">
        <f t="shared" si="41"/>
        <v>0</v>
      </c>
      <c r="J217" s="697">
        <f t="shared" si="41"/>
        <v>0</v>
      </c>
      <c r="K217" s="697">
        <f t="shared" si="41"/>
        <v>0</v>
      </c>
      <c r="L217" s="697">
        <f t="shared" si="41"/>
        <v>0</v>
      </c>
      <c r="M217" s="697">
        <f t="shared" si="41"/>
        <v>0</v>
      </c>
      <c r="O217" s="343"/>
      <c r="Q217" s="50"/>
      <c r="R217" s="50"/>
      <c r="S217" s="50"/>
      <c r="T217" s="50"/>
      <c r="U217" s="50"/>
      <c r="V217" s="50"/>
      <c r="W217" s="50"/>
      <c r="X217" s="50"/>
      <c r="Y217" s="50"/>
      <c r="Z217" s="50"/>
      <c r="AA217" s="50"/>
      <c r="AB217" s="50"/>
      <c r="AC217" s="50"/>
      <c r="AD217" s="50"/>
      <c r="AE217" s="50"/>
    </row>
    <row r="218" spans="1:31" outlineLevel="1" x14ac:dyDescent="0.25">
      <c r="A218" s="480">
        <f>ROW()</f>
        <v>218</v>
      </c>
      <c r="B218" s="191" t="s">
        <v>670</v>
      </c>
      <c r="C218" s="151" t="s">
        <v>640</v>
      </c>
      <c r="D218" s="151" t="s">
        <v>671</v>
      </c>
      <c r="E218" s="153">
        <v>0</v>
      </c>
      <c r="F218" s="192" t="s">
        <v>672</v>
      </c>
      <c r="G218" s="697">
        <f t="shared" si="41"/>
        <v>0</v>
      </c>
      <c r="H218" s="697">
        <f t="shared" si="41"/>
        <v>0</v>
      </c>
      <c r="I218" s="697">
        <f t="shared" si="41"/>
        <v>0</v>
      </c>
      <c r="J218" s="697">
        <f t="shared" si="41"/>
        <v>0</v>
      </c>
      <c r="K218" s="697">
        <f t="shared" si="41"/>
        <v>0</v>
      </c>
      <c r="L218" s="697">
        <f t="shared" si="41"/>
        <v>0</v>
      </c>
      <c r="M218" s="697">
        <f t="shared" si="41"/>
        <v>0</v>
      </c>
      <c r="O218" s="343"/>
      <c r="Q218" s="50"/>
      <c r="R218" s="50"/>
      <c r="S218" s="50"/>
      <c r="T218" s="50"/>
      <c r="U218" s="50"/>
      <c r="V218" s="50"/>
      <c r="W218" s="50"/>
      <c r="X218" s="50"/>
      <c r="Y218" s="50"/>
      <c r="Z218" s="50"/>
      <c r="AA218" s="50"/>
      <c r="AB218" s="50"/>
      <c r="AC218" s="50"/>
      <c r="AD218" s="50"/>
      <c r="AE218" s="50"/>
    </row>
    <row r="219" spans="1:31" outlineLevel="1" x14ac:dyDescent="0.25">
      <c r="A219" s="480">
        <f>ROW()</f>
        <v>219</v>
      </c>
      <c r="B219" s="307"/>
      <c r="C219" s="1395"/>
      <c r="D219" s="1395"/>
      <c r="E219" s="1394"/>
      <c r="F219" s="1395"/>
      <c r="G219" s="140"/>
      <c r="H219" s="140"/>
      <c r="I219" s="140"/>
      <c r="J219" s="140"/>
      <c r="K219" s="140"/>
      <c r="L219" s="140"/>
      <c r="M219" s="140"/>
      <c r="O219" s="343"/>
      <c r="Q219" s="50"/>
      <c r="R219" s="50"/>
      <c r="S219" s="50"/>
      <c r="T219" s="50"/>
      <c r="U219" s="50"/>
      <c r="V219" s="50"/>
      <c r="W219" s="50"/>
      <c r="X219" s="50"/>
      <c r="Y219" s="50"/>
      <c r="Z219" s="50"/>
      <c r="AA219" s="50"/>
      <c r="AB219" s="50"/>
      <c r="AC219" s="50"/>
      <c r="AD219" s="50"/>
      <c r="AE219" s="50"/>
    </row>
    <row r="220" spans="1:31" outlineLevel="1" x14ac:dyDescent="0.25">
      <c r="A220" s="480">
        <f>ROW()</f>
        <v>220</v>
      </c>
      <c r="B220" s="191" t="s">
        <v>670</v>
      </c>
      <c r="C220" s="151" t="s">
        <v>640</v>
      </c>
      <c r="D220" s="151" t="s">
        <v>671</v>
      </c>
      <c r="E220" s="323">
        <v>0</v>
      </c>
      <c r="F220" s="192" t="s">
        <v>672</v>
      </c>
      <c r="G220" s="697">
        <f t="shared" ref="G220:M224" si="42">IF($D220&lt;=G$10,1,0)</f>
        <v>0</v>
      </c>
      <c r="H220" s="697">
        <f t="shared" si="42"/>
        <v>0</v>
      </c>
      <c r="I220" s="697">
        <f t="shared" si="42"/>
        <v>0</v>
      </c>
      <c r="J220" s="697">
        <f t="shared" si="42"/>
        <v>0</v>
      </c>
      <c r="K220" s="697">
        <f t="shared" si="42"/>
        <v>0</v>
      </c>
      <c r="L220" s="697">
        <f t="shared" si="42"/>
        <v>0</v>
      </c>
      <c r="M220" s="697">
        <f t="shared" si="42"/>
        <v>0</v>
      </c>
      <c r="O220" s="343"/>
      <c r="Q220" s="50"/>
      <c r="R220" s="50"/>
      <c r="S220" s="50"/>
      <c r="T220" s="50"/>
      <c r="U220" s="50"/>
      <c r="V220" s="50"/>
      <c r="W220" s="50"/>
      <c r="X220" s="50"/>
      <c r="Y220" s="50"/>
      <c r="Z220" s="50"/>
      <c r="AA220" s="50"/>
      <c r="AB220" s="50"/>
      <c r="AC220" s="50"/>
      <c r="AD220" s="50"/>
      <c r="AE220" s="50"/>
    </row>
    <row r="221" spans="1:31" outlineLevel="1" x14ac:dyDescent="0.25">
      <c r="A221" s="480">
        <f>ROW()</f>
        <v>221</v>
      </c>
      <c r="B221" s="191" t="s">
        <v>670</v>
      </c>
      <c r="C221" s="151" t="s">
        <v>640</v>
      </c>
      <c r="D221" s="151" t="s">
        <v>671</v>
      </c>
      <c r="E221" s="153">
        <v>0</v>
      </c>
      <c r="F221" s="192" t="s">
        <v>672</v>
      </c>
      <c r="G221" s="697">
        <f t="shared" si="42"/>
        <v>0</v>
      </c>
      <c r="H221" s="697">
        <f t="shared" si="42"/>
        <v>0</v>
      </c>
      <c r="I221" s="697">
        <f t="shared" si="42"/>
        <v>0</v>
      </c>
      <c r="J221" s="697">
        <f t="shared" si="42"/>
        <v>0</v>
      </c>
      <c r="K221" s="697">
        <f t="shared" si="42"/>
        <v>0</v>
      </c>
      <c r="L221" s="697">
        <f t="shared" si="42"/>
        <v>0</v>
      </c>
      <c r="M221" s="697">
        <f t="shared" si="42"/>
        <v>0</v>
      </c>
      <c r="O221" s="343"/>
      <c r="Q221" s="50"/>
      <c r="R221" s="50"/>
      <c r="S221" s="50"/>
      <c r="T221" s="50"/>
      <c r="U221" s="50"/>
      <c r="V221" s="50"/>
      <c r="W221" s="50"/>
      <c r="X221" s="50"/>
      <c r="Y221" s="50"/>
      <c r="Z221" s="50"/>
      <c r="AA221" s="50"/>
      <c r="AB221" s="50"/>
      <c r="AC221" s="50"/>
      <c r="AD221" s="50"/>
      <c r="AE221" s="50"/>
    </row>
    <row r="222" spans="1:31" outlineLevel="1" x14ac:dyDescent="0.25">
      <c r="A222" s="480">
        <f>ROW()</f>
        <v>222</v>
      </c>
      <c r="B222" s="191" t="s">
        <v>670</v>
      </c>
      <c r="C222" s="151" t="s">
        <v>640</v>
      </c>
      <c r="D222" s="151" t="s">
        <v>671</v>
      </c>
      <c r="E222" s="153">
        <v>0</v>
      </c>
      <c r="F222" s="192" t="s">
        <v>672</v>
      </c>
      <c r="G222" s="697">
        <f t="shared" si="42"/>
        <v>0</v>
      </c>
      <c r="H222" s="697">
        <f t="shared" si="42"/>
        <v>0</v>
      </c>
      <c r="I222" s="697">
        <f t="shared" si="42"/>
        <v>0</v>
      </c>
      <c r="J222" s="697">
        <f t="shared" si="42"/>
        <v>0</v>
      </c>
      <c r="K222" s="697">
        <f t="shared" si="42"/>
        <v>0</v>
      </c>
      <c r="L222" s="697">
        <f t="shared" si="42"/>
        <v>0</v>
      </c>
      <c r="M222" s="697">
        <f t="shared" si="42"/>
        <v>0</v>
      </c>
      <c r="O222" s="343"/>
      <c r="Q222" s="50"/>
      <c r="R222" s="50"/>
      <c r="S222" s="50"/>
      <c r="T222" s="50"/>
      <c r="U222" s="50"/>
      <c r="V222" s="50"/>
      <c r="W222" s="50"/>
      <c r="X222" s="50"/>
      <c r="Y222" s="50"/>
      <c r="Z222" s="50"/>
      <c r="AA222" s="50"/>
      <c r="AB222" s="50"/>
      <c r="AC222" s="50"/>
      <c r="AD222" s="50"/>
      <c r="AE222" s="50"/>
    </row>
    <row r="223" spans="1:31" outlineLevel="1" x14ac:dyDescent="0.25">
      <c r="A223" s="480">
        <f>ROW()</f>
        <v>223</v>
      </c>
      <c r="B223" s="191" t="s">
        <v>670</v>
      </c>
      <c r="C223" s="151" t="s">
        <v>640</v>
      </c>
      <c r="D223" s="151" t="s">
        <v>671</v>
      </c>
      <c r="E223" s="153">
        <v>0</v>
      </c>
      <c r="F223" s="192" t="s">
        <v>672</v>
      </c>
      <c r="G223" s="697">
        <f t="shared" si="42"/>
        <v>0</v>
      </c>
      <c r="H223" s="697">
        <f t="shared" si="42"/>
        <v>0</v>
      </c>
      <c r="I223" s="697">
        <f t="shared" si="42"/>
        <v>0</v>
      </c>
      <c r="J223" s="697">
        <f t="shared" si="42"/>
        <v>0</v>
      </c>
      <c r="K223" s="697">
        <f t="shared" si="42"/>
        <v>0</v>
      </c>
      <c r="L223" s="697">
        <f t="shared" si="42"/>
        <v>0</v>
      </c>
      <c r="M223" s="697">
        <f t="shared" si="42"/>
        <v>0</v>
      </c>
      <c r="O223" s="343"/>
      <c r="Q223" s="50"/>
      <c r="R223" s="50"/>
      <c r="S223" s="50"/>
      <c r="T223" s="50"/>
      <c r="U223" s="50"/>
      <c r="V223" s="50"/>
      <c r="W223" s="50"/>
      <c r="X223" s="50"/>
      <c r="Y223" s="50"/>
      <c r="Z223" s="50"/>
      <c r="AA223" s="50"/>
      <c r="AB223" s="50"/>
      <c r="AC223" s="50"/>
      <c r="AD223" s="50"/>
      <c r="AE223" s="50"/>
    </row>
    <row r="224" spans="1:31" outlineLevel="1" x14ac:dyDescent="0.25">
      <c r="A224" s="480">
        <f>ROW()</f>
        <v>224</v>
      </c>
      <c r="B224" s="191" t="s">
        <v>670</v>
      </c>
      <c r="C224" s="151" t="s">
        <v>640</v>
      </c>
      <c r="D224" s="151" t="s">
        <v>671</v>
      </c>
      <c r="E224" s="153">
        <v>0</v>
      </c>
      <c r="F224" s="192" t="s">
        <v>672</v>
      </c>
      <c r="G224" s="697">
        <f t="shared" si="42"/>
        <v>0</v>
      </c>
      <c r="H224" s="697">
        <f t="shared" si="42"/>
        <v>0</v>
      </c>
      <c r="I224" s="697">
        <f t="shared" si="42"/>
        <v>0</v>
      </c>
      <c r="J224" s="697">
        <f t="shared" si="42"/>
        <v>0</v>
      </c>
      <c r="K224" s="697">
        <f t="shared" si="42"/>
        <v>0</v>
      </c>
      <c r="L224" s="697">
        <f t="shared" si="42"/>
        <v>0</v>
      </c>
      <c r="M224" s="697">
        <f t="shared" si="42"/>
        <v>0</v>
      </c>
      <c r="O224" s="343"/>
      <c r="Q224" s="50"/>
      <c r="R224" s="50"/>
      <c r="S224" s="50"/>
      <c r="T224" s="50"/>
      <c r="U224" s="50"/>
      <c r="V224" s="50"/>
      <c r="W224" s="50"/>
      <c r="X224" s="50"/>
      <c r="Y224" s="50"/>
      <c r="Z224" s="50"/>
      <c r="AA224" s="50"/>
      <c r="AB224" s="50"/>
      <c r="AC224" s="50"/>
      <c r="AD224" s="50"/>
      <c r="AE224" s="50"/>
    </row>
    <row r="225" spans="1:31" outlineLevel="1" x14ac:dyDescent="0.25">
      <c r="A225" s="480">
        <f>ROW()</f>
        <v>225</v>
      </c>
      <c r="B225" s="307"/>
      <c r="C225" s="1393"/>
      <c r="D225" s="1393"/>
      <c r="E225" s="1394"/>
      <c r="F225" s="1395"/>
      <c r="G225" s="140"/>
      <c r="H225" s="140"/>
      <c r="I225" s="140"/>
      <c r="J225" s="140"/>
      <c r="K225" s="140"/>
      <c r="L225" s="140"/>
      <c r="M225" s="140"/>
      <c r="O225" s="343"/>
      <c r="Q225" s="50"/>
      <c r="R225" s="50"/>
      <c r="S225" s="50"/>
      <c r="T225" s="50"/>
      <c r="U225" s="50"/>
      <c r="V225" s="50"/>
      <c r="W225" s="50"/>
      <c r="X225" s="50"/>
      <c r="Y225" s="50"/>
      <c r="Z225" s="50"/>
      <c r="AA225" s="50"/>
      <c r="AB225" s="50"/>
      <c r="AC225" s="50"/>
      <c r="AD225" s="50"/>
      <c r="AE225" s="50"/>
    </row>
    <row r="226" spans="1:31" outlineLevel="1" x14ac:dyDescent="0.25">
      <c r="A226" s="480">
        <f>ROW()</f>
        <v>226</v>
      </c>
      <c r="B226" s="191" t="s">
        <v>670</v>
      </c>
      <c r="C226" s="151" t="s">
        <v>640</v>
      </c>
      <c r="D226" s="151" t="s">
        <v>671</v>
      </c>
      <c r="E226" s="323">
        <v>0</v>
      </c>
      <c r="F226" s="192" t="s">
        <v>672</v>
      </c>
      <c r="G226" s="697">
        <f t="shared" ref="G226:M230" si="43">IF($D226&lt;=G$10,1,0)</f>
        <v>0</v>
      </c>
      <c r="H226" s="697">
        <f t="shared" si="43"/>
        <v>0</v>
      </c>
      <c r="I226" s="697">
        <f t="shared" si="43"/>
        <v>0</v>
      </c>
      <c r="J226" s="697">
        <f t="shared" si="43"/>
        <v>0</v>
      </c>
      <c r="K226" s="697">
        <f t="shared" si="43"/>
        <v>0</v>
      </c>
      <c r="L226" s="697">
        <f t="shared" si="43"/>
        <v>0</v>
      </c>
      <c r="M226" s="697">
        <f t="shared" si="43"/>
        <v>0</v>
      </c>
      <c r="O226" s="343"/>
      <c r="Q226" s="50"/>
      <c r="R226" s="50"/>
      <c r="S226" s="50"/>
      <c r="T226" s="50"/>
      <c r="U226" s="50"/>
      <c r="V226" s="50"/>
      <c r="W226" s="50"/>
      <c r="X226" s="50"/>
      <c r="Y226" s="50"/>
      <c r="Z226" s="50"/>
      <c r="AA226" s="50"/>
      <c r="AB226" s="50"/>
      <c r="AC226" s="50"/>
      <c r="AD226" s="50"/>
      <c r="AE226" s="50"/>
    </row>
    <row r="227" spans="1:31" outlineLevel="1" x14ac:dyDescent="0.25">
      <c r="A227" s="480">
        <f>ROW()</f>
        <v>227</v>
      </c>
      <c r="B227" s="191" t="s">
        <v>670</v>
      </c>
      <c r="C227" s="151" t="s">
        <v>640</v>
      </c>
      <c r="D227" s="151" t="s">
        <v>671</v>
      </c>
      <c r="E227" s="153">
        <v>0</v>
      </c>
      <c r="F227" s="192" t="s">
        <v>672</v>
      </c>
      <c r="G227" s="697">
        <f t="shared" si="43"/>
        <v>0</v>
      </c>
      <c r="H227" s="697">
        <f t="shared" si="43"/>
        <v>0</v>
      </c>
      <c r="I227" s="697">
        <f t="shared" si="43"/>
        <v>0</v>
      </c>
      <c r="J227" s="697">
        <f t="shared" si="43"/>
        <v>0</v>
      </c>
      <c r="K227" s="697">
        <f t="shared" si="43"/>
        <v>0</v>
      </c>
      <c r="L227" s="697">
        <f t="shared" si="43"/>
        <v>0</v>
      </c>
      <c r="M227" s="697">
        <f t="shared" si="43"/>
        <v>0</v>
      </c>
      <c r="O227" s="343"/>
      <c r="Q227" s="50"/>
      <c r="R227" s="50"/>
      <c r="S227" s="50"/>
      <c r="T227" s="50"/>
      <c r="U227" s="50"/>
      <c r="V227" s="50"/>
      <c r="W227" s="50"/>
      <c r="X227" s="50"/>
      <c r="Y227" s="50"/>
      <c r="Z227" s="50"/>
      <c r="AA227" s="50"/>
      <c r="AB227" s="50"/>
      <c r="AC227" s="50"/>
      <c r="AD227" s="50"/>
      <c r="AE227" s="50"/>
    </row>
    <row r="228" spans="1:31" outlineLevel="1" x14ac:dyDescent="0.25">
      <c r="A228" s="480">
        <f>ROW()</f>
        <v>228</v>
      </c>
      <c r="B228" s="191" t="s">
        <v>670</v>
      </c>
      <c r="C228" s="151" t="s">
        <v>640</v>
      </c>
      <c r="D228" s="151" t="s">
        <v>671</v>
      </c>
      <c r="E228" s="153">
        <v>0</v>
      </c>
      <c r="F228" s="192" t="s">
        <v>672</v>
      </c>
      <c r="G228" s="697">
        <f t="shared" si="43"/>
        <v>0</v>
      </c>
      <c r="H228" s="697">
        <f t="shared" si="43"/>
        <v>0</v>
      </c>
      <c r="I228" s="697">
        <f t="shared" si="43"/>
        <v>0</v>
      </c>
      <c r="J228" s="697">
        <f t="shared" si="43"/>
        <v>0</v>
      </c>
      <c r="K228" s="697">
        <f t="shared" si="43"/>
        <v>0</v>
      </c>
      <c r="L228" s="697">
        <f t="shared" si="43"/>
        <v>0</v>
      </c>
      <c r="M228" s="697">
        <f t="shared" si="43"/>
        <v>0</v>
      </c>
      <c r="O228" s="343"/>
      <c r="Q228" s="50"/>
      <c r="R228" s="50"/>
      <c r="S228" s="50"/>
      <c r="T228" s="50"/>
      <c r="U228" s="50"/>
      <c r="V228" s="50"/>
      <c r="W228" s="50"/>
      <c r="X228" s="50"/>
      <c r="Y228" s="50"/>
      <c r="Z228" s="50"/>
      <c r="AA228" s="50"/>
      <c r="AB228" s="50"/>
      <c r="AC228" s="50"/>
      <c r="AD228" s="50"/>
      <c r="AE228" s="50"/>
    </row>
    <row r="229" spans="1:31" outlineLevel="1" x14ac:dyDescent="0.25">
      <c r="A229" s="480">
        <f>ROW()</f>
        <v>229</v>
      </c>
      <c r="B229" s="191" t="s">
        <v>670</v>
      </c>
      <c r="C229" s="151" t="s">
        <v>640</v>
      </c>
      <c r="D229" s="151" t="s">
        <v>671</v>
      </c>
      <c r="E229" s="153">
        <v>0</v>
      </c>
      <c r="F229" s="192" t="s">
        <v>672</v>
      </c>
      <c r="G229" s="697">
        <f t="shared" si="43"/>
        <v>0</v>
      </c>
      <c r="H229" s="697">
        <f t="shared" si="43"/>
        <v>0</v>
      </c>
      <c r="I229" s="697">
        <f t="shared" si="43"/>
        <v>0</v>
      </c>
      <c r="J229" s="697">
        <f t="shared" si="43"/>
        <v>0</v>
      </c>
      <c r="K229" s="697">
        <f t="shared" si="43"/>
        <v>0</v>
      </c>
      <c r="L229" s="697">
        <f t="shared" si="43"/>
        <v>0</v>
      </c>
      <c r="M229" s="697">
        <f t="shared" si="43"/>
        <v>0</v>
      </c>
      <c r="O229" s="343"/>
      <c r="Q229" s="50"/>
      <c r="R229" s="50"/>
      <c r="S229" s="50"/>
      <c r="T229" s="50"/>
      <c r="U229" s="50"/>
      <c r="V229" s="50"/>
      <c r="W229" s="50"/>
      <c r="X229" s="50"/>
      <c r="Y229" s="50"/>
      <c r="Z229" s="50"/>
      <c r="AA229" s="50"/>
      <c r="AB229" s="50"/>
      <c r="AC229" s="50"/>
      <c r="AD229" s="50"/>
      <c r="AE229" s="50"/>
    </row>
    <row r="230" spans="1:31" outlineLevel="1" x14ac:dyDescent="0.25">
      <c r="A230" s="480">
        <f>ROW()</f>
        <v>230</v>
      </c>
      <c r="B230" s="191" t="s">
        <v>670</v>
      </c>
      <c r="C230" s="151" t="s">
        <v>640</v>
      </c>
      <c r="D230" s="151" t="s">
        <v>671</v>
      </c>
      <c r="E230" s="153">
        <v>0</v>
      </c>
      <c r="F230" s="192" t="s">
        <v>672</v>
      </c>
      <c r="G230" s="697">
        <f t="shared" si="43"/>
        <v>0</v>
      </c>
      <c r="H230" s="697">
        <f t="shared" si="43"/>
        <v>0</v>
      </c>
      <c r="I230" s="697">
        <f t="shared" si="43"/>
        <v>0</v>
      </c>
      <c r="J230" s="697">
        <f t="shared" si="43"/>
        <v>0</v>
      </c>
      <c r="K230" s="697">
        <f t="shared" si="43"/>
        <v>0</v>
      </c>
      <c r="L230" s="697">
        <f t="shared" si="43"/>
        <v>0</v>
      </c>
      <c r="M230" s="697">
        <f t="shared" si="43"/>
        <v>0</v>
      </c>
      <c r="O230" s="343"/>
      <c r="Q230" s="50"/>
      <c r="R230" s="50"/>
      <c r="S230" s="50"/>
      <c r="T230" s="50"/>
      <c r="U230" s="50"/>
      <c r="V230" s="50"/>
      <c r="W230" s="50"/>
      <c r="X230" s="50"/>
      <c r="Y230" s="50"/>
      <c r="Z230" s="50"/>
      <c r="AA230" s="50"/>
      <c r="AB230" s="50"/>
      <c r="AC230" s="50"/>
      <c r="AD230" s="50"/>
      <c r="AE230" s="50"/>
    </row>
    <row r="231" spans="1:31" outlineLevel="1" x14ac:dyDescent="0.25">
      <c r="A231" s="480">
        <f>ROW()</f>
        <v>231</v>
      </c>
      <c r="B231" s="307"/>
      <c r="C231" s="1393"/>
      <c r="D231" s="1393"/>
      <c r="E231" s="1394"/>
      <c r="F231" s="1395"/>
      <c r="G231" s="140"/>
      <c r="H231" s="140"/>
      <c r="I231" s="140"/>
      <c r="J231" s="140"/>
      <c r="K231" s="140"/>
      <c r="L231" s="140"/>
      <c r="M231" s="140"/>
      <c r="O231" s="343"/>
      <c r="Q231" s="50"/>
      <c r="R231" s="50"/>
      <c r="S231" s="50"/>
      <c r="T231" s="50"/>
      <c r="U231" s="50"/>
      <c r="V231" s="50"/>
      <c r="W231" s="50"/>
      <c r="X231" s="50"/>
      <c r="Y231" s="50"/>
      <c r="Z231" s="50"/>
      <c r="AA231" s="50"/>
      <c r="AB231" s="50"/>
      <c r="AC231" s="50"/>
      <c r="AD231" s="50"/>
      <c r="AE231" s="50"/>
    </row>
    <row r="232" spans="1:31" outlineLevel="1" x14ac:dyDescent="0.25">
      <c r="A232" s="480">
        <f>ROW()</f>
        <v>232</v>
      </c>
      <c r="B232" s="191" t="s">
        <v>670</v>
      </c>
      <c r="C232" s="151" t="s">
        <v>640</v>
      </c>
      <c r="D232" s="151" t="s">
        <v>671</v>
      </c>
      <c r="E232" s="323">
        <v>0</v>
      </c>
      <c r="F232" s="192" t="s">
        <v>672</v>
      </c>
      <c r="G232" s="697">
        <f t="shared" ref="G232:M236" si="44">IF($D232&lt;=G$10,1,0)</f>
        <v>0</v>
      </c>
      <c r="H232" s="697">
        <f t="shared" si="44"/>
        <v>0</v>
      </c>
      <c r="I232" s="697">
        <f t="shared" si="44"/>
        <v>0</v>
      </c>
      <c r="J232" s="697">
        <f t="shared" si="44"/>
        <v>0</v>
      </c>
      <c r="K232" s="697">
        <f t="shared" si="44"/>
        <v>0</v>
      </c>
      <c r="L232" s="697">
        <f t="shared" si="44"/>
        <v>0</v>
      </c>
      <c r="M232" s="697">
        <f t="shared" si="44"/>
        <v>0</v>
      </c>
      <c r="O232" s="343"/>
      <c r="Q232" s="50"/>
      <c r="R232" s="50"/>
      <c r="S232" s="50"/>
      <c r="T232" s="50"/>
      <c r="U232" s="50"/>
      <c r="V232" s="50"/>
      <c r="W232" s="50"/>
      <c r="X232" s="50"/>
      <c r="Y232" s="50"/>
      <c r="Z232" s="50"/>
      <c r="AA232" s="50"/>
      <c r="AB232" s="50"/>
      <c r="AC232" s="50"/>
      <c r="AD232" s="50"/>
      <c r="AE232" s="50"/>
    </row>
    <row r="233" spans="1:31" outlineLevel="1" x14ac:dyDescent="0.25">
      <c r="A233" s="480">
        <f>ROW()</f>
        <v>233</v>
      </c>
      <c r="B233" s="191" t="s">
        <v>670</v>
      </c>
      <c r="C233" s="151" t="s">
        <v>640</v>
      </c>
      <c r="D233" s="151" t="s">
        <v>671</v>
      </c>
      <c r="E233" s="153">
        <v>0</v>
      </c>
      <c r="F233" s="192" t="s">
        <v>672</v>
      </c>
      <c r="G233" s="697">
        <f t="shared" si="44"/>
        <v>0</v>
      </c>
      <c r="H233" s="697">
        <f t="shared" si="44"/>
        <v>0</v>
      </c>
      <c r="I233" s="697">
        <f t="shared" si="44"/>
        <v>0</v>
      </c>
      <c r="J233" s="697">
        <f t="shared" si="44"/>
        <v>0</v>
      </c>
      <c r="K233" s="697">
        <f t="shared" si="44"/>
        <v>0</v>
      </c>
      <c r="L233" s="697">
        <f t="shared" si="44"/>
        <v>0</v>
      </c>
      <c r="M233" s="697">
        <f t="shared" si="44"/>
        <v>0</v>
      </c>
      <c r="O233" s="343"/>
      <c r="Q233" s="50"/>
      <c r="R233" s="50"/>
      <c r="S233" s="50"/>
      <c r="T233" s="50"/>
      <c r="U233" s="50"/>
      <c r="V233" s="50"/>
      <c r="W233" s="50"/>
      <c r="X233" s="50"/>
      <c r="Y233" s="50"/>
      <c r="Z233" s="50"/>
      <c r="AA233" s="50"/>
      <c r="AB233" s="50"/>
      <c r="AC233" s="50"/>
      <c r="AD233" s="50"/>
      <c r="AE233" s="50"/>
    </row>
    <row r="234" spans="1:31" outlineLevel="1" x14ac:dyDescent="0.25">
      <c r="A234" s="480">
        <f>ROW()</f>
        <v>234</v>
      </c>
      <c r="B234" s="191" t="s">
        <v>670</v>
      </c>
      <c r="C234" s="151" t="s">
        <v>640</v>
      </c>
      <c r="D234" s="151" t="s">
        <v>671</v>
      </c>
      <c r="E234" s="153">
        <v>0</v>
      </c>
      <c r="F234" s="192" t="s">
        <v>672</v>
      </c>
      <c r="G234" s="697">
        <f t="shared" si="44"/>
        <v>0</v>
      </c>
      <c r="H234" s="697">
        <f t="shared" si="44"/>
        <v>0</v>
      </c>
      <c r="I234" s="697">
        <f t="shared" si="44"/>
        <v>0</v>
      </c>
      <c r="J234" s="697">
        <f t="shared" si="44"/>
        <v>0</v>
      </c>
      <c r="K234" s="697">
        <f t="shared" si="44"/>
        <v>0</v>
      </c>
      <c r="L234" s="697">
        <f t="shared" si="44"/>
        <v>0</v>
      </c>
      <c r="M234" s="697">
        <f t="shared" si="44"/>
        <v>0</v>
      </c>
      <c r="O234" s="343"/>
      <c r="Q234" s="50"/>
      <c r="R234" s="50"/>
      <c r="S234" s="50"/>
      <c r="T234" s="50"/>
      <c r="U234" s="50"/>
      <c r="V234" s="50"/>
      <c r="W234" s="50"/>
      <c r="X234" s="50"/>
      <c r="Y234" s="50"/>
      <c r="Z234" s="50"/>
      <c r="AA234" s="50"/>
      <c r="AB234" s="50"/>
      <c r="AC234" s="50"/>
      <c r="AD234" s="50"/>
      <c r="AE234" s="50"/>
    </row>
    <row r="235" spans="1:31" outlineLevel="1" x14ac:dyDescent="0.25">
      <c r="A235" s="480">
        <f>ROW()</f>
        <v>235</v>
      </c>
      <c r="B235" s="191" t="s">
        <v>670</v>
      </c>
      <c r="C235" s="151" t="s">
        <v>640</v>
      </c>
      <c r="D235" s="151" t="s">
        <v>671</v>
      </c>
      <c r="E235" s="153">
        <v>0</v>
      </c>
      <c r="F235" s="192" t="s">
        <v>672</v>
      </c>
      <c r="G235" s="697">
        <f t="shared" si="44"/>
        <v>0</v>
      </c>
      <c r="H235" s="697">
        <f t="shared" si="44"/>
        <v>0</v>
      </c>
      <c r="I235" s="697">
        <f t="shared" si="44"/>
        <v>0</v>
      </c>
      <c r="J235" s="697">
        <f t="shared" si="44"/>
        <v>0</v>
      </c>
      <c r="K235" s="697">
        <f t="shared" si="44"/>
        <v>0</v>
      </c>
      <c r="L235" s="697">
        <f t="shared" si="44"/>
        <v>0</v>
      </c>
      <c r="M235" s="697">
        <f t="shared" si="44"/>
        <v>0</v>
      </c>
      <c r="O235" s="343"/>
      <c r="Q235" s="50"/>
      <c r="R235" s="50"/>
      <c r="S235" s="50"/>
      <c r="T235" s="50"/>
      <c r="U235" s="50"/>
      <c r="V235" s="50"/>
      <c r="W235" s="50"/>
      <c r="X235" s="50"/>
      <c r="Y235" s="50"/>
      <c r="Z235" s="50"/>
      <c r="AA235" s="50"/>
      <c r="AB235" s="50"/>
      <c r="AC235" s="50"/>
      <c r="AD235" s="50"/>
      <c r="AE235" s="50"/>
    </row>
    <row r="236" spans="1:31" outlineLevel="1" x14ac:dyDescent="0.25">
      <c r="A236" s="480">
        <f>ROW()</f>
        <v>236</v>
      </c>
      <c r="B236" s="191" t="s">
        <v>670</v>
      </c>
      <c r="C236" s="151" t="s">
        <v>640</v>
      </c>
      <c r="D236" s="151" t="s">
        <v>671</v>
      </c>
      <c r="E236" s="153">
        <v>0</v>
      </c>
      <c r="F236" s="192" t="s">
        <v>672</v>
      </c>
      <c r="G236" s="697">
        <f t="shared" si="44"/>
        <v>0</v>
      </c>
      <c r="H236" s="697">
        <f t="shared" si="44"/>
        <v>0</v>
      </c>
      <c r="I236" s="697">
        <f t="shared" si="44"/>
        <v>0</v>
      </c>
      <c r="J236" s="697">
        <f t="shared" si="44"/>
        <v>0</v>
      </c>
      <c r="K236" s="697">
        <f t="shared" si="44"/>
        <v>0</v>
      </c>
      <c r="L236" s="697">
        <f t="shared" si="44"/>
        <v>0</v>
      </c>
      <c r="M236" s="697">
        <f t="shared" si="44"/>
        <v>0</v>
      </c>
      <c r="O236" s="343"/>
      <c r="Q236" s="50"/>
      <c r="R236" s="50"/>
      <c r="S236" s="50"/>
      <c r="T236" s="50"/>
      <c r="U236" s="50"/>
      <c r="V236" s="50"/>
      <c r="W236" s="50"/>
      <c r="X236" s="50"/>
      <c r="Y236" s="50"/>
      <c r="Z236" s="50"/>
      <c r="AA236" s="50"/>
      <c r="AB236" s="50"/>
      <c r="AC236" s="50"/>
      <c r="AD236" s="50"/>
      <c r="AE236" s="50"/>
    </row>
    <row r="237" spans="1:31" x14ac:dyDescent="0.25">
      <c r="A237" s="480">
        <f>ROW()</f>
        <v>237</v>
      </c>
      <c r="C237" s="104"/>
      <c r="D237" s="104"/>
      <c r="E237" s="95"/>
      <c r="F237" s="95"/>
      <c r="G237" s="103"/>
      <c r="H237" s="103"/>
      <c r="I237" s="103"/>
      <c r="J237" s="103"/>
      <c r="K237" s="54"/>
      <c r="L237" s="54"/>
      <c r="M237" s="54"/>
      <c r="O237" s="343"/>
      <c r="Q237" s="50"/>
      <c r="R237" s="50"/>
      <c r="S237" s="50"/>
      <c r="T237" s="50"/>
      <c r="U237" s="50"/>
      <c r="V237" s="50"/>
      <c r="W237" s="50"/>
      <c r="X237" s="50"/>
      <c r="Y237" s="50"/>
      <c r="Z237" s="50"/>
      <c r="AA237" s="50"/>
      <c r="AB237" s="50"/>
      <c r="AC237" s="50"/>
      <c r="AD237" s="50"/>
      <c r="AE237" s="50"/>
    </row>
    <row r="238" spans="1:31" x14ac:dyDescent="0.25">
      <c r="A238" s="480">
        <f>ROW()</f>
        <v>238</v>
      </c>
      <c r="B238" s="127" t="s">
        <v>683</v>
      </c>
      <c r="C238" s="128"/>
      <c r="D238" s="128"/>
      <c r="E238" s="127"/>
      <c r="F238" s="127"/>
      <c r="G238" s="1202">
        <f t="shared" ref="G238:M238" si="45">SUM(G143:G236)</f>
        <v>51</v>
      </c>
      <c r="H238" s="344">
        <f t="shared" si="45"/>
        <v>51</v>
      </c>
      <c r="I238" s="344">
        <f t="shared" si="45"/>
        <v>51</v>
      </c>
      <c r="J238" s="344">
        <f t="shared" si="45"/>
        <v>51</v>
      </c>
      <c r="K238" s="344">
        <f t="shared" si="45"/>
        <v>51</v>
      </c>
      <c r="L238" s="344">
        <f t="shared" si="45"/>
        <v>51</v>
      </c>
      <c r="M238" s="344">
        <f t="shared" si="45"/>
        <v>51</v>
      </c>
      <c r="N238" s="31"/>
      <c r="O238" s="343"/>
      <c r="Q238" s="50"/>
      <c r="R238" s="50"/>
      <c r="S238" s="50"/>
      <c r="T238" s="50"/>
      <c r="U238" s="50"/>
      <c r="V238" s="50"/>
      <c r="W238" s="50"/>
      <c r="X238" s="50"/>
      <c r="Y238" s="50"/>
      <c r="Z238" s="50"/>
      <c r="AA238" s="50"/>
      <c r="AB238" s="50"/>
      <c r="AC238" s="50"/>
      <c r="AD238" s="50"/>
      <c r="AE238" s="50"/>
    </row>
    <row r="239" spans="1:31" x14ac:dyDescent="0.25">
      <c r="A239" s="480">
        <f>ROW()</f>
        <v>239</v>
      </c>
      <c r="B239" s="33" t="s">
        <v>684</v>
      </c>
      <c r="G239" s="309">
        <f t="shared" ref="G239:M239" si="46">+G238+G136</f>
        <v>92</v>
      </c>
      <c r="H239" s="309">
        <f t="shared" si="46"/>
        <v>92</v>
      </c>
      <c r="I239" s="309">
        <f t="shared" si="46"/>
        <v>92</v>
      </c>
      <c r="J239" s="309">
        <f t="shared" si="46"/>
        <v>92</v>
      </c>
      <c r="K239" s="309">
        <f t="shared" si="46"/>
        <v>92</v>
      </c>
      <c r="L239" s="309">
        <f t="shared" si="46"/>
        <v>92</v>
      </c>
      <c r="M239" s="309">
        <f t="shared" si="46"/>
        <v>92</v>
      </c>
      <c r="O239" s="343"/>
      <c r="Q239" s="50"/>
      <c r="R239" s="50"/>
      <c r="S239" s="50"/>
      <c r="T239" s="50"/>
      <c r="U239" s="50"/>
      <c r="V239" s="50"/>
      <c r="W239" s="50"/>
      <c r="X239" s="50"/>
      <c r="Y239" s="50"/>
      <c r="Z239" s="50"/>
      <c r="AA239" s="50"/>
      <c r="AB239" s="50"/>
      <c r="AC239" s="50"/>
      <c r="AD239" s="50"/>
      <c r="AE239" s="50"/>
    </row>
    <row r="240" spans="1:31" x14ac:dyDescent="0.25">
      <c r="A240" s="480">
        <f>ROW()</f>
        <v>240</v>
      </c>
      <c r="G240" s="103"/>
      <c r="H240" s="103"/>
      <c r="I240" s="103"/>
      <c r="J240" s="103"/>
      <c r="K240" s="103"/>
      <c r="L240" s="51"/>
      <c r="M240" s="51"/>
      <c r="O240" s="343"/>
      <c r="Q240" s="50"/>
      <c r="R240" s="50"/>
      <c r="S240" s="50"/>
      <c r="T240" s="50"/>
      <c r="U240" s="50"/>
      <c r="V240" s="50"/>
      <c r="W240" s="50"/>
      <c r="X240" s="50"/>
      <c r="Y240" s="50"/>
      <c r="Z240" s="50"/>
      <c r="AA240" s="50"/>
      <c r="AB240" s="50"/>
      <c r="AC240" s="50"/>
      <c r="AD240" s="50"/>
      <c r="AE240" s="50"/>
    </row>
    <row r="241" spans="1:31" ht="15.75" x14ac:dyDescent="0.25">
      <c r="A241" s="480">
        <f>ROW()</f>
        <v>241</v>
      </c>
      <c r="B241" s="105" t="s">
        <v>685</v>
      </c>
      <c r="C241" s="105"/>
      <c r="D241" s="105"/>
      <c r="E241" s="105"/>
      <c r="F241" s="105"/>
      <c r="G241" s="315"/>
      <c r="H241" s="315"/>
      <c r="I241" s="315"/>
      <c r="J241" s="315"/>
      <c r="K241" s="315"/>
      <c r="L241" s="316"/>
      <c r="M241" s="316"/>
      <c r="O241" s="343"/>
      <c r="Q241" s="50"/>
      <c r="R241" s="50"/>
      <c r="S241" s="50"/>
      <c r="T241" s="50"/>
      <c r="U241" s="50"/>
      <c r="V241" s="50"/>
      <c r="W241" s="50"/>
      <c r="X241" s="50"/>
      <c r="Y241" s="50"/>
      <c r="Z241" s="50"/>
      <c r="AA241" s="50"/>
      <c r="AB241" s="50"/>
      <c r="AC241" s="50"/>
      <c r="AD241" s="50"/>
      <c r="AE241" s="50"/>
    </row>
    <row r="242" spans="1:31" outlineLevel="1" x14ac:dyDescent="0.25">
      <c r="A242" s="480">
        <f>ROW()</f>
        <v>242</v>
      </c>
      <c r="B242" s="106"/>
      <c r="G242" s="103"/>
      <c r="H242" s="103"/>
      <c r="I242" s="103"/>
      <c r="J242" s="103"/>
      <c r="K242" s="103"/>
      <c r="L242" s="51"/>
      <c r="N242" s="51"/>
      <c r="O242" s="343"/>
      <c r="Q242" s="50"/>
      <c r="R242" s="50"/>
      <c r="S242" s="50"/>
      <c r="T242" s="50"/>
      <c r="U242" s="50"/>
      <c r="V242" s="50"/>
      <c r="W242" s="50"/>
      <c r="X242" s="50"/>
      <c r="Y242" s="50"/>
      <c r="Z242" s="50"/>
      <c r="AA242" s="50"/>
      <c r="AB242" s="50"/>
      <c r="AC242" s="50"/>
      <c r="AD242" s="50"/>
      <c r="AE242" s="50"/>
    </row>
    <row r="243" spans="1:31" outlineLevel="1" x14ac:dyDescent="0.25">
      <c r="A243" s="480">
        <f>ROW()</f>
        <v>243</v>
      </c>
      <c r="B243" s="1651" t="str">
        <f>$B$79</f>
        <v>Administrators (Full-time &amp; Part-Time w/benefits)</v>
      </c>
      <c r="C243" s="63"/>
      <c r="D243" s="63"/>
      <c r="E243" s="63"/>
      <c r="F243" s="63"/>
      <c r="G243" s="103"/>
      <c r="H243" s="103"/>
      <c r="I243" s="103"/>
      <c r="J243" s="103"/>
      <c r="K243" s="103"/>
      <c r="L243" s="51"/>
      <c r="N243" s="51"/>
      <c r="O243" s="343"/>
      <c r="Q243" s="50"/>
      <c r="R243" s="50"/>
      <c r="S243" s="50"/>
      <c r="T243" s="50"/>
      <c r="U243" s="50"/>
      <c r="V243" s="50"/>
      <c r="W243" s="50"/>
      <c r="X243" s="50"/>
      <c r="Y243" s="50"/>
      <c r="Z243" s="50"/>
      <c r="AA243" s="50"/>
      <c r="AB243" s="50"/>
      <c r="AC243" s="50"/>
      <c r="AD243" s="50"/>
      <c r="AE243" s="50"/>
    </row>
    <row r="244" spans="1:31" outlineLevel="1" x14ac:dyDescent="0.25">
      <c r="A244" s="480">
        <f>ROW()</f>
        <v>244</v>
      </c>
      <c r="B244" s="33" t="str">
        <f>$B80</f>
        <v>Principal</v>
      </c>
      <c r="C244" s="130">
        <f t="shared" ref="C244:C249" si="47">SUM(G244:M244)</f>
        <v>3679872</v>
      </c>
      <c r="D244" s="107"/>
      <c r="E244" s="107"/>
      <c r="F244" s="107"/>
      <c r="G244" s="700">
        <f>G80*$D80</f>
        <v>525696</v>
      </c>
      <c r="H244" s="700">
        <f t="shared" ref="H244:M248" si="48">(H80*$D80)</f>
        <v>525696</v>
      </c>
      <c r="I244" s="700">
        <f t="shared" si="48"/>
        <v>525696</v>
      </c>
      <c r="J244" s="700">
        <f t="shared" si="48"/>
        <v>525696</v>
      </c>
      <c r="K244" s="700">
        <f t="shared" si="48"/>
        <v>525696</v>
      </c>
      <c r="L244" s="700">
        <f t="shared" si="48"/>
        <v>525696</v>
      </c>
      <c r="M244" s="700">
        <f t="shared" si="48"/>
        <v>525696</v>
      </c>
      <c r="O244" s="343"/>
      <c r="Q244" s="50"/>
      <c r="R244" s="50"/>
      <c r="S244" s="50"/>
      <c r="T244" s="50"/>
      <c r="U244" s="50"/>
      <c r="V244" s="50"/>
      <c r="W244" s="50"/>
      <c r="X244" s="50"/>
      <c r="Y244" s="50"/>
      <c r="Z244" s="50"/>
      <c r="AA244" s="50"/>
      <c r="AB244" s="50"/>
      <c r="AC244" s="50"/>
      <c r="AD244" s="50"/>
      <c r="AE244" s="50"/>
    </row>
    <row r="245" spans="1:31" outlineLevel="1" x14ac:dyDescent="0.25">
      <c r="A245" s="480">
        <f>ROW()</f>
        <v>245</v>
      </c>
      <c r="B245" s="33" t="str">
        <f>$B81</f>
        <v>Vice Principal</v>
      </c>
      <c r="C245" s="138">
        <f t="shared" si="47"/>
        <v>2170763</v>
      </c>
      <c r="D245" s="51"/>
      <c r="E245" s="51"/>
      <c r="F245" s="107"/>
      <c r="G245" s="653">
        <f>G81*$D81</f>
        <v>310109</v>
      </c>
      <c r="H245" s="653">
        <f t="shared" si="48"/>
        <v>310109</v>
      </c>
      <c r="I245" s="653">
        <f t="shared" si="48"/>
        <v>310109</v>
      </c>
      <c r="J245" s="653">
        <f t="shared" si="48"/>
        <v>310109</v>
      </c>
      <c r="K245" s="653">
        <f t="shared" si="48"/>
        <v>310109</v>
      </c>
      <c r="L245" s="653">
        <f t="shared" si="48"/>
        <v>310109</v>
      </c>
      <c r="M245" s="653">
        <f t="shared" si="48"/>
        <v>310109</v>
      </c>
      <c r="O245" s="343"/>
      <c r="Q245" s="50"/>
      <c r="R245" s="50"/>
      <c r="S245" s="50"/>
      <c r="T245" s="50"/>
      <c r="U245" s="50"/>
      <c r="V245" s="50"/>
      <c r="W245" s="50"/>
      <c r="X245" s="50"/>
      <c r="Y245" s="50"/>
      <c r="Z245" s="50"/>
      <c r="AA245" s="50"/>
      <c r="AB245" s="50"/>
      <c r="AC245" s="50"/>
      <c r="AD245" s="50"/>
      <c r="AE245" s="50"/>
    </row>
    <row r="246" spans="1:31" outlineLevel="1" x14ac:dyDescent="0.25">
      <c r="A246" s="480">
        <f>ROW()</f>
        <v>246</v>
      </c>
      <c r="B246" s="33" t="str">
        <f>$B82</f>
        <v>Executive Director</v>
      </c>
      <c r="C246" s="138">
        <f t="shared" si="47"/>
        <v>1281693</v>
      </c>
      <c r="D246" s="51"/>
      <c r="E246" s="51"/>
      <c r="F246" s="107"/>
      <c r="G246" s="653">
        <f>G82*$D82</f>
        <v>183099</v>
      </c>
      <c r="H246" s="653">
        <f t="shared" si="48"/>
        <v>183099</v>
      </c>
      <c r="I246" s="653">
        <f t="shared" si="48"/>
        <v>183099</v>
      </c>
      <c r="J246" s="653">
        <f t="shared" si="48"/>
        <v>183099</v>
      </c>
      <c r="K246" s="653">
        <f t="shared" si="48"/>
        <v>183099</v>
      </c>
      <c r="L246" s="653">
        <f t="shared" si="48"/>
        <v>183099</v>
      </c>
      <c r="M246" s="653">
        <f t="shared" si="48"/>
        <v>183099</v>
      </c>
      <c r="O246" s="343"/>
      <c r="Q246" s="50"/>
      <c r="R246" s="50"/>
      <c r="S246" s="50"/>
      <c r="T246" s="50"/>
      <c r="U246" s="50"/>
      <c r="V246" s="50"/>
      <c r="W246" s="50"/>
      <c r="X246" s="50"/>
      <c r="Y246" s="50"/>
      <c r="Z246" s="50"/>
      <c r="AA246" s="50"/>
      <c r="AB246" s="50"/>
      <c r="AC246" s="50"/>
      <c r="AD246" s="50"/>
      <c r="AE246" s="50"/>
    </row>
    <row r="247" spans="1:31" outlineLevel="1" x14ac:dyDescent="0.25">
      <c r="A247" s="480">
        <f>ROW()</f>
        <v>247</v>
      </c>
      <c r="B247" s="33" t="str">
        <f>$B83</f>
        <v>Superintendent of Schools</v>
      </c>
      <c r="C247" s="138">
        <f t="shared" si="47"/>
        <v>1420342</v>
      </c>
      <c r="D247" s="51"/>
      <c r="E247" s="51"/>
      <c r="F247" s="107"/>
      <c r="G247" s="653">
        <f>G83*$D83</f>
        <v>202906</v>
      </c>
      <c r="H247" s="653">
        <f t="shared" si="48"/>
        <v>202906</v>
      </c>
      <c r="I247" s="653">
        <f t="shared" si="48"/>
        <v>202906</v>
      </c>
      <c r="J247" s="653">
        <f t="shared" si="48"/>
        <v>202906</v>
      </c>
      <c r="K247" s="653">
        <f t="shared" si="48"/>
        <v>202906</v>
      </c>
      <c r="L247" s="653">
        <f t="shared" si="48"/>
        <v>202906</v>
      </c>
      <c r="M247" s="653">
        <f t="shared" si="48"/>
        <v>202906</v>
      </c>
      <c r="O247" s="343"/>
      <c r="Q247" s="50"/>
      <c r="R247" s="50"/>
      <c r="S247" s="50"/>
      <c r="T247" s="50"/>
      <c r="U247" s="50"/>
      <c r="V247" s="50"/>
      <c r="W247" s="50"/>
      <c r="X247" s="50"/>
      <c r="Y247" s="50"/>
      <c r="Z247" s="50"/>
      <c r="AA247" s="50"/>
      <c r="AB247" s="50"/>
      <c r="AC247" s="50"/>
      <c r="AD247" s="50"/>
      <c r="AE247" s="50"/>
    </row>
    <row r="248" spans="1:31" outlineLevel="1" x14ac:dyDescent="0.25">
      <c r="A248" s="480">
        <f>ROW()</f>
        <v>248</v>
      </c>
      <c r="B248" s="63" t="str">
        <f>$B84</f>
        <v>Prof Dev &amp; On-Line Curr/Tech</v>
      </c>
      <c r="C248" s="139">
        <f t="shared" si="47"/>
        <v>1853836.32</v>
      </c>
      <c r="D248" s="108"/>
      <c r="E248" s="108"/>
      <c r="F248" s="108"/>
      <c r="G248" s="654">
        <f>G84*$D84</f>
        <v>264833.76</v>
      </c>
      <c r="H248" s="654">
        <f t="shared" si="48"/>
        <v>264833.76</v>
      </c>
      <c r="I248" s="654">
        <f t="shared" si="48"/>
        <v>264833.76</v>
      </c>
      <c r="J248" s="654">
        <f t="shared" si="48"/>
        <v>264833.76</v>
      </c>
      <c r="K248" s="654">
        <f t="shared" si="48"/>
        <v>264833.76</v>
      </c>
      <c r="L248" s="654">
        <f t="shared" si="48"/>
        <v>264833.76</v>
      </c>
      <c r="M248" s="654">
        <f t="shared" si="48"/>
        <v>264833.76</v>
      </c>
      <c r="O248" s="343"/>
      <c r="Q248" s="50"/>
      <c r="R248" s="50"/>
      <c r="S248" s="50"/>
      <c r="T248" s="50"/>
      <c r="U248" s="50"/>
      <c r="V248" s="50"/>
      <c r="W248" s="50"/>
      <c r="X248" s="50"/>
      <c r="Y248" s="50"/>
      <c r="Z248" s="50"/>
      <c r="AA248" s="50"/>
      <c r="AB248" s="50"/>
      <c r="AC248" s="50"/>
      <c r="AD248" s="50"/>
      <c r="AE248" s="50"/>
    </row>
    <row r="249" spans="1:31" outlineLevel="1" x14ac:dyDescent="0.25">
      <c r="A249" s="480">
        <f>ROW()</f>
        <v>249</v>
      </c>
      <c r="B249" s="31" t="s">
        <v>686</v>
      </c>
      <c r="C249" s="138">
        <f t="shared" si="47"/>
        <v>10406506.32</v>
      </c>
      <c r="D249" s="51"/>
      <c r="E249" s="51"/>
      <c r="F249" s="51"/>
      <c r="G249" s="351">
        <f t="shared" ref="G249:M249" si="49">SUM(G244:G248)</f>
        <v>1486643.76</v>
      </c>
      <c r="H249" s="351">
        <f t="shared" si="49"/>
        <v>1486643.76</v>
      </c>
      <c r="I249" s="351">
        <f t="shared" si="49"/>
        <v>1486643.76</v>
      </c>
      <c r="J249" s="351">
        <f t="shared" si="49"/>
        <v>1486643.76</v>
      </c>
      <c r="K249" s="351">
        <f t="shared" si="49"/>
        <v>1486643.76</v>
      </c>
      <c r="L249" s="351">
        <f t="shared" si="49"/>
        <v>1486643.76</v>
      </c>
      <c r="M249" s="351">
        <f t="shared" si="49"/>
        <v>1486643.76</v>
      </c>
      <c r="O249" s="343"/>
      <c r="Q249" s="50"/>
      <c r="R249" s="50"/>
      <c r="S249" s="50"/>
      <c r="T249" s="50"/>
      <c r="U249" s="50"/>
      <c r="V249" s="50"/>
      <c r="W249" s="50"/>
      <c r="X249" s="50"/>
      <c r="Y249" s="50"/>
      <c r="Z249" s="50"/>
      <c r="AA249" s="50"/>
      <c r="AB249" s="50"/>
      <c r="AC249" s="50"/>
      <c r="AD249" s="50"/>
      <c r="AE249" s="50"/>
    </row>
    <row r="250" spans="1:31" outlineLevel="1" x14ac:dyDescent="0.25">
      <c r="A250" s="480">
        <f>ROW()</f>
        <v>250</v>
      </c>
      <c r="B250" s="31"/>
      <c r="C250" s="138"/>
      <c r="D250" s="51"/>
      <c r="E250" s="51"/>
      <c r="F250" s="51"/>
      <c r="G250" s="138"/>
      <c r="H250" s="138"/>
      <c r="I250" s="138"/>
      <c r="J250" s="138"/>
      <c r="K250" s="138"/>
      <c r="L250" s="138"/>
      <c r="M250" s="138"/>
      <c r="O250" s="343"/>
      <c r="Q250" s="50"/>
      <c r="R250" s="50"/>
      <c r="S250" s="50"/>
      <c r="T250" s="50"/>
      <c r="U250" s="50"/>
      <c r="V250" s="50"/>
      <c r="W250" s="50"/>
      <c r="X250" s="50"/>
      <c r="Y250" s="50"/>
      <c r="Z250" s="50"/>
      <c r="AA250" s="50"/>
      <c r="AB250" s="50"/>
      <c r="AC250" s="50"/>
      <c r="AD250" s="50"/>
      <c r="AE250" s="50"/>
    </row>
    <row r="251" spans="1:31" outlineLevel="1" x14ac:dyDescent="0.25">
      <c r="A251" s="480">
        <f>ROW()</f>
        <v>251</v>
      </c>
      <c r="B251" s="1651" t="str">
        <f>$B$88</f>
        <v>Office Staff (Full-time &amp; Part-Time w/benefits)</v>
      </c>
      <c r="C251" s="139"/>
      <c r="D251" s="108"/>
      <c r="E251" s="108"/>
      <c r="F251" s="108"/>
      <c r="G251" s="139"/>
      <c r="H251" s="139"/>
      <c r="I251" s="139"/>
      <c r="J251" s="139"/>
      <c r="K251" s="139"/>
      <c r="L251" s="139"/>
      <c r="M251" s="139"/>
      <c r="O251" s="343"/>
      <c r="Q251" s="50"/>
      <c r="R251" s="50"/>
      <c r="S251" s="50"/>
      <c r="T251" s="50"/>
      <c r="U251" s="50"/>
      <c r="V251" s="50"/>
      <c r="W251" s="50"/>
      <c r="X251" s="50"/>
      <c r="Y251" s="50"/>
      <c r="Z251" s="50"/>
      <c r="AA251" s="50"/>
      <c r="AB251" s="50"/>
      <c r="AC251" s="50"/>
      <c r="AD251" s="50"/>
      <c r="AE251" s="50"/>
    </row>
    <row r="252" spans="1:31" outlineLevel="1" x14ac:dyDescent="0.25">
      <c r="A252" s="480">
        <f>ROW()</f>
        <v>252</v>
      </c>
      <c r="B252" s="33" t="str">
        <f>$B89</f>
        <v>Director of Business &amp; Finance</v>
      </c>
      <c r="C252" s="138">
        <f>SUM(G252:M252)</f>
        <v>1120994</v>
      </c>
      <c r="D252" s="51"/>
      <c r="E252" s="51"/>
      <c r="F252" s="51"/>
      <c r="G252" s="653">
        <f>G89*$D89</f>
        <v>160142</v>
      </c>
      <c r="H252" s="653">
        <f t="shared" ref="H252:M252" si="50">(H89*$D89)</f>
        <v>160142</v>
      </c>
      <c r="I252" s="653">
        <f t="shared" si="50"/>
        <v>160142</v>
      </c>
      <c r="J252" s="653">
        <f t="shared" si="50"/>
        <v>160142</v>
      </c>
      <c r="K252" s="653">
        <f t="shared" si="50"/>
        <v>160142</v>
      </c>
      <c r="L252" s="653">
        <f t="shared" si="50"/>
        <v>160142</v>
      </c>
      <c r="M252" s="653">
        <f t="shared" si="50"/>
        <v>160142</v>
      </c>
      <c r="O252" s="343"/>
      <c r="Q252" s="50"/>
      <c r="R252" s="50"/>
      <c r="S252" s="50"/>
      <c r="T252" s="50"/>
      <c r="U252" s="50"/>
      <c r="V252" s="50"/>
      <c r="W252" s="50"/>
      <c r="X252" s="50"/>
      <c r="Y252" s="50"/>
      <c r="Z252" s="50"/>
      <c r="AA252" s="50"/>
      <c r="AB252" s="50"/>
      <c r="AC252" s="50"/>
      <c r="AD252" s="50"/>
      <c r="AE252" s="50"/>
    </row>
    <row r="253" spans="1:31" outlineLevel="1" x14ac:dyDescent="0.25">
      <c r="A253" s="480">
        <f>ROW()</f>
        <v>253</v>
      </c>
      <c r="B253" s="33" t="str">
        <f>$B90</f>
        <v>Director of Human Resources</v>
      </c>
      <c r="C253" s="138">
        <f>SUM(G253:M253)</f>
        <v>1058813</v>
      </c>
      <c r="D253" s="51"/>
      <c r="E253" s="51"/>
      <c r="F253" s="51"/>
      <c r="G253" s="653">
        <f>G90*$D90</f>
        <v>151259</v>
      </c>
      <c r="H253" s="653">
        <f>(H90*$D90)</f>
        <v>151259</v>
      </c>
      <c r="I253" s="653">
        <f t="shared" ref="I253:M253" si="51">(I90*$D90)</f>
        <v>151259</v>
      </c>
      <c r="J253" s="653">
        <f t="shared" si="51"/>
        <v>151259</v>
      </c>
      <c r="K253" s="653">
        <f t="shared" si="51"/>
        <v>151259</v>
      </c>
      <c r="L253" s="653">
        <f t="shared" si="51"/>
        <v>151259</v>
      </c>
      <c r="M253" s="653">
        <f t="shared" si="51"/>
        <v>151259</v>
      </c>
      <c r="O253" s="343"/>
      <c r="Q253" s="50"/>
      <c r="R253" s="50"/>
      <c r="S253" s="50"/>
      <c r="T253" s="50"/>
      <c r="U253" s="50"/>
      <c r="V253" s="50"/>
      <c r="W253" s="50"/>
      <c r="X253" s="50"/>
      <c r="Y253" s="50"/>
      <c r="Z253" s="50"/>
      <c r="AA253" s="50"/>
      <c r="AB253" s="50"/>
      <c r="AC253" s="50"/>
      <c r="AD253" s="50"/>
      <c r="AE253" s="50"/>
    </row>
    <row r="254" spans="1:31" outlineLevel="1" x14ac:dyDescent="0.25">
      <c r="A254" s="480"/>
      <c r="B254" s="33" t="str">
        <f>$B91</f>
        <v>Accountability/Attendance/Registration</v>
      </c>
      <c r="C254" s="138">
        <f>SUM(G254:M254)</f>
        <v>3891948.4800000004</v>
      </c>
      <c r="D254" s="51"/>
      <c r="E254" s="51"/>
      <c r="F254" s="51"/>
      <c r="G254" s="653">
        <f>G91*$D91</f>
        <v>555992.64</v>
      </c>
      <c r="H254" s="653">
        <f>(H91*$D91)</f>
        <v>555992.64</v>
      </c>
      <c r="I254" s="653">
        <f t="shared" ref="I254:M255" si="52">(I91*$D91)</f>
        <v>555992.64</v>
      </c>
      <c r="J254" s="653">
        <f t="shared" si="52"/>
        <v>555992.64</v>
      </c>
      <c r="K254" s="653">
        <f t="shared" si="52"/>
        <v>555992.64</v>
      </c>
      <c r="L254" s="653">
        <f t="shared" si="52"/>
        <v>555992.64</v>
      </c>
      <c r="M254" s="653">
        <f t="shared" si="52"/>
        <v>555992.64</v>
      </c>
      <c r="O254" s="343"/>
      <c r="Q254" s="50"/>
      <c r="R254" s="50"/>
      <c r="S254" s="50"/>
      <c r="T254" s="50"/>
      <c r="U254" s="50"/>
      <c r="V254" s="50"/>
      <c r="W254" s="50"/>
      <c r="X254" s="50"/>
      <c r="Y254" s="50"/>
      <c r="Z254" s="50"/>
      <c r="AA254" s="50"/>
      <c r="AB254" s="50"/>
      <c r="AC254" s="50"/>
      <c r="AD254" s="50"/>
      <c r="AE254" s="50"/>
    </row>
    <row r="255" spans="1:31" outlineLevel="1" x14ac:dyDescent="0.25">
      <c r="A255" s="480">
        <f>ROW()</f>
        <v>255</v>
      </c>
      <c r="B255" s="63" t="str">
        <f>$B92</f>
        <v>Operations Support Staff/Back Office</v>
      </c>
      <c r="C255" s="139">
        <f>SUM(G255:M255)</f>
        <v>5638739.8199999994</v>
      </c>
      <c r="D255" s="108"/>
      <c r="E255" s="108"/>
      <c r="F255" s="108"/>
      <c r="G255" s="653">
        <f>G92*$D92</f>
        <v>805534.26</v>
      </c>
      <c r="H255" s="653">
        <f>(H92*$D92)</f>
        <v>805534.26</v>
      </c>
      <c r="I255" s="653">
        <f t="shared" si="52"/>
        <v>805534.26</v>
      </c>
      <c r="J255" s="653">
        <f t="shared" si="52"/>
        <v>805534.26</v>
      </c>
      <c r="K255" s="653">
        <f t="shared" si="52"/>
        <v>805534.26</v>
      </c>
      <c r="L255" s="653">
        <f t="shared" si="52"/>
        <v>805534.26</v>
      </c>
      <c r="M255" s="653">
        <f t="shared" si="52"/>
        <v>805534.26</v>
      </c>
      <c r="O255" s="343"/>
      <c r="Q255" s="50"/>
      <c r="R255" s="50"/>
      <c r="S255" s="50"/>
      <c r="T255" s="50"/>
      <c r="U255" s="50"/>
      <c r="V255" s="50"/>
      <c r="W255" s="50"/>
      <c r="X255" s="50"/>
      <c r="Y255" s="50"/>
      <c r="Z255" s="50"/>
      <c r="AA255" s="50"/>
      <c r="AB255" s="50"/>
      <c r="AC255" s="50"/>
      <c r="AD255" s="50"/>
      <c r="AE255" s="50"/>
    </row>
    <row r="256" spans="1:31" outlineLevel="1" x14ac:dyDescent="0.25">
      <c r="A256" s="480">
        <f>ROW()</f>
        <v>256</v>
      </c>
      <c r="B256" s="31" t="s">
        <v>687</v>
      </c>
      <c r="C256" s="138">
        <f>SUM(G256:M256)</f>
        <v>11710495.300000001</v>
      </c>
      <c r="D256" s="51"/>
      <c r="E256" s="51"/>
      <c r="F256" s="51"/>
      <c r="G256" s="351">
        <f t="shared" ref="G256:M256" si="53">SUM(G252:G255)</f>
        <v>1672927.9</v>
      </c>
      <c r="H256" s="351">
        <f t="shared" si="53"/>
        <v>1672927.9</v>
      </c>
      <c r="I256" s="351">
        <f t="shared" si="53"/>
        <v>1672927.9</v>
      </c>
      <c r="J256" s="351">
        <f t="shared" si="53"/>
        <v>1672927.9</v>
      </c>
      <c r="K256" s="351">
        <f t="shared" si="53"/>
        <v>1672927.9</v>
      </c>
      <c r="L256" s="351">
        <f t="shared" si="53"/>
        <v>1672927.9</v>
      </c>
      <c r="M256" s="351">
        <f t="shared" si="53"/>
        <v>1672927.9</v>
      </c>
      <c r="O256" s="343"/>
      <c r="Q256" s="50"/>
      <c r="R256" s="50"/>
      <c r="S256" s="50"/>
      <c r="T256" s="50"/>
      <c r="U256" s="50"/>
      <c r="V256" s="50"/>
      <c r="W256" s="50"/>
      <c r="X256" s="50"/>
      <c r="Y256" s="50"/>
      <c r="Z256" s="50"/>
      <c r="AA256" s="50"/>
      <c r="AB256" s="50"/>
      <c r="AC256" s="50"/>
      <c r="AD256" s="50"/>
      <c r="AE256" s="50"/>
    </row>
    <row r="257" spans="1:31" outlineLevel="1" x14ac:dyDescent="0.25">
      <c r="A257" s="480">
        <f>ROW()</f>
        <v>257</v>
      </c>
      <c r="C257" s="138"/>
      <c r="D257" s="51"/>
      <c r="E257" s="51"/>
      <c r="F257" s="51"/>
      <c r="G257" s="138"/>
      <c r="H257" s="138"/>
      <c r="I257" s="138"/>
      <c r="J257" s="138"/>
      <c r="K257" s="138"/>
      <c r="L257" s="138"/>
      <c r="M257" s="138"/>
      <c r="O257" s="343"/>
      <c r="Q257" s="50"/>
      <c r="R257" s="50"/>
      <c r="S257" s="50"/>
      <c r="T257" s="50"/>
      <c r="U257" s="50"/>
      <c r="V257" s="50"/>
      <c r="W257" s="50"/>
      <c r="X257" s="50"/>
      <c r="Y257" s="50"/>
      <c r="Z257" s="50"/>
      <c r="AA257" s="50"/>
      <c r="AB257" s="50"/>
      <c r="AC257" s="50"/>
      <c r="AD257" s="50"/>
      <c r="AE257" s="50"/>
    </row>
    <row r="258" spans="1:31" outlineLevel="1" x14ac:dyDescent="0.25">
      <c r="A258" s="480">
        <f>ROW()</f>
        <v>258</v>
      </c>
      <c r="B258" s="973" t="str">
        <f>$B$94</f>
        <v>Total Administrators and Office Staff</v>
      </c>
      <c r="C258" s="1203">
        <f>SUM(G258:M258)</f>
        <v>22117001.620000001</v>
      </c>
      <c r="D258" s="972"/>
      <c r="E258" s="972"/>
      <c r="F258" s="972"/>
      <c r="G258" s="976">
        <f t="shared" ref="G258:M258" si="54">+G249+G256</f>
        <v>3159571.66</v>
      </c>
      <c r="H258" s="976">
        <f t="shared" si="54"/>
        <v>3159571.66</v>
      </c>
      <c r="I258" s="976">
        <f t="shared" si="54"/>
        <v>3159571.66</v>
      </c>
      <c r="J258" s="976">
        <f t="shared" si="54"/>
        <v>3159571.66</v>
      </c>
      <c r="K258" s="976">
        <f t="shared" si="54"/>
        <v>3159571.66</v>
      </c>
      <c r="L258" s="976">
        <f t="shared" si="54"/>
        <v>3159571.66</v>
      </c>
      <c r="M258" s="976">
        <f t="shared" si="54"/>
        <v>3159571.66</v>
      </c>
      <c r="O258" s="343"/>
      <c r="Q258" s="50"/>
      <c r="R258" s="50"/>
      <c r="S258" s="50"/>
      <c r="T258" s="50"/>
      <c r="U258" s="50"/>
      <c r="V258" s="50"/>
      <c r="W258" s="50"/>
      <c r="X258" s="50"/>
      <c r="Y258" s="50"/>
      <c r="Z258" s="50"/>
      <c r="AA258" s="50"/>
      <c r="AB258" s="50"/>
      <c r="AC258" s="50"/>
      <c r="AD258" s="50"/>
      <c r="AE258" s="50"/>
    </row>
    <row r="259" spans="1:31" outlineLevel="1" x14ac:dyDescent="0.25">
      <c r="A259" s="480">
        <f>ROW()</f>
        <v>259</v>
      </c>
      <c r="G259" s="503"/>
      <c r="H259" s="503"/>
      <c r="I259" s="503"/>
      <c r="J259" s="503"/>
      <c r="K259" s="503"/>
      <c r="L259" s="503"/>
      <c r="M259" s="503"/>
      <c r="O259" s="343"/>
      <c r="Q259" s="50"/>
      <c r="R259" s="50"/>
      <c r="S259" s="50"/>
      <c r="T259" s="50"/>
      <c r="U259" s="50"/>
      <c r="V259" s="50"/>
      <c r="W259" s="50"/>
      <c r="X259" s="50"/>
      <c r="Y259" s="50"/>
      <c r="Z259" s="50"/>
      <c r="AA259" s="50"/>
      <c r="AB259" s="50"/>
      <c r="AC259" s="50"/>
      <c r="AD259" s="50"/>
      <c r="AE259" s="50"/>
    </row>
    <row r="260" spans="1:31" outlineLevel="1" x14ac:dyDescent="0.25">
      <c r="A260" s="480">
        <f>ROW()</f>
        <v>260</v>
      </c>
      <c r="B260" s="31"/>
      <c r="C260" s="138"/>
      <c r="D260" s="51"/>
      <c r="E260" s="51"/>
      <c r="F260" s="51"/>
      <c r="G260" s="138"/>
      <c r="H260" s="138"/>
      <c r="I260" s="138"/>
      <c r="J260" s="138"/>
      <c r="K260" s="138"/>
      <c r="L260" s="138"/>
      <c r="M260" s="138"/>
      <c r="O260" s="343"/>
      <c r="Q260" s="50"/>
      <c r="R260" s="50"/>
      <c r="S260" s="50"/>
      <c r="T260" s="50"/>
      <c r="U260" s="50"/>
      <c r="V260" s="50"/>
      <c r="W260" s="50"/>
      <c r="X260" s="50"/>
      <c r="Y260" s="50"/>
      <c r="Z260" s="50"/>
      <c r="AA260" s="50"/>
      <c r="AB260" s="50"/>
      <c r="AC260" s="50"/>
      <c r="AD260" s="50"/>
      <c r="AE260" s="50"/>
    </row>
    <row r="261" spans="1:31" outlineLevel="1" x14ac:dyDescent="0.25">
      <c r="A261" s="480">
        <f>ROW()</f>
        <v>261</v>
      </c>
      <c r="B261" s="1651" t="str">
        <f>$B$96</f>
        <v>Special Education (SPED) Teachers (Full-time &amp; Part-Time w/benefits)</v>
      </c>
      <c r="C261" s="139"/>
      <c r="D261" s="108"/>
      <c r="E261" s="108"/>
      <c r="F261" s="108"/>
      <c r="G261" s="139"/>
      <c r="H261" s="139"/>
      <c r="I261" s="139"/>
      <c r="J261" s="139"/>
      <c r="K261" s="139"/>
      <c r="L261" s="139"/>
      <c r="M261" s="139"/>
      <c r="O261" s="343"/>
      <c r="Q261" s="50"/>
      <c r="R261" s="50"/>
      <c r="S261" s="50"/>
      <c r="T261" s="50"/>
      <c r="U261" s="50"/>
      <c r="V261" s="50"/>
      <c r="W261" s="50"/>
      <c r="X261" s="50"/>
      <c r="Y261" s="50"/>
      <c r="Z261" s="50"/>
      <c r="AA261" s="50"/>
      <c r="AB261" s="50"/>
      <c r="AC261" s="50"/>
      <c r="AD261" s="50"/>
      <c r="AE261" s="50"/>
    </row>
    <row r="262" spans="1:31" outlineLevel="1" x14ac:dyDescent="0.25">
      <c r="A262" s="480">
        <f>ROW()</f>
        <v>262</v>
      </c>
      <c r="B262" s="164" t="str">
        <f>$B$97</f>
        <v>SPED Aide</v>
      </c>
      <c r="C262" s="138">
        <f t="shared" ref="C262:C271" si="55">SUM(G262:M262)</f>
        <v>4777962.5599999996</v>
      </c>
      <c r="D262" s="51"/>
      <c r="E262" s="51"/>
      <c r="F262" s="51"/>
      <c r="G262" s="653">
        <f t="shared" ref="G262:G270" si="56">G97*$D97</f>
        <v>682566.07999999984</v>
      </c>
      <c r="H262" s="653">
        <f t="shared" ref="H262:M270" si="57">(H97*$D97)</f>
        <v>682566.07999999984</v>
      </c>
      <c r="I262" s="653">
        <f t="shared" si="57"/>
        <v>682566.07999999984</v>
      </c>
      <c r="J262" s="653">
        <f t="shared" si="57"/>
        <v>682566.07999999984</v>
      </c>
      <c r="K262" s="653">
        <f t="shared" si="57"/>
        <v>682566.07999999984</v>
      </c>
      <c r="L262" s="653">
        <f t="shared" si="57"/>
        <v>682566.07999999984</v>
      </c>
      <c r="M262" s="653">
        <f t="shared" si="57"/>
        <v>682566.07999999984</v>
      </c>
      <c r="O262" s="343"/>
      <c r="Q262" s="50"/>
      <c r="R262" s="50"/>
      <c r="S262" s="50"/>
      <c r="T262" s="50"/>
      <c r="U262" s="50"/>
      <c r="V262" s="50"/>
      <c r="W262" s="50"/>
      <c r="X262" s="50"/>
      <c r="Y262" s="50"/>
      <c r="Z262" s="50"/>
      <c r="AA262" s="50"/>
      <c r="AB262" s="50"/>
      <c r="AC262" s="50"/>
      <c r="AD262" s="50"/>
      <c r="AE262" s="50"/>
    </row>
    <row r="263" spans="1:31" outlineLevel="1" x14ac:dyDescent="0.25">
      <c r="A263" s="480">
        <f>ROW()</f>
        <v>263</v>
      </c>
      <c r="B263" s="164" t="str">
        <f>$B$98</f>
        <v xml:space="preserve">SPED Facilitator </v>
      </c>
      <c r="C263" s="138">
        <f t="shared" si="55"/>
        <v>1570673.2300000004</v>
      </c>
      <c r="D263" s="51"/>
      <c r="E263" s="51"/>
      <c r="F263" s="51"/>
      <c r="G263" s="653">
        <f t="shared" si="56"/>
        <v>224381.89</v>
      </c>
      <c r="H263" s="653">
        <f t="shared" si="57"/>
        <v>224381.89</v>
      </c>
      <c r="I263" s="653">
        <f t="shared" si="57"/>
        <v>224381.89</v>
      </c>
      <c r="J263" s="653">
        <f t="shared" si="57"/>
        <v>224381.89</v>
      </c>
      <c r="K263" s="653">
        <f t="shared" si="57"/>
        <v>224381.89</v>
      </c>
      <c r="L263" s="653">
        <f t="shared" si="57"/>
        <v>224381.89</v>
      </c>
      <c r="M263" s="653">
        <f t="shared" si="57"/>
        <v>224381.89</v>
      </c>
      <c r="O263" s="343"/>
      <c r="Q263" s="50"/>
      <c r="R263" s="50"/>
      <c r="S263" s="50"/>
      <c r="T263" s="50"/>
      <c r="U263" s="50"/>
      <c r="V263" s="50"/>
      <c r="W263" s="50"/>
      <c r="X263" s="50"/>
      <c r="Y263" s="50"/>
      <c r="Z263" s="50"/>
      <c r="AA263" s="50"/>
      <c r="AB263" s="50"/>
      <c r="AC263" s="50"/>
      <c r="AD263" s="50"/>
      <c r="AE263" s="50"/>
    </row>
    <row r="264" spans="1:31" outlineLevel="1" x14ac:dyDescent="0.25">
      <c r="A264" s="480">
        <f>ROW()</f>
        <v>264</v>
      </c>
      <c r="B264" s="164" t="str">
        <f>$B$99</f>
        <v>SPED Teacher</v>
      </c>
      <c r="C264" s="138">
        <f t="shared" si="55"/>
        <v>5010908</v>
      </c>
      <c r="D264" s="51"/>
      <c r="E264" s="51"/>
      <c r="F264" s="51"/>
      <c r="G264" s="653">
        <f t="shared" si="56"/>
        <v>715844</v>
      </c>
      <c r="H264" s="653">
        <f t="shared" si="57"/>
        <v>715844</v>
      </c>
      <c r="I264" s="653">
        <f t="shared" si="57"/>
        <v>715844</v>
      </c>
      <c r="J264" s="653">
        <f t="shared" si="57"/>
        <v>715844</v>
      </c>
      <c r="K264" s="653">
        <f t="shared" si="57"/>
        <v>715844</v>
      </c>
      <c r="L264" s="653">
        <f t="shared" si="57"/>
        <v>715844</v>
      </c>
      <c r="M264" s="653">
        <f t="shared" si="57"/>
        <v>715844</v>
      </c>
      <c r="O264" s="343"/>
      <c r="Q264" s="50"/>
      <c r="R264" s="50"/>
      <c r="S264" s="50"/>
      <c r="T264" s="50"/>
      <c r="U264" s="50"/>
      <c r="V264" s="50"/>
      <c r="W264" s="50"/>
      <c r="X264" s="50"/>
      <c r="Y264" s="50"/>
      <c r="Z264" s="50"/>
      <c r="AA264" s="50"/>
      <c r="AB264" s="50"/>
      <c r="AC264" s="50"/>
      <c r="AD264" s="50"/>
      <c r="AE264" s="50"/>
    </row>
    <row r="265" spans="1:31" outlineLevel="1" x14ac:dyDescent="0.25">
      <c r="A265" s="480">
        <f>ROW()</f>
        <v>265</v>
      </c>
      <c r="B265" s="164" t="str">
        <f>$B$100</f>
        <v>Speech Path</v>
      </c>
      <c r="C265" s="138">
        <f t="shared" si="55"/>
        <v>771057</v>
      </c>
      <c r="D265" s="51"/>
      <c r="E265" s="51"/>
      <c r="F265" s="51"/>
      <c r="G265" s="653">
        <f t="shared" si="56"/>
        <v>110151</v>
      </c>
      <c r="H265" s="653">
        <f t="shared" si="57"/>
        <v>110151</v>
      </c>
      <c r="I265" s="653">
        <f t="shared" si="57"/>
        <v>110151</v>
      </c>
      <c r="J265" s="653">
        <f t="shared" si="57"/>
        <v>110151</v>
      </c>
      <c r="K265" s="653">
        <f t="shared" si="57"/>
        <v>110151</v>
      </c>
      <c r="L265" s="653">
        <f t="shared" si="57"/>
        <v>110151</v>
      </c>
      <c r="M265" s="653">
        <f t="shared" si="57"/>
        <v>110151</v>
      </c>
      <c r="O265" s="343"/>
      <c r="Q265" s="50"/>
      <c r="R265" s="50"/>
      <c r="S265" s="50"/>
      <c r="T265" s="50"/>
      <c r="U265" s="50"/>
      <c r="V265" s="50"/>
      <c r="W265" s="50"/>
      <c r="X265" s="50"/>
      <c r="Y265" s="50"/>
      <c r="Z265" s="50"/>
      <c r="AA265" s="50"/>
      <c r="AB265" s="50"/>
      <c r="AC265" s="50"/>
      <c r="AD265" s="50"/>
      <c r="AE265" s="50"/>
    </row>
    <row r="266" spans="1:31" outlineLevel="1" x14ac:dyDescent="0.25">
      <c r="A266" s="480">
        <f>ROW()</f>
        <v>266</v>
      </c>
      <c r="B266" s="164" t="str">
        <f>$B$101</f>
        <v xml:space="preserve">Transition Specialist </v>
      </c>
      <c r="C266" s="138">
        <f t="shared" si="55"/>
        <v>722323</v>
      </c>
      <c r="D266" s="51"/>
      <c r="E266" s="51"/>
      <c r="F266" s="51"/>
      <c r="G266" s="653">
        <f t="shared" si="56"/>
        <v>103189</v>
      </c>
      <c r="H266" s="653">
        <f t="shared" si="57"/>
        <v>103189</v>
      </c>
      <c r="I266" s="653">
        <f t="shared" si="57"/>
        <v>103189</v>
      </c>
      <c r="J266" s="653">
        <f t="shared" si="57"/>
        <v>103189</v>
      </c>
      <c r="K266" s="653">
        <f t="shared" si="57"/>
        <v>103189</v>
      </c>
      <c r="L266" s="653">
        <f t="shared" si="57"/>
        <v>103189</v>
      </c>
      <c r="M266" s="653">
        <f t="shared" si="57"/>
        <v>103189</v>
      </c>
      <c r="O266" s="343"/>
      <c r="Q266" s="50"/>
      <c r="R266" s="50"/>
      <c r="S266" s="50"/>
      <c r="T266" s="50"/>
      <c r="U266" s="50"/>
      <c r="V266" s="50"/>
      <c r="W266" s="50"/>
      <c r="X266" s="50"/>
      <c r="Y266" s="50"/>
      <c r="Z266" s="50"/>
      <c r="AA266" s="50"/>
      <c r="AB266" s="50"/>
      <c r="AC266" s="50"/>
      <c r="AD266" s="50"/>
      <c r="AE266" s="50"/>
    </row>
    <row r="267" spans="1:31" outlineLevel="1" x14ac:dyDescent="0.25">
      <c r="A267" s="480">
        <f>ROW()</f>
        <v>267</v>
      </c>
      <c r="B267" s="164" t="str">
        <f>$B102</f>
        <v>Math &amp; ELA Instructional Assistant</v>
      </c>
      <c r="C267" s="138">
        <f t="shared" si="55"/>
        <v>360671.35999999993</v>
      </c>
      <c r="D267" s="51"/>
      <c r="E267" s="51"/>
      <c r="F267" s="51"/>
      <c r="G267" s="653">
        <f t="shared" si="56"/>
        <v>51524.479999999996</v>
      </c>
      <c r="H267" s="653">
        <f t="shared" si="57"/>
        <v>51524.479999999996</v>
      </c>
      <c r="I267" s="653">
        <f t="shared" si="57"/>
        <v>51524.479999999996</v>
      </c>
      <c r="J267" s="653">
        <f t="shared" si="57"/>
        <v>51524.479999999996</v>
      </c>
      <c r="K267" s="653">
        <f t="shared" si="57"/>
        <v>51524.479999999996</v>
      </c>
      <c r="L267" s="653">
        <f t="shared" si="57"/>
        <v>51524.479999999996</v>
      </c>
      <c r="M267" s="653">
        <f t="shared" si="57"/>
        <v>51524.479999999996</v>
      </c>
      <c r="O267" s="343"/>
      <c r="Q267" s="50"/>
      <c r="R267" s="50"/>
      <c r="S267" s="50"/>
      <c r="T267" s="50"/>
      <c r="U267" s="50"/>
      <c r="V267" s="50"/>
      <c r="W267" s="50"/>
      <c r="X267" s="50"/>
      <c r="Y267" s="50"/>
      <c r="Z267" s="50"/>
      <c r="AA267" s="50"/>
      <c r="AB267" s="50"/>
      <c r="AC267" s="50"/>
      <c r="AD267" s="50"/>
      <c r="AE267" s="50"/>
    </row>
    <row r="268" spans="1:31" outlineLevel="1" x14ac:dyDescent="0.25">
      <c r="A268" s="480">
        <f>ROW()</f>
        <v>268</v>
      </c>
      <c r="B268" s="164" t="str">
        <f>$B103</f>
        <v>SPED Specialist Assistant 7</v>
      </c>
      <c r="C268" s="138">
        <f t="shared" si="55"/>
        <v>0</v>
      </c>
      <c r="D268" s="51"/>
      <c r="E268" s="51"/>
      <c r="F268" s="51"/>
      <c r="G268" s="653">
        <f t="shared" si="56"/>
        <v>0</v>
      </c>
      <c r="H268" s="653">
        <f t="shared" si="57"/>
        <v>0</v>
      </c>
      <c r="I268" s="653">
        <f t="shared" si="57"/>
        <v>0</v>
      </c>
      <c r="J268" s="653">
        <f t="shared" si="57"/>
        <v>0</v>
      </c>
      <c r="K268" s="653">
        <f t="shared" si="57"/>
        <v>0</v>
      </c>
      <c r="L268" s="653">
        <f t="shared" si="57"/>
        <v>0</v>
      </c>
      <c r="M268" s="653">
        <f t="shared" si="57"/>
        <v>0</v>
      </c>
      <c r="O268" s="343"/>
      <c r="Q268" s="50"/>
      <c r="R268" s="50"/>
      <c r="S268" s="50"/>
      <c r="T268" s="50"/>
      <c r="U268" s="50"/>
      <c r="V268" s="50"/>
      <c r="W268" s="50"/>
      <c r="X268" s="50"/>
      <c r="Y268" s="50"/>
      <c r="Z268" s="50"/>
      <c r="AA268" s="50"/>
      <c r="AB268" s="50"/>
      <c r="AC268" s="50"/>
      <c r="AD268" s="50"/>
      <c r="AE268" s="50"/>
    </row>
    <row r="269" spans="1:31" outlineLevel="1" x14ac:dyDescent="0.25">
      <c r="A269" s="480">
        <f>ROW()</f>
        <v>269</v>
      </c>
      <c r="B269" s="164" t="str">
        <f>$B104</f>
        <v>SPED Specialist Assistant 7</v>
      </c>
      <c r="C269" s="138">
        <f t="shared" si="55"/>
        <v>0</v>
      </c>
      <c r="D269" s="51"/>
      <c r="E269" s="51"/>
      <c r="F269" s="51"/>
      <c r="G269" s="653">
        <f t="shared" si="56"/>
        <v>0</v>
      </c>
      <c r="H269" s="653">
        <f t="shared" si="57"/>
        <v>0</v>
      </c>
      <c r="I269" s="653">
        <f t="shared" si="57"/>
        <v>0</v>
      </c>
      <c r="J269" s="653">
        <f t="shared" si="57"/>
        <v>0</v>
      </c>
      <c r="K269" s="653">
        <f t="shared" si="57"/>
        <v>0</v>
      </c>
      <c r="L269" s="653">
        <f t="shared" si="57"/>
        <v>0</v>
      </c>
      <c r="M269" s="653">
        <f t="shared" si="57"/>
        <v>0</v>
      </c>
      <c r="O269" s="343"/>
      <c r="Q269" s="50"/>
      <c r="R269" s="50"/>
      <c r="S269" s="50"/>
      <c r="T269" s="50"/>
      <c r="U269" s="50"/>
      <c r="V269" s="50"/>
      <c r="W269" s="50"/>
      <c r="X269" s="50"/>
      <c r="Y269" s="50"/>
      <c r="Z269" s="50"/>
      <c r="AA269" s="50"/>
      <c r="AB269" s="50"/>
      <c r="AC269" s="50"/>
      <c r="AD269" s="50"/>
      <c r="AE269" s="50"/>
    </row>
    <row r="270" spans="1:31" outlineLevel="1" x14ac:dyDescent="0.25">
      <c r="A270" s="480">
        <f>ROW()</f>
        <v>270</v>
      </c>
      <c r="B270" s="164" t="str">
        <f>$B105</f>
        <v>SPED Specialist Assistant 7</v>
      </c>
      <c r="C270" s="138">
        <f t="shared" si="55"/>
        <v>0</v>
      </c>
      <c r="D270" s="51"/>
      <c r="E270" s="51"/>
      <c r="F270" s="51"/>
      <c r="G270" s="653">
        <f t="shared" si="56"/>
        <v>0</v>
      </c>
      <c r="H270" s="653">
        <f t="shared" si="57"/>
        <v>0</v>
      </c>
      <c r="I270" s="653">
        <f t="shared" si="57"/>
        <v>0</v>
      </c>
      <c r="J270" s="653">
        <f t="shared" si="57"/>
        <v>0</v>
      </c>
      <c r="K270" s="653">
        <f t="shared" si="57"/>
        <v>0</v>
      </c>
      <c r="L270" s="653">
        <f t="shared" si="57"/>
        <v>0</v>
      </c>
      <c r="M270" s="653">
        <f t="shared" si="57"/>
        <v>0</v>
      </c>
      <c r="O270" s="343"/>
      <c r="Q270" s="50"/>
      <c r="R270" s="50"/>
      <c r="S270" s="50"/>
      <c r="T270" s="50"/>
      <c r="U270" s="50"/>
      <c r="V270" s="50"/>
      <c r="W270" s="50"/>
      <c r="X270" s="50"/>
      <c r="Y270" s="50"/>
      <c r="Z270" s="50"/>
      <c r="AA270" s="50"/>
      <c r="AB270" s="50"/>
      <c r="AC270" s="50"/>
      <c r="AD270" s="50"/>
      <c r="AE270" s="50"/>
    </row>
    <row r="271" spans="1:31" outlineLevel="1" x14ac:dyDescent="0.25">
      <c r="A271" s="480">
        <f>ROW()</f>
        <v>271</v>
      </c>
      <c r="B271" s="973" t="str">
        <f>$B106</f>
        <v>Total Special EducationTeachers</v>
      </c>
      <c r="C271" s="974">
        <f t="shared" si="55"/>
        <v>13213595.149999997</v>
      </c>
      <c r="D271" s="975"/>
      <c r="E271" s="975"/>
      <c r="F271" s="975"/>
      <c r="G271" s="976">
        <f t="shared" ref="G271:M271" si="58">SUM(G262:G270)</f>
        <v>1887656.4499999997</v>
      </c>
      <c r="H271" s="976">
        <f t="shared" si="58"/>
        <v>1887656.4499999997</v>
      </c>
      <c r="I271" s="976">
        <f t="shared" si="58"/>
        <v>1887656.4499999997</v>
      </c>
      <c r="J271" s="976">
        <f t="shared" si="58"/>
        <v>1887656.4499999997</v>
      </c>
      <c r="K271" s="976">
        <f t="shared" si="58"/>
        <v>1887656.4499999997</v>
      </c>
      <c r="L271" s="976">
        <f t="shared" si="58"/>
        <v>1887656.4499999997</v>
      </c>
      <c r="M271" s="976">
        <f t="shared" si="58"/>
        <v>1887656.4499999997</v>
      </c>
      <c r="O271" s="343"/>
      <c r="Q271" s="50"/>
      <c r="R271" s="50"/>
      <c r="S271" s="50"/>
      <c r="T271" s="50"/>
      <c r="U271" s="50"/>
      <c r="V271" s="50"/>
      <c r="W271" s="50"/>
      <c r="X271" s="50"/>
      <c r="Y271" s="50"/>
      <c r="Z271" s="50"/>
      <c r="AA271" s="50"/>
      <c r="AB271" s="50"/>
      <c r="AC271" s="50"/>
      <c r="AD271" s="50"/>
      <c r="AE271" s="50"/>
    </row>
    <row r="272" spans="1:31" outlineLevel="1" x14ac:dyDescent="0.25">
      <c r="A272" s="480">
        <f>ROW()</f>
        <v>272</v>
      </c>
      <c r="C272" s="138"/>
      <c r="D272" s="51"/>
      <c r="E272" s="51"/>
      <c r="F272" s="51"/>
      <c r="G272" s="138"/>
      <c r="H272" s="138"/>
      <c r="I272" s="138"/>
      <c r="J272" s="138"/>
      <c r="K272" s="138"/>
      <c r="L272" s="138"/>
      <c r="M272" s="138"/>
      <c r="O272" s="343"/>
      <c r="Q272" s="50"/>
      <c r="R272" s="50"/>
      <c r="S272" s="50"/>
      <c r="T272" s="50"/>
      <c r="U272" s="50"/>
      <c r="V272" s="50"/>
      <c r="W272" s="50"/>
      <c r="X272" s="50"/>
      <c r="Y272" s="50"/>
      <c r="Z272" s="50"/>
      <c r="AA272" s="50"/>
      <c r="AB272" s="50"/>
      <c r="AC272" s="50"/>
      <c r="AD272" s="50"/>
      <c r="AE272" s="50"/>
    </row>
    <row r="273" spans="1:31" outlineLevel="1" x14ac:dyDescent="0.25">
      <c r="A273" s="480">
        <f>ROW()</f>
        <v>273</v>
      </c>
      <c r="B273" s="1651" t="str">
        <f t="shared" ref="B273:B283" si="59">$B110</f>
        <v>English Language Learner (ELL) Teachers (Full-time &amp; Part-Time w/benefits)</v>
      </c>
      <c r="C273" s="139"/>
      <c r="D273" s="108"/>
      <c r="E273" s="108"/>
      <c r="F273" s="108"/>
      <c r="G273" s="139"/>
      <c r="H273" s="139"/>
      <c r="I273" s="139"/>
      <c r="J273" s="139"/>
      <c r="K273" s="139"/>
      <c r="L273" s="139"/>
      <c r="M273" s="139"/>
      <c r="O273" s="343"/>
      <c r="Q273" s="50"/>
      <c r="R273" s="50"/>
      <c r="S273" s="50"/>
      <c r="T273" s="50"/>
      <c r="U273" s="50"/>
      <c r="V273" s="50"/>
      <c r="W273" s="50"/>
      <c r="X273" s="50"/>
      <c r="Y273" s="50"/>
      <c r="Z273" s="50"/>
      <c r="AA273" s="50"/>
      <c r="AB273" s="50"/>
      <c r="AC273" s="50"/>
      <c r="AD273" s="50"/>
      <c r="AE273" s="50"/>
    </row>
    <row r="274" spans="1:31" outlineLevel="1" x14ac:dyDescent="0.25">
      <c r="A274" s="480">
        <f>ROW()</f>
        <v>274</v>
      </c>
      <c r="B274" s="164" t="str">
        <f t="shared" si="59"/>
        <v>English Language &amp; Assessment Coordinator</v>
      </c>
      <c r="C274" s="138">
        <f t="shared" ref="C274:C283" si="60">SUM(G274:M274)</f>
        <v>959469</v>
      </c>
      <c r="D274" s="51"/>
      <c r="E274" s="51"/>
      <c r="F274" s="51"/>
      <c r="G274" s="653">
        <f t="shared" ref="G274:G282" si="61">G111*$D111</f>
        <v>137067</v>
      </c>
      <c r="H274" s="653">
        <f t="shared" ref="H274:M282" si="62">(H111*$D111)</f>
        <v>137067</v>
      </c>
      <c r="I274" s="653">
        <f t="shared" si="62"/>
        <v>137067</v>
      </c>
      <c r="J274" s="653">
        <f t="shared" si="62"/>
        <v>137067</v>
      </c>
      <c r="K274" s="653">
        <f t="shared" si="62"/>
        <v>137067</v>
      </c>
      <c r="L274" s="653">
        <f t="shared" si="62"/>
        <v>137067</v>
      </c>
      <c r="M274" s="653">
        <f t="shared" si="62"/>
        <v>137067</v>
      </c>
      <c r="O274" s="343"/>
      <c r="Q274" s="50"/>
      <c r="R274" s="50"/>
      <c r="S274" s="50"/>
      <c r="T274" s="50"/>
      <c r="U274" s="50"/>
      <c r="V274" s="50"/>
      <c r="W274" s="50"/>
      <c r="X274" s="50"/>
      <c r="Y274" s="50"/>
      <c r="Z274" s="50"/>
      <c r="AA274" s="50"/>
      <c r="AB274" s="50"/>
      <c r="AC274" s="50"/>
      <c r="AD274" s="50"/>
      <c r="AE274" s="50"/>
    </row>
    <row r="275" spans="1:31" outlineLevel="1" x14ac:dyDescent="0.25">
      <c r="A275" s="480">
        <f>ROW()</f>
        <v>275</v>
      </c>
      <c r="B275" s="164" t="str">
        <f t="shared" si="59"/>
        <v>ELL Testing Specialist</v>
      </c>
      <c r="C275" s="138">
        <f t="shared" si="60"/>
        <v>409248</v>
      </c>
      <c r="D275" s="51"/>
      <c r="E275" s="51"/>
      <c r="F275" s="51"/>
      <c r="G275" s="653">
        <f t="shared" si="61"/>
        <v>58464</v>
      </c>
      <c r="H275" s="653">
        <f t="shared" si="62"/>
        <v>58464</v>
      </c>
      <c r="I275" s="653">
        <f t="shared" si="62"/>
        <v>58464</v>
      </c>
      <c r="J275" s="653">
        <f t="shared" si="62"/>
        <v>58464</v>
      </c>
      <c r="K275" s="653">
        <f t="shared" si="62"/>
        <v>58464</v>
      </c>
      <c r="L275" s="653">
        <f t="shared" si="62"/>
        <v>58464</v>
      </c>
      <c r="M275" s="653">
        <f t="shared" si="62"/>
        <v>58464</v>
      </c>
      <c r="O275" s="343"/>
      <c r="Q275" s="50"/>
      <c r="R275" s="50"/>
      <c r="S275" s="50"/>
      <c r="T275" s="50"/>
      <c r="U275" s="50"/>
      <c r="V275" s="50"/>
      <c r="W275" s="50"/>
      <c r="X275" s="50"/>
      <c r="Y275" s="50"/>
      <c r="Z275" s="50"/>
      <c r="AA275" s="50"/>
      <c r="AB275" s="50"/>
      <c r="AC275" s="50"/>
      <c r="AD275" s="50"/>
      <c r="AE275" s="50"/>
    </row>
    <row r="276" spans="1:31" outlineLevel="1" x14ac:dyDescent="0.25">
      <c r="A276" s="480">
        <f>ROW()</f>
        <v>276</v>
      </c>
      <c r="B276" s="164" t="str">
        <f t="shared" si="59"/>
        <v>ELL Teacher/Reading Specialist</v>
      </c>
      <c r="C276" s="138">
        <f t="shared" si="60"/>
        <v>466438</v>
      </c>
      <c r="D276" s="51"/>
      <c r="E276" s="51"/>
      <c r="F276" s="51"/>
      <c r="G276" s="653">
        <f t="shared" si="61"/>
        <v>66634</v>
      </c>
      <c r="H276" s="653">
        <f t="shared" si="62"/>
        <v>66634</v>
      </c>
      <c r="I276" s="653">
        <f t="shared" si="62"/>
        <v>66634</v>
      </c>
      <c r="J276" s="653">
        <f t="shared" si="62"/>
        <v>66634</v>
      </c>
      <c r="K276" s="653">
        <f t="shared" si="62"/>
        <v>66634</v>
      </c>
      <c r="L276" s="653">
        <f t="shared" si="62"/>
        <v>66634</v>
      </c>
      <c r="M276" s="653">
        <f t="shared" si="62"/>
        <v>66634</v>
      </c>
      <c r="O276" s="343"/>
      <c r="Q276" s="50"/>
      <c r="R276" s="50"/>
      <c r="S276" s="50"/>
      <c r="T276" s="50"/>
      <c r="U276" s="50"/>
      <c r="V276" s="50"/>
      <c r="W276" s="50"/>
      <c r="X276" s="50"/>
      <c r="Y276" s="50"/>
      <c r="Z276" s="50"/>
      <c r="AA276" s="50"/>
      <c r="AB276" s="50"/>
      <c r="AC276" s="50"/>
      <c r="AD276" s="50"/>
      <c r="AE276" s="50"/>
    </row>
    <row r="277" spans="1:31" outlineLevel="1" x14ac:dyDescent="0.25">
      <c r="A277" s="480">
        <f>ROW()</f>
        <v>277</v>
      </c>
      <c r="B277" s="164" t="str">
        <f t="shared" si="59"/>
        <v xml:space="preserve">ES TOSA - Literacy Strategist </v>
      </c>
      <c r="C277" s="138">
        <f t="shared" si="60"/>
        <v>819798</v>
      </c>
      <c r="D277" s="51"/>
      <c r="E277" s="51"/>
      <c r="F277" s="51"/>
      <c r="G277" s="653">
        <f t="shared" si="61"/>
        <v>117114</v>
      </c>
      <c r="H277" s="653">
        <f t="shared" si="62"/>
        <v>117114</v>
      </c>
      <c r="I277" s="653">
        <f t="shared" si="62"/>
        <v>117114</v>
      </c>
      <c r="J277" s="653">
        <f t="shared" si="62"/>
        <v>117114</v>
      </c>
      <c r="K277" s="653">
        <f t="shared" si="62"/>
        <v>117114</v>
      </c>
      <c r="L277" s="653">
        <f t="shared" si="62"/>
        <v>117114</v>
      </c>
      <c r="M277" s="653">
        <f t="shared" si="62"/>
        <v>117114</v>
      </c>
      <c r="O277" s="343"/>
      <c r="Q277" s="50"/>
      <c r="R277" s="50"/>
      <c r="S277" s="50"/>
      <c r="T277" s="50"/>
      <c r="U277" s="50"/>
      <c r="V277" s="50"/>
      <c r="W277" s="50"/>
      <c r="X277" s="50"/>
      <c r="Y277" s="50"/>
      <c r="Z277" s="50"/>
      <c r="AA277" s="50"/>
      <c r="AB277" s="50"/>
      <c r="AC277" s="50"/>
      <c r="AD277" s="50"/>
      <c r="AE277" s="50"/>
    </row>
    <row r="278" spans="1:31" outlineLevel="1" x14ac:dyDescent="0.25">
      <c r="A278" s="480">
        <f>ROW()</f>
        <v>278</v>
      </c>
      <c r="B278" s="164" t="str">
        <f t="shared" si="59"/>
        <v xml:space="preserve">HS TOSA - Literacy Strategist </v>
      </c>
      <c r="C278" s="138">
        <f t="shared" si="60"/>
        <v>0</v>
      </c>
      <c r="D278" s="51"/>
      <c r="E278" s="51"/>
      <c r="F278" s="51"/>
      <c r="G278" s="653">
        <f t="shared" si="61"/>
        <v>0</v>
      </c>
      <c r="H278" s="653">
        <f t="shared" si="62"/>
        <v>0</v>
      </c>
      <c r="I278" s="653">
        <f t="shared" si="62"/>
        <v>0</v>
      </c>
      <c r="J278" s="653">
        <f t="shared" si="62"/>
        <v>0</v>
      </c>
      <c r="K278" s="653">
        <f t="shared" si="62"/>
        <v>0</v>
      </c>
      <c r="L278" s="653">
        <f t="shared" si="62"/>
        <v>0</v>
      </c>
      <c r="M278" s="653">
        <f t="shared" si="62"/>
        <v>0</v>
      </c>
      <c r="O278" s="343"/>
      <c r="Q278" s="50"/>
      <c r="R278" s="50"/>
      <c r="S278" s="50"/>
      <c r="T278" s="50"/>
      <c r="U278" s="50"/>
      <c r="V278" s="50"/>
      <c r="W278" s="50"/>
      <c r="X278" s="50"/>
      <c r="Y278" s="50"/>
      <c r="Z278" s="50"/>
      <c r="AA278" s="50"/>
      <c r="AB278" s="50"/>
      <c r="AC278" s="50"/>
      <c r="AD278" s="50"/>
      <c r="AE278" s="50"/>
    </row>
    <row r="279" spans="1:31" outlineLevel="1" x14ac:dyDescent="0.25">
      <c r="A279" s="480">
        <f>ROW()</f>
        <v>279</v>
      </c>
      <c r="B279" s="164">
        <f t="shared" si="59"/>
        <v>0</v>
      </c>
      <c r="C279" s="138">
        <f t="shared" si="60"/>
        <v>0</v>
      </c>
      <c r="D279" s="51"/>
      <c r="E279" s="51"/>
      <c r="F279" s="51"/>
      <c r="G279" s="653">
        <f t="shared" si="61"/>
        <v>0</v>
      </c>
      <c r="H279" s="653">
        <f t="shared" si="62"/>
        <v>0</v>
      </c>
      <c r="I279" s="653">
        <f t="shared" si="62"/>
        <v>0</v>
      </c>
      <c r="J279" s="653">
        <f t="shared" si="62"/>
        <v>0</v>
      </c>
      <c r="K279" s="653">
        <f t="shared" si="62"/>
        <v>0</v>
      </c>
      <c r="L279" s="653">
        <f t="shared" si="62"/>
        <v>0</v>
      </c>
      <c r="M279" s="653">
        <f t="shared" si="62"/>
        <v>0</v>
      </c>
      <c r="O279" s="343"/>
      <c r="Q279" s="50"/>
      <c r="R279" s="50"/>
      <c r="S279" s="50"/>
      <c r="T279" s="50"/>
      <c r="U279" s="50"/>
      <c r="V279" s="50"/>
      <c r="W279" s="50"/>
      <c r="X279" s="50"/>
      <c r="Y279" s="50"/>
      <c r="Z279" s="50"/>
      <c r="AA279" s="50"/>
      <c r="AB279" s="50"/>
      <c r="AC279" s="50"/>
      <c r="AD279" s="50"/>
      <c r="AE279" s="50"/>
    </row>
    <row r="280" spans="1:31" outlineLevel="1" x14ac:dyDescent="0.25">
      <c r="A280" s="480">
        <f>ROW()</f>
        <v>280</v>
      </c>
      <c r="B280" s="164">
        <f t="shared" si="59"/>
        <v>0</v>
      </c>
      <c r="C280" s="138">
        <f t="shared" si="60"/>
        <v>0</v>
      </c>
      <c r="D280" s="51"/>
      <c r="E280" s="51"/>
      <c r="F280" s="51"/>
      <c r="G280" s="653">
        <f t="shared" si="61"/>
        <v>0</v>
      </c>
      <c r="H280" s="653">
        <f t="shared" si="62"/>
        <v>0</v>
      </c>
      <c r="I280" s="653">
        <f t="shared" si="62"/>
        <v>0</v>
      </c>
      <c r="J280" s="653">
        <f t="shared" si="62"/>
        <v>0</v>
      </c>
      <c r="K280" s="653">
        <f t="shared" si="62"/>
        <v>0</v>
      </c>
      <c r="L280" s="653">
        <f t="shared" si="62"/>
        <v>0</v>
      </c>
      <c r="M280" s="653">
        <f t="shared" si="62"/>
        <v>0</v>
      </c>
      <c r="O280" s="343"/>
      <c r="Q280" s="50"/>
      <c r="R280" s="50"/>
      <c r="S280" s="50"/>
      <c r="T280" s="50"/>
      <c r="U280" s="50"/>
      <c r="V280" s="50"/>
      <c r="W280" s="50"/>
      <c r="X280" s="50"/>
      <c r="Y280" s="50"/>
      <c r="Z280" s="50"/>
      <c r="AA280" s="50"/>
      <c r="AB280" s="50"/>
      <c r="AC280" s="50"/>
      <c r="AD280" s="50"/>
      <c r="AE280" s="50"/>
    </row>
    <row r="281" spans="1:31" outlineLevel="1" x14ac:dyDescent="0.25">
      <c r="A281" s="480">
        <f>ROW()</f>
        <v>281</v>
      </c>
      <c r="B281" s="164">
        <f t="shared" si="59"/>
        <v>0</v>
      </c>
      <c r="C281" s="138">
        <f t="shared" si="60"/>
        <v>0</v>
      </c>
      <c r="D281" s="51"/>
      <c r="E281" s="51"/>
      <c r="F281" s="51"/>
      <c r="G281" s="653">
        <f t="shared" si="61"/>
        <v>0</v>
      </c>
      <c r="H281" s="653">
        <f t="shared" si="62"/>
        <v>0</v>
      </c>
      <c r="I281" s="653">
        <f t="shared" si="62"/>
        <v>0</v>
      </c>
      <c r="J281" s="653">
        <f t="shared" si="62"/>
        <v>0</v>
      </c>
      <c r="K281" s="653">
        <f t="shared" si="62"/>
        <v>0</v>
      </c>
      <c r="L281" s="653">
        <f t="shared" si="62"/>
        <v>0</v>
      </c>
      <c r="M281" s="653">
        <f t="shared" si="62"/>
        <v>0</v>
      </c>
      <c r="O281" s="343"/>
      <c r="Q281" s="50"/>
      <c r="R281" s="50"/>
      <c r="S281" s="50"/>
      <c r="T281" s="50"/>
      <c r="U281" s="50"/>
      <c r="V281" s="50"/>
      <c r="W281" s="50"/>
      <c r="X281" s="50"/>
      <c r="Y281" s="50"/>
      <c r="Z281" s="50"/>
      <c r="AA281" s="50"/>
      <c r="AB281" s="50"/>
      <c r="AC281" s="50"/>
      <c r="AD281" s="50"/>
      <c r="AE281" s="50"/>
    </row>
    <row r="282" spans="1:31" outlineLevel="1" x14ac:dyDescent="0.25">
      <c r="A282" s="480">
        <f>ROW()</f>
        <v>282</v>
      </c>
      <c r="B282" s="164">
        <f t="shared" si="59"/>
        <v>0</v>
      </c>
      <c r="C282" s="138">
        <f t="shared" si="60"/>
        <v>0</v>
      </c>
      <c r="D282" s="51"/>
      <c r="E282" s="51"/>
      <c r="F282" s="51"/>
      <c r="G282" s="653">
        <f t="shared" si="61"/>
        <v>0</v>
      </c>
      <c r="H282" s="653">
        <f t="shared" si="62"/>
        <v>0</v>
      </c>
      <c r="I282" s="653">
        <f t="shared" si="62"/>
        <v>0</v>
      </c>
      <c r="J282" s="653">
        <f t="shared" si="62"/>
        <v>0</v>
      </c>
      <c r="K282" s="653">
        <f t="shared" si="62"/>
        <v>0</v>
      </c>
      <c r="L282" s="653">
        <f t="shared" si="62"/>
        <v>0</v>
      </c>
      <c r="M282" s="653">
        <f t="shared" si="62"/>
        <v>0</v>
      </c>
      <c r="O282" s="343"/>
      <c r="Q282" s="50"/>
      <c r="R282" s="50"/>
      <c r="S282" s="50"/>
      <c r="T282" s="50"/>
      <c r="U282" s="50"/>
      <c r="V282" s="50"/>
      <c r="W282" s="50"/>
      <c r="X282" s="50"/>
      <c r="Y282" s="50"/>
      <c r="Z282" s="50"/>
      <c r="AA282" s="50"/>
      <c r="AB282" s="50"/>
      <c r="AC282" s="50"/>
      <c r="AD282" s="50"/>
      <c r="AE282" s="50"/>
    </row>
    <row r="283" spans="1:31" outlineLevel="1" x14ac:dyDescent="0.25">
      <c r="A283" s="480">
        <f>ROW()</f>
        <v>283</v>
      </c>
      <c r="B283" s="973" t="str">
        <f t="shared" si="59"/>
        <v>Total ELL Teachers</v>
      </c>
      <c r="C283" s="974">
        <f t="shared" si="60"/>
        <v>2654953</v>
      </c>
      <c r="D283" s="972"/>
      <c r="E283" s="972"/>
      <c r="F283" s="972"/>
      <c r="G283" s="976">
        <f t="shared" ref="G283:M283" si="63">SUM(G274:G282)</f>
        <v>379279</v>
      </c>
      <c r="H283" s="976">
        <f t="shared" si="63"/>
        <v>379279</v>
      </c>
      <c r="I283" s="976">
        <f t="shared" si="63"/>
        <v>379279</v>
      </c>
      <c r="J283" s="976">
        <f t="shared" si="63"/>
        <v>379279</v>
      </c>
      <c r="K283" s="976">
        <f t="shared" si="63"/>
        <v>379279</v>
      </c>
      <c r="L283" s="976">
        <f t="shared" si="63"/>
        <v>379279</v>
      </c>
      <c r="M283" s="976">
        <f t="shared" si="63"/>
        <v>379279</v>
      </c>
      <c r="O283" s="343"/>
      <c r="Q283" s="50"/>
      <c r="R283" s="50"/>
      <c r="S283" s="50"/>
      <c r="T283" s="50"/>
      <c r="U283" s="50"/>
      <c r="V283" s="50"/>
      <c r="W283" s="50"/>
      <c r="X283" s="50"/>
      <c r="Y283" s="50"/>
      <c r="Z283" s="50"/>
      <c r="AA283" s="50"/>
      <c r="AB283" s="50"/>
      <c r="AC283" s="50"/>
      <c r="AD283" s="50"/>
      <c r="AE283" s="50"/>
    </row>
    <row r="284" spans="1:31" outlineLevel="1" x14ac:dyDescent="0.25">
      <c r="A284" s="480">
        <f>ROW()</f>
        <v>284</v>
      </c>
      <c r="C284" s="138"/>
      <c r="D284" s="51"/>
      <c r="E284" s="51"/>
      <c r="F284" s="51"/>
      <c r="G284" s="138"/>
      <c r="H284" s="138"/>
      <c r="I284" s="138"/>
      <c r="J284" s="138"/>
      <c r="K284" s="138"/>
      <c r="L284" s="138"/>
      <c r="M284" s="138"/>
      <c r="O284" s="343"/>
      <c r="Q284" s="50"/>
      <c r="R284" s="50"/>
      <c r="S284" s="50"/>
      <c r="T284" s="50"/>
      <c r="U284" s="50"/>
      <c r="V284" s="50"/>
      <c r="W284" s="50"/>
      <c r="X284" s="50"/>
      <c r="Y284" s="50"/>
      <c r="Z284" s="50"/>
      <c r="AA284" s="50"/>
      <c r="AB284" s="50"/>
      <c r="AC284" s="50"/>
      <c r="AD284" s="50"/>
      <c r="AE284" s="50"/>
    </row>
    <row r="285" spans="1:31" outlineLevel="1" x14ac:dyDescent="0.25">
      <c r="A285" s="480">
        <f>ROW()</f>
        <v>285</v>
      </c>
      <c r="B285" s="1651" t="str">
        <f t="shared" ref="B285:B292" si="64">$B122</f>
        <v>Guidance Counselor &amp; Other Staff (Full-time &amp; Part-Time w/benefits)</v>
      </c>
      <c r="C285" s="139"/>
      <c r="D285" s="108"/>
      <c r="E285" s="108"/>
      <c r="F285" s="108"/>
      <c r="G285" s="139"/>
      <c r="H285" s="139"/>
      <c r="I285" s="139"/>
      <c r="J285" s="139"/>
      <c r="K285" s="139"/>
      <c r="L285" s="139"/>
      <c r="M285" s="139"/>
      <c r="O285" s="343"/>
      <c r="Q285" s="50"/>
      <c r="R285" s="50"/>
      <c r="S285" s="50"/>
      <c r="T285" s="50"/>
      <c r="U285" s="50"/>
      <c r="V285" s="50"/>
      <c r="W285" s="50"/>
      <c r="X285" s="50"/>
      <c r="Y285" s="50"/>
      <c r="Z285" s="50"/>
      <c r="AA285" s="50"/>
      <c r="AB285" s="50"/>
      <c r="AC285" s="50"/>
      <c r="AD285" s="50"/>
      <c r="AE285" s="50"/>
    </row>
    <row r="286" spans="1:31" outlineLevel="1" x14ac:dyDescent="0.25">
      <c r="A286" s="480">
        <f>ROW()</f>
        <v>286</v>
      </c>
      <c r="B286" s="164" t="str">
        <f t="shared" si="64"/>
        <v>Nurse/Health Office</v>
      </c>
      <c r="C286" s="138">
        <f t="shared" ref="C286:C297" si="65">SUM(G286:M286)</f>
        <v>1503846.68</v>
      </c>
      <c r="D286" s="51"/>
      <c r="E286" s="51"/>
      <c r="F286" s="51"/>
      <c r="G286" s="653">
        <f t="shared" ref="G286:G293" si="66">G123*$D123</f>
        <v>214835.24</v>
      </c>
      <c r="H286" s="653">
        <f t="shared" ref="H286:M293" si="67">(H123*$D123)</f>
        <v>214835.24</v>
      </c>
      <c r="I286" s="653">
        <f t="shared" si="67"/>
        <v>214835.24</v>
      </c>
      <c r="J286" s="653">
        <f t="shared" si="67"/>
        <v>214835.24</v>
      </c>
      <c r="K286" s="653">
        <f t="shared" si="67"/>
        <v>214835.24</v>
      </c>
      <c r="L286" s="653">
        <f t="shared" si="67"/>
        <v>214835.24</v>
      </c>
      <c r="M286" s="653">
        <f t="shared" si="67"/>
        <v>214835.24</v>
      </c>
      <c r="O286" s="343"/>
      <c r="Q286" s="50"/>
      <c r="R286" s="50"/>
      <c r="S286" s="50"/>
      <c r="T286" s="50"/>
      <c r="U286" s="50"/>
      <c r="V286" s="50"/>
      <c r="W286" s="50"/>
      <c r="X286" s="50"/>
      <c r="Y286" s="50"/>
      <c r="Z286" s="50"/>
      <c r="AA286" s="50"/>
      <c r="AB286" s="50"/>
      <c r="AC286" s="50"/>
      <c r="AD286" s="50"/>
      <c r="AE286" s="50"/>
    </row>
    <row r="287" spans="1:31" outlineLevel="1" x14ac:dyDescent="0.25">
      <c r="A287" s="480">
        <f>ROW()</f>
        <v>287</v>
      </c>
      <c r="B287" s="164" t="str">
        <f t="shared" si="64"/>
        <v>Guidance Counselor</v>
      </c>
      <c r="C287" s="138">
        <f t="shared" si="65"/>
        <v>2217070.8700000006</v>
      </c>
      <c r="D287" s="51"/>
      <c r="E287" s="51"/>
      <c r="F287" s="51"/>
      <c r="G287" s="653">
        <f t="shared" si="66"/>
        <v>316724.41000000003</v>
      </c>
      <c r="H287" s="653">
        <f t="shared" si="67"/>
        <v>316724.41000000003</v>
      </c>
      <c r="I287" s="653">
        <f t="shared" si="67"/>
        <v>316724.41000000003</v>
      </c>
      <c r="J287" s="653">
        <f t="shared" si="67"/>
        <v>316724.41000000003</v>
      </c>
      <c r="K287" s="653">
        <f t="shared" si="67"/>
        <v>316724.41000000003</v>
      </c>
      <c r="L287" s="653">
        <f t="shared" si="67"/>
        <v>316724.41000000003</v>
      </c>
      <c r="M287" s="653">
        <f t="shared" si="67"/>
        <v>316724.41000000003</v>
      </c>
      <c r="O287" s="343"/>
      <c r="Q287" s="50"/>
      <c r="R287" s="50"/>
      <c r="S287" s="50"/>
      <c r="T287" s="50"/>
      <c r="U287" s="50"/>
      <c r="V287" s="50"/>
      <c r="W287" s="50"/>
      <c r="X287" s="50"/>
      <c r="Y287" s="50"/>
      <c r="Z287" s="50"/>
      <c r="AA287" s="50"/>
      <c r="AB287" s="50"/>
      <c r="AC287" s="50"/>
      <c r="AD287" s="50"/>
      <c r="AE287" s="50"/>
    </row>
    <row r="288" spans="1:31" outlineLevel="1" x14ac:dyDescent="0.25">
      <c r="A288" s="480">
        <f>ROW()</f>
        <v>288</v>
      </c>
      <c r="B288" s="164" t="str">
        <f t="shared" si="64"/>
        <v>Social Worker</v>
      </c>
      <c r="C288" s="138">
        <f t="shared" si="65"/>
        <v>2013276.0900000003</v>
      </c>
      <c r="D288" s="51"/>
      <c r="E288" s="51"/>
      <c r="F288" s="51"/>
      <c r="G288" s="653">
        <f t="shared" si="66"/>
        <v>287610.87</v>
      </c>
      <c r="H288" s="653">
        <f t="shared" si="67"/>
        <v>287610.87</v>
      </c>
      <c r="I288" s="653">
        <f t="shared" si="67"/>
        <v>287610.87</v>
      </c>
      <c r="J288" s="653">
        <f t="shared" si="67"/>
        <v>287610.87</v>
      </c>
      <c r="K288" s="653">
        <f t="shared" si="67"/>
        <v>287610.87</v>
      </c>
      <c r="L288" s="653">
        <f t="shared" si="67"/>
        <v>287610.87</v>
      </c>
      <c r="M288" s="653">
        <f t="shared" si="67"/>
        <v>287610.87</v>
      </c>
      <c r="O288" s="343"/>
      <c r="Q288" s="50"/>
      <c r="R288" s="50"/>
      <c r="S288" s="50"/>
      <c r="T288" s="50"/>
      <c r="U288" s="50"/>
      <c r="V288" s="50"/>
      <c r="W288" s="50"/>
      <c r="X288" s="50"/>
      <c r="Y288" s="50"/>
      <c r="Z288" s="50"/>
      <c r="AA288" s="50"/>
      <c r="AB288" s="50"/>
      <c r="AC288" s="50"/>
      <c r="AD288" s="50"/>
      <c r="AE288" s="50"/>
    </row>
    <row r="289" spans="1:31" outlineLevel="1" x14ac:dyDescent="0.25">
      <c r="A289" s="480">
        <f>ROW()</f>
        <v>289</v>
      </c>
      <c r="B289" s="164" t="str">
        <f t="shared" si="64"/>
        <v>Security Guard(s)</v>
      </c>
      <c r="C289" s="138">
        <f t="shared" si="65"/>
        <v>0</v>
      </c>
      <c r="D289" s="51"/>
      <c r="E289" s="51"/>
      <c r="F289" s="51"/>
      <c r="G289" s="653">
        <f t="shared" si="66"/>
        <v>0</v>
      </c>
      <c r="H289" s="653">
        <f t="shared" si="67"/>
        <v>0</v>
      </c>
      <c r="I289" s="653">
        <f t="shared" si="67"/>
        <v>0</v>
      </c>
      <c r="J289" s="653">
        <f t="shared" si="67"/>
        <v>0</v>
      </c>
      <c r="K289" s="653">
        <f t="shared" si="67"/>
        <v>0</v>
      </c>
      <c r="L289" s="653">
        <f t="shared" si="67"/>
        <v>0</v>
      </c>
      <c r="M289" s="653">
        <f t="shared" si="67"/>
        <v>0</v>
      </c>
      <c r="O289" s="343"/>
      <c r="Q289" s="50"/>
      <c r="R289" s="50"/>
      <c r="S289" s="50"/>
      <c r="T289" s="50"/>
      <c r="U289" s="50"/>
      <c r="V289" s="50"/>
      <c r="W289" s="50"/>
      <c r="X289" s="50"/>
      <c r="Y289" s="50"/>
      <c r="Z289" s="50"/>
      <c r="AA289" s="50"/>
      <c r="AB289" s="50"/>
      <c r="AC289" s="50"/>
      <c r="AD289" s="50"/>
      <c r="AE289" s="50"/>
    </row>
    <row r="290" spans="1:31" outlineLevel="1" x14ac:dyDescent="0.25">
      <c r="A290" s="480">
        <f>ROW()</f>
        <v>290</v>
      </c>
      <c r="B290" s="164" t="str">
        <f t="shared" si="64"/>
        <v>Operations Management</v>
      </c>
      <c r="C290" s="138">
        <f t="shared" si="65"/>
        <v>0</v>
      </c>
      <c r="D290" s="51"/>
      <c r="E290" s="51"/>
      <c r="F290" s="51"/>
      <c r="G290" s="653">
        <f t="shared" si="66"/>
        <v>0</v>
      </c>
      <c r="H290" s="653">
        <f t="shared" si="67"/>
        <v>0</v>
      </c>
      <c r="I290" s="653">
        <f t="shared" si="67"/>
        <v>0</v>
      </c>
      <c r="J290" s="653">
        <f t="shared" si="67"/>
        <v>0</v>
      </c>
      <c r="K290" s="653">
        <f t="shared" si="67"/>
        <v>0</v>
      </c>
      <c r="L290" s="653">
        <f t="shared" si="67"/>
        <v>0</v>
      </c>
      <c r="M290" s="653">
        <f t="shared" si="67"/>
        <v>0</v>
      </c>
      <c r="O290" s="343"/>
      <c r="Q290" s="50"/>
      <c r="R290" s="50"/>
      <c r="S290" s="50"/>
      <c r="T290" s="50"/>
      <c r="U290" s="50"/>
      <c r="V290" s="50"/>
      <c r="W290" s="50"/>
      <c r="X290" s="50"/>
      <c r="Y290" s="50"/>
      <c r="Z290" s="50"/>
      <c r="AA290" s="50"/>
      <c r="AB290" s="50"/>
      <c r="AC290" s="50"/>
      <c r="AD290" s="50"/>
      <c r="AE290" s="50"/>
    </row>
    <row r="291" spans="1:31" outlineLevel="1" x14ac:dyDescent="0.25">
      <c r="A291" s="480">
        <f>ROW()</f>
        <v>291</v>
      </c>
      <c r="B291" s="164" t="str">
        <f t="shared" si="64"/>
        <v>Custodial/grounds workers</v>
      </c>
      <c r="C291" s="138">
        <f t="shared" si="65"/>
        <v>780876.87999999989</v>
      </c>
      <c r="D291" s="51"/>
      <c r="E291" s="51"/>
      <c r="F291" s="51"/>
      <c r="G291" s="653">
        <f t="shared" si="66"/>
        <v>111553.84</v>
      </c>
      <c r="H291" s="653">
        <f t="shared" si="67"/>
        <v>111553.84</v>
      </c>
      <c r="I291" s="653">
        <f t="shared" si="67"/>
        <v>111553.84</v>
      </c>
      <c r="J291" s="653">
        <f t="shared" si="67"/>
        <v>111553.84</v>
      </c>
      <c r="K291" s="653">
        <f t="shared" si="67"/>
        <v>111553.84</v>
      </c>
      <c r="L291" s="653">
        <f t="shared" si="67"/>
        <v>111553.84</v>
      </c>
      <c r="M291" s="653">
        <f t="shared" si="67"/>
        <v>111553.84</v>
      </c>
      <c r="O291" s="343"/>
      <c r="Q291" s="50"/>
      <c r="R291" s="50"/>
      <c r="S291" s="50"/>
      <c r="T291" s="50"/>
      <c r="U291" s="50"/>
      <c r="V291" s="50"/>
      <c r="W291" s="50"/>
      <c r="X291" s="50"/>
      <c r="Y291" s="50"/>
      <c r="Z291" s="50"/>
      <c r="AA291" s="50"/>
      <c r="AB291" s="50"/>
      <c r="AC291" s="50"/>
      <c r="AD291" s="50"/>
      <c r="AE291" s="50"/>
    </row>
    <row r="292" spans="1:31" outlineLevel="1" x14ac:dyDescent="0.25">
      <c r="A292" s="480">
        <f>ROW()</f>
        <v>292</v>
      </c>
      <c r="B292" s="164" t="str">
        <f t="shared" si="64"/>
        <v>Food services worker(s)</v>
      </c>
      <c r="C292" s="138">
        <f t="shared" si="65"/>
        <v>0</v>
      </c>
      <c r="D292" s="51"/>
      <c r="E292" s="51"/>
      <c r="F292" s="51"/>
      <c r="G292" s="653">
        <f t="shared" si="66"/>
        <v>0</v>
      </c>
      <c r="H292" s="653">
        <f t="shared" si="67"/>
        <v>0</v>
      </c>
      <c r="I292" s="653">
        <f t="shared" si="67"/>
        <v>0</v>
      </c>
      <c r="J292" s="653">
        <f t="shared" si="67"/>
        <v>0</v>
      </c>
      <c r="K292" s="653">
        <f t="shared" si="67"/>
        <v>0</v>
      </c>
      <c r="L292" s="653">
        <f t="shared" si="67"/>
        <v>0</v>
      </c>
      <c r="M292" s="653">
        <f t="shared" si="67"/>
        <v>0</v>
      </c>
      <c r="O292" s="343"/>
      <c r="Q292" s="50"/>
      <c r="R292" s="50"/>
      <c r="S292" s="50"/>
      <c r="T292" s="50"/>
      <c r="U292" s="50"/>
      <c r="V292" s="50"/>
      <c r="W292" s="50"/>
      <c r="X292" s="50"/>
      <c r="Y292" s="50"/>
      <c r="Z292" s="50"/>
      <c r="AA292" s="50"/>
      <c r="AB292" s="50"/>
      <c r="AC292" s="50"/>
      <c r="AD292" s="50"/>
      <c r="AE292" s="50"/>
    </row>
    <row r="293" spans="1:31" outlineLevel="1" x14ac:dyDescent="0.25">
      <c r="A293" s="480">
        <f>ROW()</f>
        <v>293</v>
      </c>
      <c r="B293" s="164" t="str">
        <f t="shared" ref="B293:B296" si="68">$B130</f>
        <v>Transportation worker(s)</v>
      </c>
      <c r="C293" s="138">
        <f t="shared" si="65"/>
        <v>0</v>
      </c>
      <c r="D293" s="51"/>
      <c r="E293" s="51"/>
      <c r="F293" s="51"/>
      <c r="G293" s="653">
        <f t="shared" si="66"/>
        <v>0</v>
      </c>
      <c r="H293" s="653">
        <f t="shared" si="67"/>
        <v>0</v>
      </c>
      <c r="I293" s="653">
        <f t="shared" si="67"/>
        <v>0</v>
      </c>
      <c r="J293" s="653">
        <f t="shared" si="67"/>
        <v>0</v>
      </c>
      <c r="K293" s="653">
        <f t="shared" si="67"/>
        <v>0</v>
      </c>
      <c r="L293" s="653">
        <f t="shared" si="67"/>
        <v>0</v>
      </c>
      <c r="M293" s="653">
        <f t="shared" si="67"/>
        <v>0</v>
      </c>
      <c r="O293" s="343"/>
      <c r="Q293" s="50"/>
      <c r="R293" s="50"/>
      <c r="S293" s="50"/>
      <c r="T293" s="50"/>
      <c r="U293" s="50"/>
      <c r="V293" s="50"/>
      <c r="W293" s="50"/>
      <c r="X293" s="50"/>
      <c r="Y293" s="50"/>
      <c r="Z293" s="50"/>
      <c r="AA293" s="50"/>
      <c r="AB293" s="50"/>
      <c r="AC293" s="50"/>
      <c r="AD293" s="50"/>
      <c r="AE293" s="50"/>
    </row>
    <row r="294" spans="1:31" outlineLevel="1" x14ac:dyDescent="0.25">
      <c r="A294" s="480">
        <f>ROW()</f>
        <v>294</v>
      </c>
      <c r="B294" s="164">
        <f t="shared" si="68"/>
        <v>0</v>
      </c>
      <c r="C294" s="138">
        <f t="shared" ref="C294:C296" si="69">SUM(G294:M294)</f>
        <v>0</v>
      </c>
      <c r="D294" s="51"/>
      <c r="E294" s="51"/>
      <c r="F294" s="51"/>
      <c r="G294" s="653">
        <f t="shared" ref="G294:G296" si="70">G131*$D131</f>
        <v>0</v>
      </c>
      <c r="H294" s="653">
        <f t="shared" ref="H294:M294" si="71">(H131*$D131)</f>
        <v>0</v>
      </c>
      <c r="I294" s="653">
        <f t="shared" si="71"/>
        <v>0</v>
      </c>
      <c r="J294" s="653">
        <f t="shared" si="71"/>
        <v>0</v>
      </c>
      <c r="K294" s="653">
        <f t="shared" si="71"/>
        <v>0</v>
      </c>
      <c r="L294" s="653">
        <f t="shared" si="71"/>
        <v>0</v>
      </c>
      <c r="M294" s="653">
        <f t="shared" si="71"/>
        <v>0</v>
      </c>
      <c r="O294" s="343"/>
      <c r="Q294" s="50"/>
      <c r="R294" s="50"/>
      <c r="S294" s="50"/>
      <c r="T294" s="50"/>
      <c r="U294" s="50"/>
      <c r="V294" s="50"/>
      <c r="W294" s="50"/>
      <c r="X294" s="50"/>
      <c r="Y294" s="50"/>
      <c r="Z294" s="50"/>
      <c r="AA294" s="50"/>
      <c r="AB294" s="50"/>
      <c r="AC294" s="50"/>
      <c r="AD294" s="50"/>
      <c r="AE294" s="50"/>
    </row>
    <row r="295" spans="1:31" outlineLevel="1" x14ac:dyDescent="0.25">
      <c r="A295" s="480">
        <f>ROW()</f>
        <v>295</v>
      </c>
      <c r="B295" s="164">
        <f t="shared" si="68"/>
        <v>0</v>
      </c>
      <c r="C295" s="138">
        <f t="shared" si="69"/>
        <v>0</v>
      </c>
      <c r="D295" s="51"/>
      <c r="E295" s="51"/>
      <c r="F295" s="51"/>
      <c r="G295" s="653">
        <f t="shared" si="70"/>
        <v>0</v>
      </c>
      <c r="H295" s="653">
        <f t="shared" ref="H295:M295" si="72">(H132*$D132)</f>
        <v>0</v>
      </c>
      <c r="I295" s="653">
        <f t="shared" si="72"/>
        <v>0</v>
      </c>
      <c r="J295" s="653">
        <f t="shared" si="72"/>
        <v>0</v>
      </c>
      <c r="K295" s="653">
        <f t="shared" si="72"/>
        <v>0</v>
      </c>
      <c r="L295" s="653">
        <f t="shared" si="72"/>
        <v>0</v>
      </c>
      <c r="M295" s="653">
        <f t="shared" si="72"/>
        <v>0</v>
      </c>
      <c r="O295" s="343"/>
      <c r="Q295" s="50"/>
      <c r="R295" s="50"/>
      <c r="S295" s="50"/>
      <c r="T295" s="50"/>
      <c r="U295" s="50"/>
      <c r="V295" s="50"/>
      <c r="W295" s="50"/>
      <c r="X295" s="50"/>
      <c r="Y295" s="50"/>
      <c r="Z295" s="50"/>
      <c r="AA295" s="50"/>
      <c r="AB295" s="50"/>
      <c r="AC295" s="50"/>
      <c r="AD295" s="50"/>
      <c r="AE295" s="50"/>
    </row>
    <row r="296" spans="1:31" outlineLevel="1" x14ac:dyDescent="0.25">
      <c r="A296" s="480">
        <f>ROW()</f>
        <v>296</v>
      </c>
      <c r="B296" s="164">
        <f t="shared" si="68"/>
        <v>0</v>
      </c>
      <c r="C296" s="138">
        <f t="shared" si="69"/>
        <v>0</v>
      </c>
      <c r="D296" s="51"/>
      <c r="E296" s="51"/>
      <c r="F296" s="51"/>
      <c r="G296" s="653">
        <f t="shared" si="70"/>
        <v>0</v>
      </c>
      <c r="H296" s="653">
        <f t="shared" ref="H296:M296" si="73">(H133*$D133)</f>
        <v>0</v>
      </c>
      <c r="I296" s="653">
        <f t="shared" si="73"/>
        <v>0</v>
      </c>
      <c r="J296" s="653">
        <f t="shared" si="73"/>
        <v>0</v>
      </c>
      <c r="K296" s="653">
        <f t="shared" si="73"/>
        <v>0</v>
      </c>
      <c r="L296" s="653">
        <f t="shared" si="73"/>
        <v>0</v>
      </c>
      <c r="M296" s="653">
        <f t="shared" si="73"/>
        <v>0</v>
      </c>
      <c r="O296" s="343"/>
      <c r="Q296" s="50"/>
      <c r="R296" s="50"/>
      <c r="S296" s="50"/>
      <c r="T296" s="50"/>
      <c r="U296" s="50"/>
      <c r="V296" s="50"/>
      <c r="W296" s="50"/>
      <c r="X296" s="50"/>
      <c r="Y296" s="50"/>
      <c r="Z296" s="50"/>
      <c r="AA296" s="50"/>
      <c r="AB296" s="50"/>
      <c r="AC296" s="50"/>
      <c r="AD296" s="50"/>
      <c r="AE296" s="50"/>
    </row>
    <row r="297" spans="1:31" outlineLevel="1" x14ac:dyDescent="0.25">
      <c r="A297" s="480">
        <f>ROW()</f>
        <v>297</v>
      </c>
      <c r="B297" s="977" t="str">
        <f>$B134</f>
        <v>Total Guidance Counselors/Other</v>
      </c>
      <c r="C297" s="974">
        <f t="shared" si="65"/>
        <v>6515070.5200000005</v>
      </c>
      <c r="D297" s="975"/>
      <c r="E297" s="975"/>
      <c r="F297" s="975"/>
      <c r="G297" s="976">
        <f t="shared" ref="G297:H297" si="74">SUM(G286:G296)</f>
        <v>930724.36</v>
      </c>
      <c r="H297" s="976">
        <f t="shared" si="74"/>
        <v>930724.36</v>
      </c>
      <c r="I297" s="976">
        <f t="shared" ref="I297:M297" si="75">SUM(I286:I296)</f>
        <v>930724.36</v>
      </c>
      <c r="J297" s="976">
        <f t="shared" si="75"/>
        <v>930724.36</v>
      </c>
      <c r="K297" s="976">
        <f t="shared" si="75"/>
        <v>930724.36</v>
      </c>
      <c r="L297" s="976">
        <f t="shared" si="75"/>
        <v>930724.36</v>
      </c>
      <c r="M297" s="976">
        <f t="shared" si="75"/>
        <v>930724.36</v>
      </c>
      <c r="O297" s="343"/>
      <c r="Q297" s="50"/>
      <c r="R297" s="50"/>
      <c r="S297" s="50"/>
      <c r="T297" s="50"/>
      <c r="U297" s="50"/>
      <c r="V297" s="50"/>
      <c r="W297" s="50"/>
      <c r="X297" s="50"/>
      <c r="Y297" s="50"/>
      <c r="Z297" s="50"/>
      <c r="AA297" s="50"/>
      <c r="AB297" s="50"/>
      <c r="AC297" s="50"/>
      <c r="AD297" s="50"/>
      <c r="AE297" s="50"/>
    </row>
    <row r="298" spans="1:31" outlineLevel="1" x14ac:dyDescent="0.25">
      <c r="A298" s="480">
        <f>ROW()</f>
        <v>298</v>
      </c>
      <c r="C298" s="51"/>
      <c r="D298" s="51"/>
      <c r="E298" s="51"/>
      <c r="F298" s="51"/>
      <c r="G298" s="138"/>
      <c r="H298" s="138"/>
      <c r="I298" s="138"/>
      <c r="J298" s="138"/>
      <c r="K298" s="138"/>
      <c r="L298" s="138"/>
      <c r="M298" s="138"/>
      <c r="O298" s="343"/>
      <c r="Q298" s="50"/>
      <c r="R298" s="50"/>
      <c r="S298" s="50"/>
      <c r="T298" s="50"/>
      <c r="U298" s="50"/>
      <c r="V298" s="50"/>
      <c r="W298" s="50"/>
      <c r="X298" s="50"/>
      <c r="Y298" s="50"/>
      <c r="Z298" s="50"/>
      <c r="AA298" s="50"/>
      <c r="AB298" s="50"/>
      <c r="AC298" s="50"/>
      <c r="AD298" s="50"/>
      <c r="AE298" s="50"/>
    </row>
    <row r="299" spans="1:31" outlineLevel="1" x14ac:dyDescent="0.25">
      <c r="A299" s="480">
        <f>ROW()</f>
        <v>299</v>
      </c>
      <c r="B299" s="178" t="str">
        <f>$B143</f>
        <v>K-5 Teachers</v>
      </c>
      <c r="C299" s="111">
        <f t="shared" ref="C299:C330" si="76">SUM(G299:M299)</f>
        <v>8643460</v>
      </c>
      <c r="D299" s="111"/>
      <c r="E299" s="111"/>
      <c r="F299" s="111"/>
      <c r="G299" s="653">
        <f>G143*$E143</f>
        <v>1234780</v>
      </c>
      <c r="H299" s="653">
        <f t="shared" ref="H299:M301" si="77">(H143*$E143)</f>
        <v>1234780</v>
      </c>
      <c r="I299" s="653">
        <f t="shared" si="77"/>
        <v>1234780</v>
      </c>
      <c r="J299" s="653">
        <f t="shared" si="77"/>
        <v>1234780</v>
      </c>
      <c r="K299" s="653">
        <f t="shared" si="77"/>
        <v>1234780</v>
      </c>
      <c r="L299" s="653">
        <f t="shared" si="77"/>
        <v>1234780</v>
      </c>
      <c r="M299" s="653">
        <f t="shared" si="77"/>
        <v>1234780</v>
      </c>
      <c r="N299" s="109"/>
      <c r="O299" s="343"/>
      <c r="Q299" s="50"/>
      <c r="R299" s="50"/>
      <c r="S299" s="50"/>
      <c r="T299" s="50"/>
      <c r="U299" s="50"/>
      <c r="V299" s="50"/>
      <c r="W299" s="50"/>
      <c r="X299" s="50"/>
      <c r="Y299" s="50"/>
      <c r="Z299" s="50"/>
      <c r="AA299" s="50"/>
      <c r="AB299" s="50"/>
      <c r="AC299" s="50"/>
      <c r="AD299" s="50"/>
      <c r="AE299" s="50"/>
    </row>
    <row r="300" spans="1:31" outlineLevel="1" x14ac:dyDescent="0.25">
      <c r="A300" s="480">
        <f>ROW()</f>
        <v>300</v>
      </c>
      <c r="B300" s="178" t="str">
        <f>$B144</f>
        <v>Grade Level Teacher</v>
      </c>
      <c r="C300" s="111">
        <f t="shared" si="76"/>
        <v>0</v>
      </c>
      <c r="D300" s="111"/>
      <c r="E300" s="111"/>
      <c r="F300" s="111"/>
      <c r="G300" s="653">
        <f>G144*$E144</f>
        <v>0</v>
      </c>
      <c r="H300" s="653">
        <f t="shared" si="77"/>
        <v>0</v>
      </c>
      <c r="I300" s="653">
        <f t="shared" si="77"/>
        <v>0</v>
      </c>
      <c r="J300" s="653">
        <f t="shared" si="77"/>
        <v>0</v>
      </c>
      <c r="K300" s="653">
        <f t="shared" si="77"/>
        <v>0</v>
      </c>
      <c r="L300" s="653">
        <f t="shared" si="77"/>
        <v>0</v>
      </c>
      <c r="M300" s="653">
        <f t="shared" si="77"/>
        <v>0</v>
      </c>
      <c r="N300" s="109"/>
      <c r="O300" s="343"/>
      <c r="Q300" s="50"/>
      <c r="R300" s="50"/>
      <c r="S300" s="50"/>
      <c r="T300" s="50"/>
      <c r="U300" s="50"/>
      <c r="V300" s="50"/>
      <c r="W300" s="50"/>
      <c r="X300" s="50"/>
      <c r="Y300" s="50"/>
      <c r="Z300" s="50"/>
      <c r="AA300" s="50"/>
      <c r="AB300" s="50"/>
      <c r="AC300" s="50"/>
      <c r="AD300" s="50"/>
      <c r="AE300" s="50"/>
    </row>
    <row r="301" spans="1:31" outlineLevel="1" x14ac:dyDescent="0.25">
      <c r="A301" s="480">
        <f>ROW()</f>
        <v>301</v>
      </c>
      <c r="B301" s="178" t="str">
        <f>$B145</f>
        <v>Grade Level Teacher</v>
      </c>
      <c r="C301" s="111">
        <f t="shared" si="76"/>
        <v>0</v>
      </c>
      <c r="D301" s="111"/>
      <c r="E301" s="111"/>
      <c r="F301" s="111"/>
      <c r="G301" s="653">
        <f>G145*$E145</f>
        <v>0</v>
      </c>
      <c r="H301" s="653">
        <f t="shared" si="77"/>
        <v>0</v>
      </c>
      <c r="I301" s="653">
        <f t="shared" si="77"/>
        <v>0</v>
      </c>
      <c r="J301" s="653">
        <f t="shared" si="77"/>
        <v>0</v>
      </c>
      <c r="K301" s="653">
        <f t="shared" si="77"/>
        <v>0</v>
      </c>
      <c r="L301" s="653">
        <f t="shared" si="77"/>
        <v>0</v>
      </c>
      <c r="M301" s="653">
        <f t="shared" si="77"/>
        <v>0</v>
      </c>
      <c r="N301" s="109"/>
      <c r="O301" s="343"/>
      <c r="Q301" s="50"/>
      <c r="R301" s="50"/>
      <c r="S301" s="50"/>
      <c r="T301" s="50"/>
      <c r="U301" s="50"/>
      <c r="V301" s="50"/>
      <c r="W301" s="50"/>
      <c r="X301" s="50"/>
      <c r="Y301" s="50"/>
      <c r="Z301" s="50"/>
      <c r="AA301" s="50"/>
      <c r="AB301" s="50"/>
      <c r="AC301" s="50"/>
      <c r="AD301" s="50"/>
      <c r="AE301" s="50"/>
    </row>
    <row r="302" spans="1:31" outlineLevel="1" x14ac:dyDescent="0.25">
      <c r="A302" s="480">
        <f>ROW()</f>
        <v>302</v>
      </c>
      <c r="B302" s="178"/>
      <c r="C302" s="111">
        <f t="shared" si="76"/>
        <v>0</v>
      </c>
      <c r="D302" s="111"/>
      <c r="E302" s="111"/>
      <c r="F302" s="111"/>
      <c r="G302" s="653"/>
      <c r="H302" s="653"/>
      <c r="I302" s="653"/>
      <c r="J302" s="653"/>
      <c r="K302" s="653"/>
      <c r="L302" s="653"/>
      <c r="M302" s="653"/>
      <c r="N302" s="109"/>
      <c r="O302" s="343"/>
      <c r="Q302" s="50"/>
      <c r="R302" s="50"/>
      <c r="S302" s="50"/>
      <c r="T302" s="50"/>
      <c r="U302" s="50"/>
      <c r="V302" s="50"/>
      <c r="W302" s="50"/>
      <c r="X302" s="50"/>
      <c r="Y302" s="50"/>
      <c r="Z302" s="50"/>
      <c r="AA302" s="50"/>
      <c r="AB302" s="50"/>
      <c r="AC302" s="50"/>
      <c r="AD302" s="50"/>
      <c r="AE302" s="50"/>
    </row>
    <row r="303" spans="1:31" outlineLevel="1" x14ac:dyDescent="0.25">
      <c r="A303" s="480">
        <f>ROW()</f>
        <v>303</v>
      </c>
      <c r="B303" s="178" t="str">
        <f>$B147</f>
        <v>MS English</v>
      </c>
      <c r="C303" s="111">
        <f t="shared" si="76"/>
        <v>1091279</v>
      </c>
      <c r="D303" s="111"/>
      <c r="E303" s="111"/>
      <c r="F303" s="111"/>
      <c r="G303" s="653">
        <f>G147*$E147</f>
        <v>155897</v>
      </c>
      <c r="H303" s="653">
        <f t="shared" ref="H303:M307" si="78">(H147*$E147)</f>
        <v>155897</v>
      </c>
      <c r="I303" s="653">
        <f t="shared" si="78"/>
        <v>155897</v>
      </c>
      <c r="J303" s="653">
        <f t="shared" si="78"/>
        <v>155897</v>
      </c>
      <c r="K303" s="653">
        <f t="shared" si="78"/>
        <v>155897</v>
      </c>
      <c r="L303" s="653">
        <f t="shared" si="78"/>
        <v>155897</v>
      </c>
      <c r="M303" s="653">
        <f t="shared" si="78"/>
        <v>155897</v>
      </c>
      <c r="N303" s="109"/>
      <c r="O303" s="343"/>
      <c r="Q303" s="50"/>
      <c r="R303" s="50"/>
      <c r="S303" s="50"/>
      <c r="T303" s="50"/>
      <c r="U303" s="50"/>
      <c r="V303" s="50"/>
      <c r="W303" s="50"/>
      <c r="X303" s="50"/>
      <c r="Y303" s="50"/>
      <c r="Z303" s="50"/>
      <c r="AA303" s="50"/>
      <c r="AB303" s="50"/>
      <c r="AC303" s="50"/>
      <c r="AD303" s="50"/>
      <c r="AE303" s="50"/>
    </row>
    <row r="304" spans="1:31" outlineLevel="1" x14ac:dyDescent="0.25">
      <c r="A304" s="480">
        <f>ROW()</f>
        <v>304</v>
      </c>
      <c r="B304" s="178" t="str">
        <f>$B148</f>
        <v>MS History</v>
      </c>
      <c r="C304" s="111">
        <f t="shared" si="76"/>
        <v>1030344</v>
      </c>
      <c r="D304" s="111"/>
      <c r="E304" s="111"/>
      <c r="F304" s="111"/>
      <c r="G304" s="653">
        <f>G148*$E148</f>
        <v>147192</v>
      </c>
      <c r="H304" s="653">
        <f t="shared" si="78"/>
        <v>147192</v>
      </c>
      <c r="I304" s="653">
        <f t="shared" si="78"/>
        <v>147192</v>
      </c>
      <c r="J304" s="653">
        <f t="shared" si="78"/>
        <v>147192</v>
      </c>
      <c r="K304" s="653">
        <f t="shared" si="78"/>
        <v>147192</v>
      </c>
      <c r="L304" s="653">
        <f t="shared" si="78"/>
        <v>147192</v>
      </c>
      <c r="M304" s="653">
        <f t="shared" si="78"/>
        <v>147192</v>
      </c>
      <c r="N304" s="109"/>
      <c r="O304" s="343"/>
      <c r="Q304" s="50"/>
      <c r="R304" s="50"/>
      <c r="S304" s="50"/>
      <c r="T304" s="50"/>
      <c r="U304" s="50"/>
      <c r="V304" s="50"/>
      <c r="W304" s="50"/>
      <c r="X304" s="50"/>
      <c r="Y304" s="50"/>
      <c r="Z304" s="50"/>
      <c r="AA304" s="50"/>
      <c r="AB304" s="50"/>
      <c r="AC304" s="50"/>
      <c r="AD304" s="50"/>
      <c r="AE304" s="50"/>
    </row>
    <row r="305" spans="1:31" outlineLevel="1" x14ac:dyDescent="0.25">
      <c r="A305" s="480">
        <f>ROW()</f>
        <v>305</v>
      </c>
      <c r="B305" s="178" t="str">
        <f>$B149</f>
        <v>MS Math</v>
      </c>
      <c r="C305" s="111">
        <f t="shared" si="76"/>
        <v>2901451</v>
      </c>
      <c r="D305" s="111"/>
      <c r="E305" s="111"/>
      <c r="F305" s="111"/>
      <c r="G305" s="653">
        <f>G149*$E149</f>
        <v>414493</v>
      </c>
      <c r="H305" s="653">
        <f t="shared" si="78"/>
        <v>414493</v>
      </c>
      <c r="I305" s="653">
        <f t="shared" si="78"/>
        <v>414493</v>
      </c>
      <c r="J305" s="653">
        <f t="shared" si="78"/>
        <v>414493</v>
      </c>
      <c r="K305" s="653">
        <f t="shared" si="78"/>
        <v>414493</v>
      </c>
      <c r="L305" s="653">
        <f t="shared" si="78"/>
        <v>414493</v>
      </c>
      <c r="M305" s="653">
        <f t="shared" si="78"/>
        <v>414493</v>
      </c>
      <c r="N305" s="109"/>
      <c r="O305" s="343"/>
      <c r="Q305" s="50"/>
      <c r="R305" s="50"/>
      <c r="S305" s="50"/>
      <c r="T305" s="50"/>
      <c r="U305" s="50"/>
      <c r="V305" s="50"/>
      <c r="W305" s="50"/>
      <c r="X305" s="50"/>
      <c r="Y305" s="50"/>
      <c r="Z305" s="50"/>
      <c r="AA305" s="50"/>
      <c r="AB305" s="50"/>
      <c r="AC305" s="50"/>
      <c r="AD305" s="50"/>
      <c r="AE305" s="50"/>
    </row>
    <row r="306" spans="1:31" outlineLevel="1" x14ac:dyDescent="0.25">
      <c r="A306" s="480">
        <f>ROW()</f>
        <v>306</v>
      </c>
      <c r="B306" s="178" t="str">
        <f>$B150</f>
        <v>Elective</v>
      </c>
      <c r="C306" s="111">
        <f t="shared" si="76"/>
        <v>572715.56999999995</v>
      </c>
      <c r="D306" s="111"/>
      <c r="E306" s="111"/>
      <c r="F306" s="111"/>
      <c r="G306" s="653">
        <f>G150*$E150</f>
        <v>81816.509999999995</v>
      </c>
      <c r="H306" s="653">
        <f t="shared" si="78"/>
        <v>81816.509999999995</v>
      </c>
      <c r="I306" s="653">
        <f t="shared" si="78"/>
        <v>81816.509999999995</v>
      </c>
      <c r="J306" s="653">
        <f t="shared" si="78"/>
        <v>81816.509999999995</v>
      </c>
      <c r="K306" s="653">
        <f t="shared" si="78"/>
        <v>81816.509999999995</v>
      </c>
      <c r="L306" s="653">
        <f t="shared" si="78"/>
        <v>81816.509999999995</v>
      </c>
      <c r="M306" s="653">
        <f t="shared" si="78"/>
        <v>81816.509999999995</v>
      </c>
      <c r="N306" s="109"/>
      <c r="O306" s="343"/>
      <c r="Q306" s="50"/>
      <c r="R306" s="50"/>
      <c r="S306" s="50"/>
      <c r="T306" s="50"/>
      <c r="U306" s="50"/>
      <c r="V306" s="50"/>
      <c r="W306" s="50"/>
      <c r="X306" s="50"/>
      <c r="Y306" s="50"/>
      <c r="Z306" s="50"/>
      <c r="AA306" s="50"/>
      <c r="AB306" s="50"/>
      <c r="AC306" s="50"/>
      <c r="AD306" s="50"/>
      <c r="AE306" s="50"/>
    </row>
    <row r="307" spans="1:31" outlineLevel="1" x14ac:dyDescent="0.25">
      <c r="A307" s="480">
        <f>ROW()</f>
        <v>307</v>
      </c>
      <c r="B307" s="178" t="str">
        <f>$B151</f>
        <v>Reading</v>
      </c>
      <c r="C307" s="111">
        <f t="shared" si="76"/>
        <v>1322790</v>
      </c>
      <c r="D307" s="111"/>
      <c r="E307" s="111"/>
      <c r="F307" s="111"/>
      <c r="G307" s="653">
        <f>G151*$E151</f>
        <v>188970</v>
      </c>
      <c r="H307" s="653">
        <f t="shared" si="78"/>
        <v>188970</v>
      </c>
      <c r="I307" s="653">
        <f t="shared" si="78"/>
        <v>188970</v>
      </c>
      <c r="J307" s="653">
        <f t="shared" si="78"/>
        <v>188970</v>
      </c>
      <c r="K307" s="653">
        <f t="shared" si="78"/>
        <v>188970</v>
      </c>
      <c r="L307" s="653">
        <f t="shared" si="78"/>
        <v>188970</v>
      </c>
      <c r="M307" s="653">
        <f t="shared" si="78"/>
        <v>188970</v>
      </c>
      <c r="N307" s="109"/>
      <c r="O307" s="343"/>
      <c r="Q307" s="50"/>
      <c r="R307" s="50"/>
      <c r="S307" s="50"/>
      <c r="T307" s="50"/>
      <c r="U307" s="50"/>
      <c r="V307" s="50"/>
      <c r="W307" s="50"/>
      <c r="X307" s="50"/>
      <c r="Y307" s="50"/>
      <c r="Z307" s="50"/>
      <c r="AA307" s="50"/>
      <c r="AB307" s="50"/>
      <c r="AC307" s="50"/>
      <c r="AD307" s="50"/>
      <c r="AE307" s="50"/>
    </row>
    <row r="308" spans="1:31" outlineLevel="1" x14ac:dyDescent="0.25">
      <c r="A308" s="480">
        <f>ROW()</f>
        <v>308</v>
      </c>
      <c r="B308" s="178"/>
      <c r="C308" s="111">
        <f t="shared" si="76"/>
        <v>0</v>
      </c>
      <c r="D308" s="111"/>
      <c r="E308" s="111"/>
      <c r="F308" s="111"/>
      <c r="G308" s="653"/>
      <c r="H308" s="653"/>
      <c r="I308" s="653"/>
      <c r="J308" s="653"/>
      <c r="K308" s="653"/>
      <c r="L308" s="653"/>
      <c r="M308" s="653"/>
      <c r="N308" s="109"/>
      <c r="O308" s="343"/>
      <c r="Q308" s="50"/>
      <c r="R308" s="50"/>
      <c r="S308" s="50"/>
      <c r="T308" s="50"/>
      <c r="U308" s="50"/>
      <c r="V308" s="50"/>
      <c r="W308" s="50"/>
      <c r="X308" s="50"/>
      <c r="Y308" s="50"/>
      <c r="Z308" s="50"/>
      <c r="AA308" s="50"/>
      <c r="AB308" s="50"/>
      <c r="AC308" s="50"/>
      <c r="AD308" s="50"/>
      <c r="AE308" s="50"/>
    </row>
    <row r="309" spans="1:31" outlineLevel="1" x14ac:dyDescent="0.25">
      <c r="A309" s="480">
        <f>ROW()</f>
        <v>309</v>
      </c>
      <c r="B309" s="178" t="str">
        <f>$B153</f>
        <v>MS Science</v>
      </c>
      <c r="C309" s="111">
        <f t="shared" si="76"/>
        <v>2142588</v>
      </c>
      <c r="D309" s="111"/>
      <c r="E309" s="111"/>
      <c r="F309" s="111"/>
      <c r="G309" s="653">
        <f>G153*$E153</f>
        <v>306084</v>
      </c>
      <c r="H309" s="653">
        <f t="shared" ref="H309:M313" si="79">(H153*$E153)</f>
        <v>306084</v>
      </c>
      <c r="I309" s="653">
        <f t="shared" si="79"/>
        <v>306084</v>
      </c>
      <c r="J309" s="653">
        <f t="shared" si="79"/>
        <v>306084</v>
      </c>
      <c r="K309" s="653">
        <f t="shared" si="79"/>
        <v>306084</v>
      </c>
      <c r="L309" s="653">
        <f t="shared" si="79"/>
        <v>306084</v>
      </c>
      <c r="M309" s="653">
        <f t="shared" si="79"/>
        <v>306084</v>
      </c>
      <c r="N309" s="109"/>
      <c r="O309" s="343"/>
      <c r="Q309" s="50"/>
      <c r="R309" s="50"/>
      <c r="S309" s="50"/>
      <c r="T309" s="50"/>
      <c r="U309" s="50"/>
      <c r="V309" s="50"/>
      <c r="W309" s="50"/>
      <c r="X309" s="50"/>
      <c r="Y309" s="50"/>
      <c r="Z309" s="50"/>
      <c r="AA309" s="50"/>
      <c r="AB309" s="50"/>
      <c r="AC309" s="50"/>
      <c r="AD309" s="50"/>
      <c r="AE309" s="50"/>
    </row>
    <row r="310" spans="1:31" outlineLevel="1" x14ac:dyDescent="0.25">
      <c r="A310" s="480">
        <f>ROW()</f>
        <v>310</v>
      </c>
      <c r="B310" s="178" t="str">
        <f>$B154</f>
        <v>MS Spanish Teacher</v>
      </c>
      <c r="C310" s="111">
        <f t="shared" si="76"/>
        <v>478632</v>
      </c>
      <c r="D310" s="111"/>
      <c r="E310" s="111"/>
      <c r="F310" s="111"/>
      <c r="G310" s="653">
        <f>G154*$E154</f>
        <v>68376</v>
      </c>
      <c r="H310" s="653">
        <f t="shared" si="79"/>
        <v>68376</v>
      </c>
      <c r="I310" s="653">
        <f t="shared" si="79"/>
        <v>68376</v>
      </c>
      <c r="J310" s="653">
        <f t="shared" si="79"/>
        <v>68376</v>
      </c>
      <c r="K310" s="653">
        <f t="shared" si="79"/>
        <v>68376</v>
      </c>
      <c r="L310" s="653">
        <f t="shared" si="79"/>
        <v>68376</v>
      </c>
      <c r="M310" s="653">
        <f t="shared" si="79"/>
        <v>68376</v>
      </c>
      <c r="N310" s="109"/>
      <c r="O310" s="343"/>
      <c r="Q310" s="50"/>
      <c r="R310" s="50"/>
      <c r="S310" s="50"/>
      <c r="T310" s="50"/>
      <c r="U310" s="50"/>
      <c r="V310" s="50"/>
      <c r="W310" s="50"/>
      <c r="X310" s="50"/>
      <c r="Y310" s="50"/>
      <c r="Z310" s="50"/>
      <c r="AA310" s="50"/>
      <c r="AB310" s="50"/>
      <c r="AC310" s="50"/>
      <c r="AD310" s="50"/>
      <c r="AE310" s="50"/>
    </row>
    <row r="311" spans="1:31" outlineLevel="1" x14ac:dyDescent="0.25">
      <c r="A311" s="480">
        <f>ROW()</f>
        <v>311</v>
      </c>
      <c r="B311" s="178" t="str">
        <f>$B155</f>
        <v>HS English</v>
      </c>
      <c r="C311" s="111">
        <f t="shared" si="76"/>
        <v>3359125</v>
      </c>
      <c r="D311" s="111"/>
      <c r="E311" s="111"/>
      <c r="F311" s="111"/>
      <c r="G311" s="653">
        <f>G155*$E155</f>
        <v>479875</v>
      </c>
      <c r="H311" s="653">
        <f t="shared" si="79"/>
        <v>479875</v>
      </c>
      <c r="I311" s="653">
        <f t="shared" si="79"/>
        <v>479875</v>
      </c>
      <c r="J311" s="653">
        <f t="shared" si="79"/>
        <v>479875</v>
      </c>
      <c r="K311" s="653">
        <f t="shared" si="79"/>
        <v>479875</v>
      </c>
      <c r="L311" s="653">
        <f t="shared" si="79"/>
        <v>479875</v>
      </c>
      <c r="M311" s="653">
        <f t="shared" si="79"/>
        <v>479875</v>
      </c>
      <c r="N311" s="109"/>
      <c r="O311" s="343"/>
      <c r="Q311" s="50"/>
      <c r="R311" s="50"/>
      <c r="S311" s="50"/>
      <c r="T311" s="50"/>
      <c r="U311" s="50"/>
      <c r="V311" s="50"/>
      <c r="W311" s="50"/>
      <c r="X311" s="50"/>
      <c r="Y311" s="50"/>
      <c r="Z311" s="50"/>
      <c r="AA311" s="50"/>
      <c r="AB311" s="50"/>
      <c r="AC311" s="50"/>
      <c r="AD311" s="50"/>
      <c r="AE311" s="50"/>
    </row>
    <row r="312" spans="1:31" outlineLevel="1" x14ac:dyDescent="0.25">
      <c r="A312" s="480">
        <f>ROW()</f>
        <v>312</v>
      </c>
      <c r="B312" s="178" t="str">
        <f>$B156</f>
        <v>HS CTE - Graphic Design, Web Design, Animation</v>
      </c>
      <c r="C312" s="111">
        <f t="shared" si="76"/>
        <v>588273</v>
      </c>
      <c r="D312" s="111"/>
      <c r="E312" s="111"/>
      <c r="F312" s="111"/>
      <c r="G312" s="653">
        <f>G156*$E156</f>
        <v>84039</v>
      </c>
      <c r="H312" s="653">
        <f t="shared" si="79"/>
        <v>84039</v>
      </c>
      <c r="I312" s="653">
        <f t="shared" si="79"/>
        <v>84039</v>
      </c>
      <c r="J312" s="653">
        <f t="shared" si="79"/>
        <v>84039</v>
      </c>
      <c r="K312" s="653">
        <f t="shared" si="79"/>
        <v>84039</v>
      </c>
      <c r="L312" s="653">
        <f t="shared" si="79"/>
        <v>84039</v>
      </c>
      <c r="M312" s="653">
        <f t="shared" si="79"/>
        <v>84039</v>
      </c>
      <c r="N312" s="109"/>
      <c r="O312" s="343"/>
      <c r="Q312" s="50"/>
      <c r="R312" s="50"/>
      <c r="S312" s="50"/>
      <c r="T312" s="50"/>
      <c r="U312" s="50"/>
      <c r="V312" s="50"/>
      <c r="W312" s="50"/>
      <c r="X312" s="50"/>
      <c r="Y312" s="50"/>
      <c r="Z312" s="50"/>
      <c r="AA312" s="50"/>
      <c r="AB312" s="50"/>
      <c r="AC312" s="50"/>
      <c r="AD312" s="50"/>
      <c r="AE312" s="50"/>
    </row>
    <row r="313" spans="1:31" outlineLevel="1" x14ac:dyDescent="0.25">
      <c r="A313" s="480">
        <f>ROW()</f>
        <v>313</v>
      </c>
      <c r="B313" s="178" t="str">
        <f>$B157</f>
        <v>HS Math</v>
      </c>
      <c r="C313" s="111">
        <f t="shared" si="76"/>
        <v>3493140</v>
      </c>
      <c r="D313" s="111"/>
      <c r="E313" s="111"/>
      <c r="F313" s="111"/>
      <c r="G313" s="653">
        <f>G157*$E157</f>
        <v>499020</v>
      </c>
      <c r="H313" s="653">
        <f t="shared" si="79"/>
        <v>499020</v>
      </c>
      <c r="I313" s="653">
        <f t="shared" si="79"/>
        <v>499020</v>
      </c>
      <c r="J313" s="653">
        <f t="shared" si="79"/>
        <v>499020</v>
      </c>
      <c r="K313" s="653">
        <f t="shared" si="79"/>
        <v>499020</v>
      </c>
      <c r="L313" s="653">
        <f t="shared" si="79"/>
        <v>499020</v>
      </c>
      <c r="M313" s="653">
        <f t="shared" si="79"/>
        <v>499020</v>
      </c>
      <c r="N313" s="109"/>
      <c r="O313" s="343"/>
      <c r="Q313" s="50"/>
      <c r="R313" s="50"/>
      <c r="S313" s="50"/>
      <c r="T313" s="50"/>
      <c r="U313" s="50"/>
      <c r="V313" s="50"/>
      <c r="W313" s="50"/>
      <c r="X313" s="50"/>
      <c r="Y313" s="50"/>
      <c r="Z313" s="50"/>
      <c r="AA313" s="50"/>
      <c r="AB313" s="50"/>
      <c r="AC313" s="50"/>
      <c r="AD313" s="50"/>
      <c r="AE313" s="50"/>
    </row>
    <row r="314" spans="1:31" outlineLevel="1" x14ac:dyDescent="0.25">
      <c r="A314" s="480">
        <f>ROW()</f>
        <v>314</v>
      </c>
      <c r="B314" s="178"/>
      <c r="C314" s="111">
        <f t="shared" si="76"/>
        <v>0</v>
      </c>
      <c r="D314" s="111"/>
      <c r="E314" s="111"/>
      <c r="F314" s="111"/>
      <c r="G314" s="653"/>
      <c r="H314" s="653"/>
      <c r="I314" s="653"/>
      <c r="J314" s="653"/>
      <c r="K314" s="653"/>
      <c r="L314" s="653"/>
      <c r="M314" s="653"/>
      <c r="N314" s="109"/>
      <c r="O314" s="343"/>
      <c r="Q314" s="50"/>
      <c r="R314" s="50"/>
      <c r="S314" s="50"/>
      <c r="T314" s="50"/>
      <c r="U314" s="50"/>
      <c r="V314" s="50"/>
      <c r="W314" s="50"/>
      <c r="X314" s="50"/>
      <c r="Y314" s="50"/>
      <c r="Z314" s="50"/>
      <c r="AA314" s="50"/>
      <c r="AB314" s="50"/>
      <c r="AC314" s="50"/>
      <c r="AD314" s="50"/>
      <c r="AE314" s="50"/>
    </row>
    <row r="315" spans="1:31" outlineLevel="1" x14ac:dyDescent="0.25">
      <c r="A315" s="480">
        <f>ROW()</f>
        <v>315</v>
      </c>
      <c r="B315" s="178" t="str">
        <f>$B159</f>
        <v>HS Physical Ed/Drivers Ed</v>
      </c>
      <c r="C315" s="111">
        <f t="shared" si="76"/>
        <v>1481193</v>
      </c>
      <c r="D315" s="111"/>
      <c r="E315" s="111"/>
      <c r="F315" s="111"/>
      <c r="G315" s="653">
        <f>G159*$E159</f>
        <v>211599</v>
      </c>
      <c r="H315" s="653">
        <f t="shared" ref="H315:M319" si="80">(H159*$E159)</f>
        <v>211599</v>
      </c>
      <c r="I315" s="653">
        <f t="shared" si="80"/>
        <v>211599</v>
      </c>
      <c r="J315" s="653">
        <f t="shared" si="80"/>
        <v>211599</v>
      </c>
      <c r="K315" s="653">
        <f t="shared" si="80"/>
        <v>211599</v>
      </c>
      <c r="L315" s="653">
        <f t="shared" si="80"/>
        <v>211599</v>
      </c>
      <c r="M315" s="653">
        <f t="shared" si="80"/>
        <v>211599</v>
      </c>
      <c r="N315" s="109"/>
      <c r="O315" s="343"/>
      <c r="Q315" s="50"/>
      <c r="R315" s="50"/>
      <c r="S315" s="50"/>
      <c r="T315" s="50"/>
      <c r="U315" s="50"/>
      <c r="V315" s="50"/>
      <c r="W315" s="50"/>
      <c r="X315" s="50"/>
      <c r="Y315" s="50"/>
      <c r="Z315" s="50"/>
      <c r="AA315" s="50"/>
      <c r="AB315" s="50"/>
      <c r="AC315" s="50"/>
      <c r="AD315" s="50"/>
      <c r="AE315" s="50"/>
    </row>
    <row r="316" spans="1:31" outlineLevel="1" x14ac:dyDescent="0.25">
      <c r="A316" s="480">
        <f>ROW()</f>
        <v>316</v>
      </c>
      <c r="B316" s="178" t="str">
        <f>$B160</f>
        <v>HS Science</v>
      </c>
      <c r="C316" s="111">
        <f t="shared" si="76"/>
        <v>3343522</v>
      </c>
      <c r="D316" s="111"/>
      <c r="E316" s="111"/>
      <c r="F316" s="111"/>
      <c r="G316" s="653">
        <f>G160*$E160</f>
        <v>477646</v>
      </c>
      <c r="H316" s="653">
        <f t="shared" si="80"/>
        <v>477646</v>
      </c>
      <c r="I316" s="653">
        <f t="shared" si="80"/>
        <v>477646</v>
      </c>
      <c r="J316" s="653">
        <f t="shared" si="80"/>
        <v>477646</v>
      </c>
      <c r="K316" s="653">
        <f t="shared" si="80"/>
        <v>477646</v>
      </c>
      <c r="L316" s="653">
        <f t="shared" si="80"/>
        <v>477646</v>
      </c>
      <c r="M316" s="653">
        <f t="shared" si="80"/>
        <v>477646</v>
      </c>
      <c r="N316" s="109"/>
      <c r="O316" s="343"/>
      <c r="Q316" s="50"/>
      <c r="R316" s="50"/>
      <c r="S316" s="50"/>
      <c r="T316" s="50"/>
      <c r="U316" s="50"/>
      <c r="V316" s="50"/>
      <c r="W316" s="50"/>
      <c r="X316" s="50"/>
      <c r="Y316" s="50"/>
      <c r="Z316" s="50"/>
      <c r="AA316" s="50"/>
      <c r="AB316" s="50"/>
      <c r="AC316" s="50"/>
      <c r="AD316" s="50"/>
      <c r="AE316" s="50"/>
    </row>
    <row r="317" spans="1:31" outlineLevel="1" x14ac:dyDescent="0.25">
      <c r="A317" s="480">
        <f>ROW()</f>
        <v>317</v>
      </c>
      <c r="B317" s="178" t="str">
        <f>$B161</f>
        <v>HS Social Studies</v>
      </c>
      <c r="C317" s="111">
        <f t="shared" si="76"/>
        <v>1176581</v>
      </c>
      <c r="D317" s="111"/>
      <c r="E317" s="111"/>
      <c r="F317" s="111"/>
      <c r="G317" s="653">
        <f>G161*$E161</f>
        <v>168083</v>
      </c>
      <c r="H317" s="653">
        <f t="shared" si="80"/>
        <v>168083</v>
      </c>
      <c r="I317" s="653">
        <f t="shared" si="80"/>
        <v>168083</v>
      </c>
      <c r="J317" s="653">
        <f t="shared" si="80"/>
        <v>168083</v>
      </c>
      <c r="K317" s="653">
        <f t="shared" si="80"/>
        <v>168083</v>
      </c>
      <c r="L317" s="653">
        <f t="shared" si="80"/>
        <v>168083</v>
      </c>
      <c r="M317" s="653">
        <f t="shared" si="80"/>
        <v>168083</v>
      </c>
      <c r="N317" s="109"/>
      <c r="O317" s="343"/>
      <c r="Q317" s="50"/>
      <c r="R317" s="50"/>
      <c r="S317" s="50"/>
      <c r="T317" s="50"/>
      <c r="U317" s="50"/>
      <c r="V317" s="50"/>
      <c r="W317" s="50"/>
      <c r="X317" s="50"/>
      <c r="Y317" s="50"/>
      <c r="Z317" s="50"/>
      <c r="AA317" s="50"/>
      <c r="AB317" s="50"/>
      <c r="AC317" s="50"/>
      <c r="AD317" s="50"/>
      <c r="AE317" s="50"/>
    </row>
    <row r="318" spans="1:31" outlineLevel="1" x14ac:dyDescent="0.25">
      <c r="A318" s="480">
        <f>ROW()</f>
        <v>318</v>
      </c>
      <c r="B318" s="178" t="str">
        <f>$B162</f>
        <v>HS History</v>
      </c>
      <c r="C318" s="111">
        <f t="shared" si="76"/>
        <v>819798</v>
      </c>
      <c r="D318" s="111"/>
      <c r="E318" s="111"/>
      <c r="F318" s="111"/>
      <c r="G318" s="653">
        <f>G162*$E162</f>
        <v>117114</v>
      </c>
      <c r="H318" s="653">
        <f t="shared" si="80"/>
        <v>117114</v>
      </c>
      <c r="I318" s="653">
        <f t="shared" si="80"/>
        <v>117114</v>
      </c>
      <c r="J318" s="653">
        <f t="shared" si="80"/>
        <v>117114</v>
      </c>
      <c r="K318" s="653">
        <f t="shared" si="80"/>
        <v>117114</v>
      </c>
      <c r="L318" s="653">
        <f t="shared" si="80"/>
        <v>117114</v>
      </c>
      <c r="M318" s="653">
        <f t="shared" si="80"/>
        <v>117114</v>
      </c>
      <c r="N318" s="109"/>
      <c r="O318" s="343"/>
      <c r="Q318" s="50"/>
      <c r="R318" s="50"/>
      <c r="S318" s="50"/>
      <c r="T318" s="50"/>
      <c r="U318" s="50"/>
      <c r="V318" s="50"/>
      <c r="W318" s="50"/>
      <c r="X318" s="50"/>
      <c r="Y318" s="50"/>
      <c r="Z318" s="50"/>
      <c r="AA318" s="50"/>
      <c r="AB318" s="50"/>
      <c r="AC318" s="50"/>
      <c r="AD318" s="50"/>
      <c r="AE318" s="50"/>
    </row>
    <row r="319" spans="1:31" outlineLevel="1" x14ac:dyDescent="0.25">
      <c r="A319" s="480">
        <f>ROW()</f>
        <v>319</v>
      </c>
      <c r="B319" s="178" t="str">
        <f>$B163</f>
        <v>HS Computer Sciences</v>
      </c>
      <c r="C319" s="111">
        <f t="shared" si="76"/>
        <v>454251</v>
      </c>
      <c r="D319" s="111"/>
      <c r="E319" s="111"/>
      <c r="F319" s="111"/>
      <c r="G319" s="653">
        <f>G163*$E163</f>
        <v>64893</v>
      </c>
      <c r="H319" s="653">
        <f t="shared" si="80"/>
        <v>64893</v>
      </c>
      <c r="I319" s="653">
        <f t="shared" si="80"/>
        <v>64893</v>
      </c>
      <c r="J319" s="653">
        <f t="shared" si="80"/>
        <v>64893</v>
      </c>
      <c r="K319" s="653">
        <f t="shared" si="80"/>
        <v>64893</v>
      </c>
      <c r="L319" s="653">
        <f t="shared" si="80"/>
        <v>64893</v>
      </c>
      <c r="M319" s="653">
        <f t="shared" si="80"/>
        <v>64893</v>
      </c>
      <c r="N319" s="109"/>
      <c r="O319" s="343"/>
      <c r="Q319" s="50"/>
      <c r="R319" s="50"/>
      <c r="S319" s="50"/>
      <c r="T319" s="50"/>
      <c r="U319" s="50"/>
      <c r="V319" s="50"/>
      <c r="W319" s="50"/>
      <c r="X319" s="50"/>
      <c r="Y319" s="50"/>
      <c r="Z319" s="50"/>
      <c r="AA319" s="50"/>
      <c r="AB319" s="50"/>
      <c r="AC319" s="50"/>
      <c r="AD319" s="50"/>
      <c r="AE319" s="50"/>
    </row>
    <row r="320" spans="1:31" outlineLevel="1" x14ac:dyDescent="0.25">
      <c r="A320" s="480">
        <f>ROW()</f>
        <v>320</v>
      </c>
      <c r="B320" s="178"/>
      <c r="C320" s="111">
        <f t="shared" si="76"/>
        <v>0</v>
      </c>
      <c r="D320" s="111"/>
      <c r="E320" s="111"/>
      <c r="F320" s="111"/>
      <c r="G320" s="653"/>
      <c r="H320" s="653"/>
      <c r="I320" s="653"/>
      <c r="J320" s="653"/>
      <c r="K320" s="653"/>
      <c r="L320" s="653"/>
      <c r="M320" s="653"/>
      <c r="N320" s="109"/>
      <c r="O320" s="343"/>
      <c r="Q320" s="50"/>
      <c r="R320" s="50"/>
      <c r="S320" s="50"/>
      <c r="T320" s="50"/>
      <c r="U320" s="50"/>
      <c r="V320" s="50"/>
      <c r="W320" s="50"/>
      <c r="X320" s="50"/>
      <c r="Y320" s="50"/>
      <c r="Z320" s="50"/>
      <c r="AA320" s="50"/>
      <c r="AB320" s="50"/>
      <c r="AC320" s="50"/>
      <c r="AD320" s="50"/>
      <c r="AE320" s="50"/>
    </row>
    <row r="321" spans="1:31" outlineLevel="1" x14ac:dyDescent="0.25">
      <c r="A321" s="480">
        <f>ROW()</f>
        <v>321</v>
      </c>
      <c r="B321" s="178" t="str">
        <f>$B165</f>
        <v>3rd Grade Teacher</v>
      </c>
      <c r="C321" s="111">
        <f t="shared" si="76"/>
        <v>0</v>
      </c>
      <c r="D321" s="111"/>
      <c r="E321" s="111"/>
      <c r="F321" s="111"/>
      <c r="G321" s="653">
        <f>G165*$E165</f>
        <v>0</v>
      </c>
      <c r="H321" s="653">
        <f t="shared" ref="H321:M325" si="81">(H165*$E165)</f>
        <v>0</v>
      </c>
      <c r="I321" s="653">
        <f t="shared" si="81"/>
        <v>0</v>
      </c>
      <c r="J321" s="653">
        <f t="shared" si="81"/>
        <v>0</v>
      </c>
      <c r="K321" s="653">
        <f t="shared" si="81"/>
        <v>0</v>
      </c>
      <c r="L321" s="653">
        <f t="shared" si="81"/>
        <v>0</v>
      </c>
      <c r="M321" s="653">
        <f t="shared" si="81"/>
        <v>0</v>
      </c>
      <c r="N321" s="109"/>
      <c r="O321" s="343"/>
      <c r="Q321" s="50"/>
      <c r="R321" s="50"/>
      <c r="S321" s="50"/>
      <c r="T321" s="50"/>
      <c r="U321" s="50"/>
      <c r="V321" s="50"/>
      <c r="W321" s="50"/>
      <c r="X321" s="50"/>
      <c r="Y321" s="50"/>
      <c r="Z321" s="50"/>
      <c r="AA321" s="50"/>
      <c r="AB321" s="50"/>
      <c r="AC321" s="50"/>
      <c r="AD321" s="50"/>
      <c r="AE321" s="50"/>
    </row>
    <row r="322" spans="1:31" outlineLevel="1" x14ac:dyDescent="0.25">
      <c r="A322" s="480">
        <f>ROW()</f>
        <v>322</v>
      </c>
      <c r="B322" s="178" t="str">
        <f>$B166</f>
        <v>3rd Grade Teacher</v>
      </c>
      <c r="C322" s="111">
        <f t="shared" si="76"/>
        <v>0</v>
      </c>
      <c r="D322" s="111"/>
      <c r="E322" s="111"/>
      <c r="F322" s="111"/>
      <c r="G322" s="653">
        <f>G166*$E166</f>
        <v>0</v>
      </c>
      <c r="H322" s="653">
        <f t="shared" si="81"/>
        <v>0</v>
      </c>
      <c r="I322" s="653">
        <f t="shared" si="81"/>
        <v>0</v>
      </c>
      <c r="J322" s="653">
        <f t="shared" si="81"/>
        <v>0</v>
      </c>
      <c r="K322" s="653">
        <f t="shared" si="81"/>
        <v>0</v>
      </c>
      <c r="L322" s="653">
        <f t="shared" si="81"/>
        <v>0</v>
      </c>
      <c r="M322" s="653">
        <f t="shared" si="81"/>
        <v>0</v>
      </c>
      <c r="N322" s="109"/>
      <c r="O322" s="343"/>
      <c r="Q322" s="50"/>
      <c r="R322" s="50"/>
      <c r="S322" s="50"/>
      <c r="T322" s="50"/>
      <c r="U322" s="50"/>
      <c r="V322" s="50"/>
      <c r="W322" s="50"/>
      <c r="X322" s="50"/>
      <c r="Y322" s="50"/>
      <c r="Z322" s="50"/>
      <c r="AA322" s="50"/>
      <c r="AB322" s="50"/>
      <c r="AC322" s="50"/>
      <c r="AD322" s="50"/>
      <c r="AE322" s="50"/>
    </row>
    <row r="323" spans="1:31" outlineLevel="1" x14ac:dyDescent="0.25">
      <c r="A323" s="480">
        <f>ROW()</f>
        <v>323</v>
      </c>
      <c r="B323" s="178" t="str">
        <f>$B167</f>
        <v>3rd Grade Teacher</v>
      </c>
      <c r="C323" s="111">
        <f t="shared" si="76"/>
        <v>0</v>
      </c>
      <c r="D323" s="111"/>
      <c r="E323" s="111"/>
      <c r="F323" s="111"/>
      <c r="G323" s="653">
        <f>G167*$E167</f>
        <v>0</v>
      </c>
      <c r="H323" s="653">
        <f t="shared" si="81"/>
        <v>0</v>
      </c>
      <c r="I323" s="653">
        <f t="shared" si="81"/>
        <v>0</v>
      </c>
      <c r="J323" s="653">
        <f t="shared" si="81"/>
        <v>0</v>
      </c>
      <c r="K323" s="653">
        <f t="shared" si="81"/>
        <v>0</v>
      </c>
      <c r="L323" s="653">
        <f t="shared" si="81"/>
        <v>0</v>
      </c>
      <c r="M323" s="653">
        <f t="shared" si="81"/>
        <v>0</v>
      </c>
      <c r="N323" s="109"/>
      <c r="O323" s="343"/>
      <c r="Q323" s="50"/>
      <c r="R323" s="50"/>
      <c r="S323" s="50"/>
      <c r="T323" s="50"/>
      <c r="U323" s="50"/>
      <c r="V323" s="50"/>
      <c r="W323" s="50"/>
      <c r="X323" s="50"/>
      <c r="Y323" s="50"/>
      <c r="Z323" s="50"/>
      <c r="AA323" s="50"/>
      <c r="AB323" s="50"/>
      <c r="AC323" s="50"/>
      <c r="AD323" s="50"/>
      <c r="AE323" s="50"/>
    </row>
    <row r="324" spans="1:31" outlineLevel="1" x14ac:dyDescent="0.25">
      <c r="A324" s="480">
        <f>ROW()</f>
        <v>324</v>
      </c>
      <c r="B324" s="178" t="str">
        <f>$B168</f>
        <v>3rd Grade Teacher</v>
      </c>
      <c r="C324" s="111">
        <f t="shared" si="76"/>
        <v>0</v>
      </c>
      <c r="D324" s="111"/>
      <c r="E324" s="111"/>
      <c r="F324" s="111"/>
      <c r="G324" s="653">
        <f>G168*$E168</f>
        <v>0</v>
      </c>
      <c r="H324" s="653">
        <f t="shared" si="81"/>
        <v>0</v>
      </c>
      <c r="I324" s="653">
        <f t="shared" si="81"/>
        <v>0</v>
      </c>
      <c r="J324" s="653">
        <f t="shared" si="81"/>
        <v>0</v>
      </c>
      <c r="K324" s="653">
        <f t="shared" si="81"/>
        <v>0</v>
      </c>
      <c r="L324" s="653">
        <f t="shared" si="81"/>
        <v>0</v>
      </c>
      <c r="M324" s="653">
        <f t="shared" si="81"/>
        <v>0</v>
      </c>
      <c r="N324" s="109"/>
      <c r="O324" s="343"/>
      <c r="Q324" s="50"/>
      <c r="R324" s="50"/>
      <c r="S324" s="50"/>
      <c r="T324" s="50"/>
      <c r="U324" s="50"/>
      <c r="V324" s="50"/>
      <c r="W324" s="50"/>
      <c r="X324" s="50"/>
      <c r="Y324" s="50"/>
      <c r="Z324" s="50"/>
      <c r="AA324" s="50"/>
      <c r="AB324" s="50"/>
      <c r="AC324" s="50"/>
      <c r="AD324" s="50"/>
      <c r="AE324" s="50"/>
    </row>
    <row r="325" spans="1:31" outlineLevel="1" x14ac:dyDescent="0.25">
      <c r="A325" s="480">
        <f>ROW()</f>
        <v>325</v>
      </c>
      <c r="B325" s="178">
        <f>$B169</f>
        <v>0</v>
      </c>
      <c r="C325" s="111">
        <f t="shared" si="76"/>
        <v>0</v>
      </c>
      <c r="D325" s="111"/>
      <c r="E325" s="111"/>
      <c r="F325" s="111"/>
      <c r="G325" s="653">
        <f>G169*$E169</f>
        <v>0</v>
      </c>
      <c r="H325" s="653">
        <f t="shared" si="81"/>
        <v>0</v>
      </c>
      <c r="I325" s="653">
        <f t="shared" si="81"/>
        <v>0</v>
      </c>
      <c r="J325" s="653">
        <f t="shared" si="81"/>
        <v>0</v>
      </c>
      <c r="K325" s="653">
        <f t="shared" si="81"/>
        <v>0</v>
      </c>
      <c r="L325" s="653">
        <f t="shared" si="81"/>
        <v>0</v>
      </c>
      <c r="M325" s="653">
        <f t="shared" si="81"/>
        <v>0</v>
      </c>
      <c r="N325" s="109"/>
      <c r="O325" s="343"/>
      <c r="Q325" s="50"/>
      <c r="R325" s="50"/>
      <c r="S325" s="50"/>
      <c r="T325" s="50"/>
      <c r="U325" s="50"/>
      <c r="V325" s="50"/>
      <c r="W325" s="50"/>
      <c r="X325" s="50"/>
      <c r="Y325" s="50"/>
      <c r="Z325" s="50"/>
      <c r="AA325" s="50"/>
      <c r="AB325" s="50"/>
      <c r="AC325" s="50"/>
      <c r="AD325" s="50"/>
      <c r="AE325" s="50"/>
    </row>
    <row r="326" spans="1:31" outlineLevel="1" x14ac:dyDescent="0.25">
      <c r="A326" s="480">
        <f>ROW()</f>
        <v>326</v>
      </c>
      <c r="B326" s="178"/>
      <c r="C326" s="111">
        <f t="shared" si="76"/>
        <v>0</v>
      </c>
      <c r="D326" s="111"/>
      <c r="E326" s="111"/>
      <c r="F326" s="111"/>
      <c r="G326" s="653"/>
      <c r="H326" s="653"/>
      <c r="I326" s="653"/>
      <c r="J326" s="653"/>
      <c r="K326" s="653"/>
      <c r="L326" s="653"/>
      <c r="M326" s="653"/>
      <c r="N326" s="109"/>
      <c r="O326" s="343"/>
      <c r="Q326" s="50"/>
      <c r="R326" s="50"/>
      <c r="S326" s="50"/>
      <c r="T326" s="50"/>
      <c r="U326" s="50"/>
      <c r="V326" s="50"/>
      <c r="W326" s="50"/>
      <c r="X326" s="50"/>
      <c r="Y326" s="50"/>
      <c r="Z326" s="50"/>
      <c r="AA326" s="50"/>
      <c r="AB326" s="50"/>
      <c r="AC326" s="50"/>
      <c r="AD326" s="50"/>
      <c r="AE326" s="50"/>
    </row>
    <row r="327" spans="1:31" outlineLevel="1" x14ac:dyDescent="0.25">
      <c r="A327" s="480">
        <f>ROW()</f>
        <v>327</v>
      </c>
      <c r="B327" s="178" t="str">
        <f>$B171</f>
        <v>4th Grade Teacher</v>
      </c>
      <c r="C327" s="111">
        <f t="shared" si="76"/>
        <v>0</v>
      </c>
      <c r="D327" s="111"/>
      <c r="E327" s="111"/>
      <c r="F327" s="111"/>
      <c r="G327" s="653">
        <f>G171*$E171</f>
        <v>0</v>
      </c>
      <c r="H327" s="653">
        <f t="shared" ref="H327:M331" si="82">(H171*$E171)</f>
        <v>0</v>
      </c>
      <c r="I327" s="653">
        <f t="shared" si="82"/>
        <v>0</v>
      </c>
      <c r="J327" s="653">
        <f t="shared" si="82"/>
        <v>0</v>
      </c>
      <c r="K327" s="653">
        <f t="shared" si="82"/>
        <v>0</v>
      </c>
      <c r="L327" s="653">
        <f t="shared" si="82"/>
        <v>0</v>
      </c>
      <c r="M327" s="653">
        <f t="shared" si="82"/>
        <v>0</v>
      </c>
      <c r="N327" s="109"/>
      <c r="O327" s="343"/>
      <c r="Q327" s="50"/>
      <c r="R327" s="50"/>
      <c r="S327" s="50"/>
      <c r="T327" s="50"/>
      <c r="U327" s="50"/>
      <c r="V327" s="50"/>
      <c r="W327" s="50"/>
      <c r="X327" s="50"/>
      <c r="Y327" s="50"/>
      <c r="Z327" s="50"/>
      <c r="AA327" s="50"/>
      <c r="AB327" s="50"/>
      <c r="AC327" s="50"/>
      <c r="AD327" s="50"/>
      <c r="AE327" s="50"/>
    </row>
    <row r="328" spans="1:31" outlineLevel="1" x14ac:dyDescent="0.25">
      <c r="A328" s="480">
        <f>ROW()</f>
        <v>328</v>
      </c>
      <c r="B328" s="178" t="str">
        <f>$B172</f>
        <v>4th Grade Teacher</v>
      </c>
      <c r="C328" s="111">
        <f t="shared" si="76"/>
        <v>0</v>
      </c>
      <c r="D328" s="111"/>
      <c r="E328" s="111"/>
      <c r="F328" s="111"/>
      <c r="G328" s="653">
        <f>G172*$E172</f>
        <v>0</v>
      </c>
      <c r="H328" s="653">
        <f t="shared" si="82"/>
        <v>0</v>
      </c>
      <c r="I328" s="653">
        <f t="shared" si="82"/>
        <v>0</v>
      </c>
      <c r="J328" s="653">
        <f t="shared" si="82"/>
        <v>0</v>
      </c>
      <c r="K328" s="653">
        <f t="shared" si="82"/>
        <v>0</v>
      </c>
      <c r="L328" s="653">
        <f t="shared" si="82"/>
        <v>0</v>
      </c>
      <c r="M328" s="653">
        <f t="shared" si="82"/>
        <v>0</v>
      </c>
      <c r="N328" s="109"/>
      <c r="O328" s="343"/>
      <c r="Q328" s="50"/>
      <c r="R328" s="50"/>
      <c r="S328" s="50"/>
      <c r="T328" s="50"/>
      <c r="U328" s="50"/>
      <c r="V328" s="50"/>
      <c r="W328" s="50"/>
      <c r="X328" s="50"/>
      <c r="Y328" s="50"/>
      <c r="Z328" s="50"/>
      <c r="AA328" s="50"/>
      <c r="AB328" s="50"/>
      <c r="AC328" s="50"/>
      <c r="AD328" s="50"/>
      <c r="AE328" s="50"/>
    </row>
    <row r="329" spans="1:31" outlineLevel="1" x14ac:dyDescent="0.25">
      <c r="A329" s="480">
        <f>ROW()</f>
        <v>329</v>
      </c>
      <c r="B329" s="178" t="str">
        <f>$B173</f>
        <v>4th Grade Teacher</v>
      </c>
      <c r="C329" s="111">
        <f t="shared" si="76"/>
        <v>0</v>
      </c>
      <c r="D329" s="111"/>
      <c r="E329" s="111"/>
      <c r="F329" s="111"/>
      <c r="G329" s="653">
        <f>G173*$E173</f>
        <v>0</v>
      </c>
      <c r="H329" s="653">
        <f t="shared" si="82"/>
        <v>0</v>
      </c>
      <c r="I329" s="653">
        <f t="shared" si="82"/>
        <v>0</v>
      </c>
      <c r="J329" s="653">
        <f t="shared" si="82"/>
        <v>0</v>
      </c>
      <c r="K329" s="653">
        <f t="shared" si="82"/>
        <v>0</v>
      </c>
      <c r="L329" s="653">
        <f t="shared" si="82"/>
        <v>0</v>
      </c>
      <c r="M329" s="653">
        <f t="shared" si="82"/>
        <v>0</v>
      </c>
      <c r="N329" s="109"/>
      <c r="O329" s="343"/>
      <c r="Q329" s="50"/>
      <c r="R329" s="50"/>
      <c r="S329" s="50"/>
      <c r="T329" s="50"/>
      <c r="U329" s="50"/>
      <c r="V329" s="50"/>
      <c r="W329" s="50"/>
      <c r="X329" s="50"/>
      <c r="Y329" s="50"/>
      <c r="Z329" s="50"/>
      <c r="AA329" s="50"/>
      <c r="AB329" s="50"/>
      <c r="AC329" s="50"/>
      <c r="AD329" s="50"/>
      <c r="AE329" s="50"/>
    </row>
    <row r="330" spans="1:31" outlineLevel="1" x14ac:dyDescent="0.25">
      <c r="A330" s="480">
        <f>ROW()</f>
        <v>330</v>
      </c>
      <c r="B330" s="178" t="str">
        <f>$B174</f>
        <v>4th Grade Teacher</v>
      </c>
      <c r="C330" s="111">
        <f t="shared" si="76"/>
        <v>0</v>
      </c>
      <c r="D330" s="111"/>
      <c r="E330" s="111"/>
      <c r="F330" s="111"/>
      <c r="G330" s="653">
        <f>G174*$E174</f>
        <v>0</v>
      </c>
      <c r="H330" s="653">
        <f t="shared" si="82"/>
        <v>0</v>
      </c>
      <c r="I330" s="653">
        <f t="shared" si="82"/>
        <v>0</v>
      </c>
      <c r="J330" s="653">
        <f t="shared" si="82"/>
        <v>0</v>
      </c>
      <c r="K330" s="653">
        <f t="shared" si="82"/>
        <v>0</v>
      </c>
      <c r="L330" s="653">
        <f t="shared" si="82"/>
        <v>0</v>
      </c>
      <c r="M330" s="653">
        <f t="shared" si="82"/>
        <v>0</v>
      </c>
      <c r="N330" s="109"/>
      <c r="O330" s="343"/>
      <c r="Q330" s="50"/>
      <c r="R330" s="50"/>
      <c r="S330" s="50"/>
      <c r="T330" s="50"/>
      <c r="U330" s="50"/>
      <c r="V330" s="50"/>
      <c r="W330" s="50"/>
      <c r="X330" s="50"/>
      <c r="Y330" s="50"/>
      <c r="Z330" s="50"/>
      <c r="AA330" s="50"/>
      <c r="AB330" s="50"/>
      <c r="AC330" s="50"/>
      <c r="AD330" s="50"/>
      <c r="AE330" s="50"/>
    </row>
    <row r="331" spans="1:31" outlineLevel="1" x14ac:dyDescent="0.25">
      <c r="A331" s="480">
        <f>ROW()</f>
        <v>331</v>
      </c>
      <c r="B331" s="178">
        <f>$B175</f>
        <v>0</v>
      </c>
      <c r="C331" s="111">
        <f t="shared" ref="C331:C362" si="83">SUM(G331:M331)</f>
        <v>0</v>
      </c>
      <c r="D331" s="111"/>
      <c r="E331" s="111"/>
      <c r="F331" s="111"/>
      <c r="G331" s="653">
        <f>G175*$E175</f>
        <v>0</v>
      </c>
      <c r="H331" s="653">
        <f t="shared" si="82"/>
        <v>0</v>
      </c>
      <c r="I331" s="653">
        <f t="shared" si="82"/>
        <v>0</v>
      </c>
      <c r="J331" s="653">
        <f t="shared" si="82"/>
        <v>0</v>
      </c>
      <c r="K331" s="653">
        <f t="shared" si="82"/>
        <v>0</v>
      </c>
      <c r="L331" s="653">
        <f t="shared" si="82"/>
        <v>0</v>
      </c>
      <c r="M331" s="653">
        <f t="shared" si="82"/>
        <v>0</v>
      </c>
      <c r="N331" s="109"/>
      <c r="O331" s="343"/>
      <c r="Q331" s="50"/>
      <c r="R331" s="50"/>
      <c r="S331" s="50"/>
      <c r="T331" s="50"/>
      <c r="U331" s="50"/>
      <c r="V331" s="50"/>
      <c r="W331" s="50"/>
      <c r="X331" s="50"/>
      <c r="Y331" s="50"/>
      <c r="Z331" s="50"/>
      <c r="AA331" s="50"/>
      <c r="AB331" s="50"/>
      <c r="AC331" s="50"/>
      <c r="AD331" s="50"/>
      <c r="AE331" s="50"/>
    </row>
    <row r="332" spans="1:31" outlineLevel="1" x14ac:dyDescent="0.25">
      <c r="A332" s="480">
        <f>ROW()</f>
        <v>332</v>
      </c>
      <c r="B332" s="178"/>
      <c r="C332" s="111">
        <f t="shared" si="83"/>
        <v>0</v>
      </c>
      <c r="D332" s="111"/>
      <c r="E332" s="111"/>
      <c r="F332" s="111"/>
      <c r="G332" s="653"/>
      <c r="H332" s="653"/>
      <c r="I332" s="653"/>
      <c r="J332" s="653"/>
      <c r="K332" s="653"/>
      <c r="L332" s="653"/>
      <c r="M332" s="653"/>
      <c r="N332" s="109"/>
      <c r="O332" s="343"/>
      <c r="Q332" s="50"/>
      <c r="R332" s="50"/>
      <c r="S332" s="50"/>
      <c r="T332" s="50"/>
      <c r="U332" s="50"/>
      <c r="V332" s="50"/>
      <c r="W332" s="50"/>
      <c r="X332" s="50"/>
      <c r="Y332" s="50"/>
      <c r="Z332" s="50"/>
      <c r="AA332" s="50"/>
      <c r="AB332" s="50"/>
      <c r="AC332" s="50"/>
      <c r="AD332" s="50"/>
      <c r="AE332" s="50"/>
    </row>
    <row r="333" spans="1:31" outlineLevel="1" x14ac:dyDescent="0.25">
      <c r="A333" s="480">
        <f>ROW()</f>
        <v>333</v>
      </c>
      <c r="B333" s="178" t="str">
        <f>$B177</f>
        <v>5th Grade Teacher</v>
      </c>
      <c r="C333" s="111">
        <f t="shared" si="83"/>
        <v>0</v>
      </c>
      <c r="D333" s="111"/>
      <c r="E333" s="111"/>
      <c r="F333" s="111"/>
      <c r="G333" s="653">
        <f>G177*$E177</f>
        <v>0</v>
      </c>
      <c r="H333" s="653">
        <f t="shared" ref="H333:M337" si="84">(H177*$E177)</f>
        <v>0</v>
      </c>
      <c r="I333" s="653">
        <f t="shared" si="84"/>
        <v>0</v>
      </c>
      <c r="J333" s="653">
        <f t="shared" si="84"/>
        <v>0</v>
      </c>
      <c r="K333" s="653">
        <f t="shared" si="84"/>
        <v>0</v>
      </c>
      <c r="L333" s="653">
        <f t="shared" si="84"/>
        <v>0</v>
      </c>
      <c r="M333" s="653">
        <f t="shared" si="84"/>
        <v>0</v>
      </c>
      <c r="N333" s="109"/>
      <c r="O333" s="343"/>
      <c r="Q333" s="50"/>
      <c r="R333" s="50"/>
      <c r="S333" s="50"/>
      <c r="T333" s="50"/>
      <c r="U333" s="50"/>
      <c r="V333" s="50"/>
      <c r="W333" s="50"/>
      <c r="X333" s="50"/>
      <c r="Y333" s="50"/>
      <c r="Z333" s="50"/>
      <c r="AA333" s="50"/>
      <c r="AB333" s="50"/>
      <c r="AC333" s="50"/>
      <c r="AD333" s="50"/>
      <c r="AE333" s="50"/>
    </row>
    <row r="334" spans="1:31" outlineLevel="1" x14ac:dyDescent="0.25">
      <c r="A334" s="480">
        <f>ROW()</f>
        <v>334</v>
      </c>
      <c r="B334" s="178" t="str">
        <f>$B178</f>
        <v>5th Grade Teacher</v>
      </c>
      <c r="C334" s="111">
        <f t="shared" si="83"/>
        <v>0</v>
      </c>
      <c r="D334" s="111"/>
      <c r="E334" s="111"/>
      <c r="F334" s="111"/>
      <c r="G334" s="653">
        <f>G178*$E178</f>
        <v>0</v>
      </c>
      <c r="H334" s="653">
        <f t="shared" si="84"/>
        <v>0</v>
      </c>
      <c r="I334" s="653">
        <f t="shared" si="84"/>
        <v>0</v>
      </c>
      <c r="J334" s="653">
        <f t="shared" si="84"/>
        <v>0</v>
      </c>
      <c r="K334" s="653">
        <f t="shared" si="84"/>
        <v>0</v>
      </c>
      <c r="L334" s="653">
        <f t="shared" si="84"/>
        <v>0</v>
      </c>
      <c r="M334" s="653">
        <f t="shared" si="84"/>
        <v>0</v>
      </c>
      <c r="N334" s="109"/>
      <c r="O334" s="343"/>
      <c r="Q334" s="50"/>
      <c r="R334" s="50"/>
      <c r="S334" s="50"/>
      <c r="T334" s="50"/>
      <c r="U334" s="50"/>
      <c r="V334" s="50"/>
      <c r="W334" s="50"/>
      <c r="X334" s="50"/>
      <c r="Y334" s="50"/>
      <c r="Z334" s="50"/>
      <c r="AA334" s="50"/>
      <c r="AB334" s="50"/>
      <c r="AC334" s="50"/>
      <c r="AD334" s="50"/>
      <c r="AE334" s="50"/>
    </row>
    <row r="335" spans="1:31" outlineLevel="1" x14ac:dyDescent="0.25">
      <c r="A335" s="480">
        <f>ROW()</f>
        <v>335</v>
      </c>
      <c r="B335" s="178" t="str">
        <f>$B179</f>
        <v>5th Grade Teacher</v>
      </c>
      <c r="C335" s="111">
        <f t="shared" si="83"/>
        <v>0</v>
      </c>
      <c r="D335" s="111"/>
      <c r="E335" s="111"/>
      <c r="F335" s="111"/>
      <c r="G335" s="653">
        <f>G179*$E179</f>
        <v>0</v>
      </c>
      <c r="H335" s="653">
        <f t="shared" si="84"/>
        <v>0</v>
      </c>
      <c r="I335" s="653">
        <f t="shared" si="84"/>
        <v>0</v>
      </c>
      <c r="J335" s="653">
        <f t="shared" si="84"/>
        <v>0</v>
      </c>
      <c r="K335" s="653">
        <f t="shared" si="84"/>
        <v>0</v>
      </c>
      <c r="L335" s="653">
        <f t="shared" si="84"/>
        <v>0</v>
      </c>
      <c r="M335" s="653">
        <f t="shared" si="84"/>
        <v>0</v>
      </c>
      <c r="N335" s="109"/>
      <c r="O335" s="343"/>
      <c r="Q335" s="50"/>
      <c r="R335" s="50"/>
      <c r="S335" s="50"/>
      <c r="T335" s="50"/>
      <c r="U335" s="50"/>
      <c r="V335" s="50"/>
      <c r="W335" s="50"/>
      <c r="X335" s="50"/>
      <c r="Y335" s="50"/>
      <c r="Z335" s="50"/>
      <c r="AA335" s="50"/>
      <c r="AB335" s="50"/>
      <c r="AC335" s="50"/>
      <c r="AD335" s="50"/>
      <c r="AE335" s="50"/>
    </row>
    <row r="336" spans="1:31" outlineLevel="1" x14ac:dyDescent="0.25">
      <c r="A336" s="480">
        <f>ROW()</f>
        <v>336</v>
      </c>
      <c r="B336" s="178" t="str">
        <f>$B180</f>
        <v>5th Grade Teacher</v>
      </c>
      <c r="C336" s="111">
        <f t="shared" si="83"/>
        <v>0</v>
      </c>
      <c r="D336" s="111"/>
      <c r="E336" s="111"/>
      <c r="F336" s="111"/>
      <c r="G336" s="653">
        <f>G180*$E180</f>
        <v>0</v>
      </c>
      <c r="H336" s="653">
        <f t="shared" si="84"/>
        <v>0</v>
      </c>
      <c r="I336" s="653">
        <f t="shared" si="84"/>
        <v>0</v>
      </c>
      <c r="J336" s="653">
        <f t="shared" si="84"/>
        <v>0</v>
      </c>
      <c r="K336" s="653">
        <f t="shared" si="84"/>
        <v>0</v>
      </c>
      <c r="L336" s="653">
        <f t="shared" si="84"/>
        <v>0</v>
      </c>
      <c r="M336" s="653">
        <f t="shared" si="84"/>
        <v>0</v>
      </c>
      <c r="N336" s="109"/>
      <c r="O336" s="343"/>
      <c r="Q336" s="50"/>
      <c r="R336" s="50"/>
      <c r="S336" s="50"/>
      <c r="T336" s="50"/>
      <c r="U336" s="50"/>
      <c r="V336" s="50"/>
      <c r="W336" s="50"/>
      <c r="X336" s="50"/>
      <c r="Y336" s="50"/>
      <c r="Z336" s="50"/>
      <c r="AA336" s="50"/>
      <c r="AB336" s="50"/>
      <c r="AC336" s="50"/>
      <c r="AD336" s="50"/>
      <c r="AE336" s="50"/>
    </row>
    <row r="337" spans="1:31" outlineLevel="1" x14ac:dyDescent="0.25">
      <c r="A337" s="480">
        <f>ROW()</f>
        <v>337</v>
      </c>
      <c r="B337" s="178">
        <f>$B181</f>
        <v>0</v>
      </c>
      <c r="C337" s="111">
        <f t="shared" si="83"/>
        <v>0</v>
      </c>
      <c r="D337" s="111"/>
      <c r="E337" s="111"/>
      <c r="F337" s="111"/>
      <c r="G337" s="653">
        <f>G181*$E181</f>
        <v>0</v>
      </c>
      <c r="H337" s="653">
        <f t="shared" si="84"/>
        <v>0</v>
      </c>
      <c r="I337" s="653">
        <f t="shared" si="84"/>
        <v>0</v>
      </c>
      <c r="J337" s="653">
        <f t="shared" si="84"/>
        <v>0</v>
      </c>
      <c r="K337" s="653">
        <f t="shared" si="84"/>
        <v>0</v>
      </c>
      <c r="L337" s="653">
        <f t="shared" si="84"/>
        <v>0</v>
      </c>
      <c r="M337" s="653">
        <f t="shared" si="84"/>
        <v>0</v>
      </c>
      <c r="N337" s="109"/>
      <c r="O337" s="343"/>
      <c r="Q337" s="50"/>
      <c r="R337" s="50"/>
      <c r="S337" s="50"/>
      <c r="T337" s="50"/>
      <c r="U337" s="50"/>
      <c r="V337" s="50"/>
      <c r="W337" s="50"/>
      <c r="X337" s="50"/>
      <c r="Y337" s="50"/>
      <c r="Z337" s="50"/>
      <c r="AA337" s="50"/>
      <c r="AB337" s="50"/>
      <c r="AC337" s="50"/>
      <c r="AD337" s="50"/>
      <c r="AE337" s="50"/>
    </row>
    <row r="338" spans="1:31" outlineLevel="1" x14ac:dyDescent="0.25">
      <c r="A338" s="480">
        <f>ROW()</f>
        <v>338</v>
      </c>
      <c r="B338" s="178"/>
      <c r="C338" s="111">
        <f t="shared" si="83"/>
        <v>0</v>
      </c>
      <c r="D338" s="111"/>
      <c r="E338" s="111"/>
      <c r="F338" s="111"/>
      <c r="G338" s="653"/>
      <c r="H338" s="653"/>
      <c r="I338" s="653"/>
      <c r="J338" s="653"/>
      <c r="K338" s="653"/>
      <c r="L338" s="653"/>
      <c r="M338" s="653"/>
      <c r="N338" s="109"/>
      <c r="O338" s="343"/>
      <c r="Q338" s="50"/>
      <c r="R338" s="50"/>
      <c r="S338" s="50"/>
      <c r="T338" s="50"/>
      <c r="U338" s="50"/>
      <c r="V338" s="50"/>
      <c r="W338" s="50"/>
      <c r="X338" s="50"/>
      <c r="Y338" s="50"/>
      <c r="Z338" s="50"/>
      <c r="AA338" s="50"/>
      <c r="AB338" s="50"/>
      <c r="AC338" s="50"/>
      <c r="AD338" s="50"/>
      <c r="AE338" s="50"/>
    </row>
    <row r="339" spans="1:31" outlineLevel="1" x14ac:dyDescent="0.25">
      <c r="A339" s="480">
        <f>ROW()</f>
        <v>339</v>
      </c>
      <c r="B339" s="178" t="str">
        <f>$B183</f>
        <v>6th Grade Teacher</v>
      </c>
      <c r="C339" s="111">
        <f t="shared" si="83"/>
        <v>0</v>
      </c>
      <c r="D339" s="111"/>
      <c r="E339" s="111"/>
      <c r="F339" s="111"/>
      <c r="G339" s="653">
        <f>G183*$E183</f>
        <v>0</v>
      </c>
      <c r="H339" s="653">
        <f t="shared" ref="H339:M343" si="85">(H183*$E183)</f>
        <v>0</v>
      </c>
      <c r="I339" s="653">
        <f t="shared" si="85"/>
        <v>0</v>
      </c>
      <c r="J339" s="653">
        <f t="shared" si="85"/>
        <v>0</v>
      </c>
      <c r="K339" s="653">
        <f t="shared" si="85"/>
        <v>0</v>
      </c>
      <c r="L339" s="653">
        <f t="shared" si="85"/>
        <v>0</v>
      </c>
      <c r="M339" s="653">
        <f t="shared" si="85"/>
        <v>0</v>
      </c>
      <c r="N339" s="109"/>
      <c r="O339" s="343"/>
      <c r="Q339" s="50"/>
      <c r="R339" s="50"/>
      <c r="S339" s="50"/>
      <c r="T339" s="50"/>
      <c r="U339" s="50"/>
      <c r="V339" s="50"/>
      <c r="W339" s="50"/>
      <c r="X339" s="50"/>
      <c r="Y339" s="50"/>
      <c r="Z339" s="50"/>
      <c r="AA339" s="50"/>
      <c r="AB339" s="50"/>
      <c r="AC339" s="50"/>
      <c r="AD339" s="50"/>
      <c r="AE339" s="50"/>
    </row>
    <row r="340" spans="1:31" outlineLevel="1" x14ac:dyDescent="0.25">
      <c r="A340" s="480">
        <f>ROW()</f>
        <v>340</v>
      </c>
      <c r="B340" s="178" t="str">
        <f>$B184</f>
        <v>6th Grade Teacher</v>
      </c>
      <c r="C340" s="111">
        <f t="shared" si="83"/>
        <v>0</v>
      </c>
      <c r="D340" s="111"/>
      <c r="E340" s="111"/>
      <c r="F340" s="111"/>
      <c r="G340" s="653">
        <f>G184*$E184</f>
        <v>0</v>
      </c>
      <c r="H340" s="653">
        <f t="shared" si="85"/>
        <v>0</v>
      </c>
      <c r="I340" s="653">
        <f t="shared" si="85"/>
        <v>0</v>
      </c>
      <c r="J340" s="653">
        <f t="shared" si="85"/>
        <v>0</v>
      </c>
      <c r="K340" s="653">
        <f t="shared" si="85"/>
        <v>0</v>
      </c>
      <c r="L340" s="653">
        <f t="shared" si="85"/>
        <v>0</v>
      </c>
      <c r="M340" s="653">
        <f t="shared" si="85"/>
        <v>0</v>
      </c>
      <c r="N340" s="109"/>
      <c r="O340" s="343"/>
      <c r="Q340" s="50"/>
      <c r="R340" s="50"/>
      <c r="S340" s="50"/>
      <c r="T340" s="50"/>
      <c r="U340" s="50"/>
      <c r="V340" s="50"/>
      <c r="W340" s="50"/>
      <c r="X340" s="50"/>
      <c r="Y340" s="50"/>
      <c r="Z340" s="50"/>
      <c r="AA340" s="50"/>
      <c r="AB340" s="50"/>
      <c r="AC340" s="50"/>
      <c r="AD340" s="50"/>
      <c r="AE340" s="50"/>
    </row>
    <row r="341" spans="1:31" outlineLevel="1" x14ac:dyDescent="0.25">
      <c r="A341" s="480">
        <f>ROW()</f>
        <v>341</v>
      </c>
      <c r="B341" s="178" t="str">
        <f>$B185</f>
        <v>6th Grade Teacher</v>
      </c>
      <c r="C341" s="111">
        <f t="shared" si="83"/>
        <v>0</v>
      </c>
      <c r="D341" s="111"/>
      <c r="E341" s="111"/>
      <c r="F341" s="111"/>
      <c r="G341" s="653">
        <f>G185*$E185</f>
        <v>0</v>
      </c>
      <c r="H341" s="653">
        <f t="shared" si="85"/>
        <v>0</v>
      </c>
      <c r="I341" s="653">
        <f t="shared" si="85"/>
        <v>0</v>
      </c>
      <c r="J341" s="653">
        <f t="shared" si="85"/>
        <v>0</v>
      </c>
      <c r="K341" s="653">
        <f t="shared" si="85"/>
        <v>0</v>
      </c>
      <c r="L341" s="653">
        <f t="shared" si="85"/>
        <v>0</v>
      </c>
      <c r="M341" s="653">
        <f t="shared" si="85"/>
        <v>0</v>
      </c>
      <c r="N341" s="109"/>
      <c r="O341" s="343"/>
      <c r="Q341" s="50"/>
      <c r="R341" s="50"/>
      <c r="S341" s="50"/>
      <c r="T341" s="50"/>
      <c r="U341" s="50"/>
      <c r="V341" s="50"/>
      <c r="W341" s="50"/>
      <c r="X341" s="50"/>
      <c r="Y341" s="50"/>
      <c r="Z341" s="50"/>
      <c r="AA341" s="50"/>
      <c r="AB341" s="50"/>
      <c r="AC341" s="50"/>
      <c r="AD341" s="50"/>
      <c r="AE341" s="50"/>
    </row>
    <row r="342" spans="1:31" outlineLevel="1" x14ac:dyDescent="0.25">
      <c r="A342" s="480">
        <f>ROW()</f>
        <v>342</v>
      </c>
      <c r="B342" s="178" t="str">
        <f>$B186</f>
        <v>6th Grade Teacher</v>
      </c>
      <c r="C342" s="111">
        <f t="shared" si="83"/>
        <v>0</v>
      </c>
      <c r="D342" s="111"/>
      <c r="E342" s="111"/>
      <c r="F342" s="111"/>
      <c r="G342" s="653">
        <f>G186*$E186</f>
        <v>0</v>
      </c>
      <c r="H342" s="653">
        <f t="shared" si="85"/>
        <v>0</v>
      </c>
      <c r="I342" s="653">
        <f t="shared" si="85"/>
        <v>0</v>
      </c>
      <c r="J342" s="653">
        <f t="shared" si="85"/>
        <v>0</v>
      </c>
      <c r="K342" s="653">
        <f t="shared" si="85"/>
        <v>0</v>
      </c>
      <c r="L342" s="653">
        <f t="shared" si="85"/>
        <v>0</v>
      </c>
      <c r="M342" s="653">
        <f t="shared" si="85"/>
        <v>0</v>
      </c>
      <c r="N342" s="109"/>
      <c r="O342" s="343"/>
      <c r="Q342" s="50"/>
      <c r="R342" s="50"/>
      <c r="S342" s="50"/>
      <c r="T342" s="50"/>
      <c r="U342" s="50"/>
      <c r="V342" s="50"/>
      <c r="W342" s="50"/>
      <c r="X342" s="50"/>
      <c r="Y342" s="50"/>
      <c r="Z342" s="50"/>
      <c r="AA342" s="50"/>
      <c r="AB342" s="50"/>
      <c r="AC342" s="50"/>
      <c r="AD342" s="50"/>
      <c r="AE342" s="50"/>
    </row>
    <row r="343" spans="1:31" outlineLevel="1" x14ac:dyDescent="0.25">
      <c r="A343" s="480">
        <f>ROW()</f>
        <v>343</v>
      </c>
      <c r="B343" s="178">
        <f>$B187</f>
        <v>0</v>
      </c>
      <c r="C343" s="111">
        <f t="shared" si="83"/>
        <v>0</v>
      </c>
      <c r="D343" s="111"/>
      <c r="E343" s="111"/>
      <c r="F343" s="111"/>
      <c r="G343" s="653">
        <f>G187*$E187</f>
        <v>0</v>
      </c>
      <c r="H343" s="653">
        <f t="shared" si="85"/>
        <v>0</v>
      </c>
      <c r="I343" s="653">
        <f t="shared" si="85"/>
        <v>0</v>
      </c>
      <c r="J343" s="653">
        <f t="shared" si="85"/>
        <v>0</v>
      </c>
      <c r="K343" s="653">
        <f t="shared" si="85"/>
        <v>0</v>
      </c>
      <c r="L343" s="653">
        <f t="shared" si="85"/>
        <v>0</v>
      </c>
      <c r="M343" s="653">
        <f t="shared" si="85"/>
        <v>0</v>
      </c>
      <c r="N343" s="109"/>
      <c r="O343" s="343"/>
      <c r="Q343" s="50"/>
      <c r="R343" s="50"/>
      <c r="S343" s="50"/>
      <c r="T343" s="50"/>
      <c r="U343" s="50"/>
      <c r="V343" s="50"/>
      <c r="W343" s="50"/>
      <c r="X343" s="50"/>
      <c r="Y343" s="50"/>
      <c r="Z343" s="50"/>
      <c r="AA343" s="50"/>
      <c r="AB343" s="50"/>
      <c r="AC343" s="50"/>
      <c r="AD343" s="50"/>
      <c r="AE343" s="50"/>
    </row>
    <row r="344" spans="1:31" outlineLevel="1" x14ac:dyDescent="0.25">
      <c r="A344" s="480">
        <f>ROW()</f>
        <v>344</v>
      </c>
      <c r="B344" s="178"/>
      <c r="C344" s="111">
        <f t="shared" si="83"/>
        <v>0</v>
      </c>
      <c r="D344" s="111"/>
      <c r="E344" s="111"/>
      <c r="F344" s="111"/>
      <c r="G344" s="653"/>
      <c r="H344" s="653"/>
      <c r="I344" s="653"/>
      <c r="J344" s="653"/>
      <c r="K344" s="653"/>
      <c r="L344" s="653"/>
      <c r="M344" s="653"/>
      <c r="N344" s="109"/>
      <c r="O344" s="343"/>
      <c r="Q344" s="50"/>
      <c r="R344" s="50"/>
      <c r="S344" s="50"/>
      <c r="T344" s="50"/>
      <c r="U344" s="50"/>
      <c r="V344" s="50"/>
      <c r="W344" s="50"/>
      <c r="X344" s="50"/>
      <c r="Y344" s="50"/>
      <c r="Z344" s="50"/>
      <c r="AA344" s="50"/>
      <c r="AB344" s="50"/>
      <c r="AC344" s="50"/>
      <c r="AD344" s="50"/>
      <c r="AE344" s="50"/>
    </row>
    <row r="345" spans="1:31" outlineLevel="1" x14ac:dyDescent="0.25">
      <c r="A345" s="480">
        <f>ROW()</f>
        <v>345</v>
      </c>
      <c r="B345" s="178" t="str">
        <f t="shared" ref="B345:B350" si="86">$B189</f>
        <v>7th Grade Teacher</v>
      </c>
      <c r="C345" s="111">
        <f t="shared" si="83"/>
        <v>0</v>
      </c>
      <c r="D345" s="111"/>
      <c r="E345" s="111"/>
      <c r="F345" s="111"/>
      <c r="G345" s="653">
        <f t="shared" ref="G345:G350" si="87">G189*$E189</f>
        <v>0</v>
      </c>
      <c r="H345" s="653">
        <f t="shared" ref="H345:M350" si="88">(H189*$E189)</f>
        <v>0</v>
      </c>
      <c r="I345" s="653">
        <f t="shared" si="88"/>
        <v>0</v>
      </c>
      <c r="J345" s="653">
        <f t="shared" si="88"/>
        <v>0</v>
      </c>
      <c r="K345" s="653">
        <f t="shared" si="88"/>
        <v>0</v>
      </c>
      <c r="L345" s="653">
        <f t="shared" si="88"/>
        <v>0</v>
      </c>
      <c r="M345" s="653">
        <f t="shared" si="88"/>
        <v>0</v>
      </c>
      <c r="N345" s="109"/>
      <c r="O345" s="343"/>
      <c r="Q345" s="50"/>
      <c r="R345" s="50"/>
      <c r="S345" s="50"/>
      <c r="T345" s="50"/>
      <c r="U345" s="50"/>
      <c r="V345" s="50"/>
      <c r="W345" s="50"/>
      <c r="X345" s="50"/>
      <c r="Y345" s="50"/>
      <c r="Z345" s="50"/>
      <c r="AA345" s="50"/>
      <c r="AB345" s="50"/>
      <c r="AC345" s="50"/>
      <c r="AD345" s="50"/>
      <c r="AE345" s="50"/>
    </row>
    <row r="346" spans="1:31" outlineLevel="1" x14ac:dyDescent="0.25">
      <c r="A346" s="480">
        <f>ROW()</f>
        <v>346</v>
      </c>
      <c r="B346" s="178" t="str">
        <f t="shared" si="86"/>
        <v>7th Grade Teacher</v>
      </c>
      <c r="C346" s="111">
        <f t="shared" si="83"/>
        <v>0</v>
      </c>
      <c r="D346" s="111"/>
      <c r="E346" s="111"/>
      <c r="F346" s="111"/>
      <c r="G346" s="653">
        <f t="shared" si="87"/>
        <v>0</v>
      </c>
      <c r="H346" s="653">
        <f t="shared" si="88"/>
        <v>0</v>
      </c>
      <c r="I346" s="653">
        <f t="shared" si="88"/>
        <v>0</v>
      </c>
      <c r="J346" s="653">
        <f t="shared" si="88"/>
        <v>0</v>
      </c>
      <c r="K346" s="653">
        <f t="shared" si="88"/>
        <v>0</v>
      </c>
      <c r="L346" s="653">
        <f t="shared" si="88"/>
        <v>0</v>
      </c>
      <c r="M346" s="653">
        <f t="shared" si="88"/>
        <v>0</v>
      </c>
      <c r="N346" s="109"/>
      <c r="O346" s="343"/>
      <c r="Q346" s="50"/>
      <c r="R346" s="50"/>
      <c r="S346" s="50"/>
      <c r="T346" s="50"/>
      <c r="U346" s="50"/>
      <c r="V346" s="50"/>
      <c r="W346" s="50"/>
      <c r="X346" s="50"/>
      <c r="Y346" s="50"/>
      <c r="Z346" s="50"/>
      <c r="AA346" s="50"/>
      <c r="AB346" s="50"/>
      <c r="AC346" s="50"/>
      <c r="AD346" s="50"/>
      <c r="AE346" s="50"/>
    </row>
    <row r="347" spans="1:31" outlineLevel="1" x14ac:dyDescent="0.25">
      <c r="A347" s="480">
        <f>ROW()</f>
        <v>347</v>
      </c>
      <c r="B347" s="178" t="str">
        <f t="shared" si="86"/>
        <v>7th Grade Teacher</v>
      </c>
      <c r="C347" s="111">
        <f t="shared" si="83"/>
        <v>0</v>
      </c>
      <c r="D347" s="111"/>
      <c r="E347" s="111"/>
      <c r="F347" s="111"/>
      <c r="G347" s="653">
        <f t="shared" si="87"/>
        <v>0</v>
      </c>
      <c r="H347" s="653">
        <f t="shared" si="88"/>
        <v>0</v>
      </c>
      <c r="I347" s="653">
        <f t="shared" si="88"/>
        <v>0</v>
      </c>
      <c r="J347" s="653">
        <f t="shared" si="88"/>
        <v>0</v>
      </c>
      <c r="K347" s="653">
        <f t="shared" si="88"/>
        <v>0</v>
      </c>
      <c r="L347" s="653">
        <f t="shared" si="88"/>
        <v>0</v>
      </c>
      <c r="M347" s="653">
        <f t="shared" si="88"/>
        <v>0</v>
      </c>
      <c r="N347" s="109"/>
      <c r="O347" s="343"/>
      <c r="Q347" s="50"/>
      <c r="R347" s="50"/>
      <c r="S347" s="50"/>
      <c r="T347" s="50"/>
      <c r="U347" s="50"/>
      <c r="V347" s="50"/>
      <c r="W347" s="50"/>
      <c r="X347" s="50"/>
      <c r="Y347" s="50"/>
      <c r="Z347" s="50"/>
      <c r="AA347" s="50"/>
      <c r="AB347" s="50"/>
      <c r="AC347" s="50"/>
      <c r="AD347" s="50"/>
      <c r="AE347" s="50"/>
    </row>
    <row r="348" spans="1:31" outlineLevel="1" x14ac:dyDescent="0.25">
      <c r="A348" s="480">
        <f>ROW()</f>
        <v>348</v>
      </c>
      <c r="B348" s="178" t="str">
        <f t="shared" si="86"/>
        <v>7th Grade Teacher</v>
      </c>
      <c r="C348" s="111">
        <f t="shared" si="83"/>
        <v>0</v>
      </c>
      <c r="D348" s="111"/>
      <c r="E348" s="111"/>
      <c r="F348" s="111"/>
      <c r="G348" s="653">
        <f t="shared" si="87"/>
        <v>0</v>
      </c>
      <c r="H348" s="653">
        <f t="shared" si="88"/>
        <v>0</v>
      </c>
      <c r="I348" s="653">
        <f t="shared" si="88"/>
        <v>0</v>
      </c>
      <c r="J348" s="653">
        <f t="shared" si="88"/>
        <v>0</v>
      </c>
      <c r="K348" s="653">
        <f t="shared" si="88"/>
        <v>0</v>
      </c>
      <c r="L348" s="653">
        <f t="shared" si="88"/>
        <v>0</v>
      </c>
      <c r="M348" s="653">
        <f t="shared" si="88"/>
        <v>0</v>
      </c>
      <c r="N348" s="109"/>
      <c r="O348" s="343"/>
      <c r="Q348" s="50"/>
      <c r="R348" s="50"/>
      <c r="S348" s="50"/>
      <c r="T348" s="50"/>
      <c r="U348" s="50"/>
      <c r="V348" s="50"/>
      <c r="W348" s="50"/>
      <c r="X348" s="50"/>
      <c r="Y348" s="50"/>
      <c r="Z348" s="50"/>
      <c r="AA348" s="50"/>
      <c r="AB348" s="50"/>
      <c r="AC348" s="50"/>
      <c r="AD348" s="50"/>
      <c r="AE348" s="50"/>
    </row>
    <row r="349" spans="1:31" outlineLevel="1" x14ac:dyDescent="0.25">
      <c r="A349" s="480">
        <f>ROW()</f>
        <v>349</v>
      </c>
      <c r="B349" s="178">
        <f t="shared" si="86"/>
        <v>0</v>
      </c>
      <c r="C349" s="111">
        <f t="shared" si="83"/>
        <v>0</v>
      </c>
      <c r="D349" s="111"/>
      <c r="E349" s="111"/>
      <c r="F349" s="111"/>
      <c r="G349" s="653">
        <f t="shared" si="87"/>
        <v>0</v>
      </c>
      <c r="H349" s="653">
        <f t="shared" si="88"/>
        <v>0</v>
      </c>
      <c r="I349" s="653">
        <f t="shared" si="88"/>
        <v>0</v>
      </c>
      <c r="J349" s="653">
        <f t="shared" si="88"/>
        <v>0</v>
      </c>
      <c r="K349" s="653">
        <f t="shared" si="88"/>
        <v>0</v>
      </c>
      <c r="L349" s="653">
        <f t="shared" si="88"/>
        <v>0</v>
      </c>
      <c r="M349" s="653">
        <f t="shared" si="88"/>
        <v>0</v>
      </c>
      <c r="N349" s="109"/>
      <c r="O349" s="343"/>
      <c r="Q349" s="50"/>
      <c r="R349" s="50"/>
      <c r="S349" s="50"/>
      <c r="T349" s="50"/>
      <c r="U349" s="50"/>
      <c r="V349" s="50"/>
      <c r="W349" s="50"/>
      <c r="X349" s="50"/>
      <c r="Y349" s="50"/>
      <c r="Z349" s="50"/>
      <c r="AA349" s="50"/>
      <c r="AB349" s="50"/>
      <c r="AC349" s="50"/>
      <c r="AD349" s="50"/>
      <c r="AE349" s="50"/>
    </row>
    <row r="350" spans="1:31" outlineLevel="1" x14ac:dyDescent="0.25">
      <c r="A350" s="480">
        <f>ROW()</f>
        <v>350</v>
      </c>
      <c r="B350" s="178">
        <f t="shared" si="86"/>
        <v>0</v>
      </c>
      <c r="C350" s="111">
        <f t="shared" si="83"/>
        <v>0</v>
      </c>
      <c r="D350" s="111"/>
      <c r="E350" s="111"/>
      <c r="F350" s="111"/>
      <c r="G350" s="653">
        <f t="shared" si="87"/>
        <v>0</v>
      </c>
      <c r="H350" s="653">
        <f t="shared" si="88"/>
        <v>0</v>
      </c>
      <c r="I350" s="653">
        <f t="shared" si="88"/>
        <v>0</v>
      </c>
      <c r="J350" s="653">
        <f t="shared" si="88"/>
        <v>0</v>
      </c>
      <c r="K350" s="653">
        <f t="shared" si="88"/>
        <v>0</v>
      </c>
      <c r="L350" s="653">
        <f t="shared" si="88"/>
        <v>0</v>
      </c>
      <c r="M350" s="653">
        <f t="shared" si="88"/>
        <v>0</v>
      </c>
      <c r="N350" s="109"/>
      <c r="O350" s="343"/>
      <c r="Q350" s="50"/>
      <c r="R350" s="50"/>
      <c r="S350" s="50"/>
      <c r="T350" s="50"/>
      <c r="U350" s="50"/>
      <c r="V350" s="50"/>
      <c r="W350" s="50"/>
      <c r="X350" s="50"/>
      <c r="Y350" s="50"/>
      <c r="Z350" s="50"/>
      <c r="AA350" s="50"/>
      <c r="AB350" s="50"/>
      <c r="AC350" s="50"/>
      <c r="AD350" s="50"/>
      <c r="AE350" s="50"/>
    </row>
    <row r="351" spans="1:31" outlineLevel="1" x14ac:dyDescent="0.25">
      <c r="A351" s="480">
        <f>ROW()</f>
        <v>351</v>
      </c>
      <c r="B351" s="178"/>
      <c r="C351" s="111">
        <f t="shared" si="83"/>
        <v>0</v>
      </c>
      <c r="D351" s="111"/>
      <c r="E351" s="111"/>
      <c r="F351" s="111"/>
      <c r="G351" s="653"/>
      <c r="H351" s="653"/>
      <c r="I351" s="653"/>
      <c r="J351" s="653"/>
      <c r="K351" s="653"/>
      <c r="L351" s="653"/>
      <c r="M351" s="653"/>
      <c r="N351" s="109"/>
      <c r="O351" s="343"/>
      <c r="Q351" s="50"/>
      <c r="R351" s="50"/>
      <c r="S351" s="50"/>
      <c r="T351" s="50"/>
      <c r="U351" s="50"/>
      <c r="V351" s="50"/>
      <c r="W351" s="50"/>
      <c r="X351" s="50"/>
      <c r="Y351" s="50"/>
      <c r="Z351" s="50"/>
      <c r="AA351" s="50"/>
      <c r="AB351" s="50"/>
      <c r="AC351" s="50"/>
      <c r="AD351" s="50"/>
      <c r="AE351" s="50"/>
    </row>
    <row r="352" spans="1:31" outlineLevel="1" x14ac:dyDescent="0.25">
      <c r="A352" s="480">
        <f>ROW()</f>
        <v>352</v>
      </c>
      <c r="B352" s="178" t="str">
        <f>$B196</f>
        <v>8th Grade Teacher</v>
      </c>
      <c r="C352" s="111">
        <f t="shared" si="83"/>
        <v>0</v>
      </c>
      <c r="D352" s="111"/>
      <c r="E352" s="111"/>
      <c r="F352" s="111"/>
      <c r="G352" s="653">
        <f>G196*$E196</f>
        <v>0</v>
      </c>
      <c r="H352" s="653">
        <f t="shared" ref="H352:M356" si="89">(H196*$E196)</f>
        <v>0</v>
      </c>
      <c r="I352" s="653">
        <f t="shared" si="89"/>
        <v>0</v>
      </c>
      <c r="J352" s="653">
        <f t="shared" si="89"/>
        <v>0</v>
      </c>
      <c r="K352" s="653">
        <f t="shared" si="89"/>
        <v>0</v>
      </c>
      <c r="L352" s="653">
        <f t="shared" si="89"/>
        <v>0</v>
      </c>
      <c r="M352" s="653">
        <f t="shared" si="89"/>
        <v>0</v>
      </c>
      <c r="N352" s="109"/>
      <c r="O352" s="343"/>
      <c r="Q352" s="50"/>
      <c r="R352" s="50"/>
      <c r="S352" s="50"/>
      <c r="T352" s="50"/>
      <c r="U352" s="50"/>
      <c r="V352" s="50"/>
      <c r="W352" s="50"/>
      <c r="X352" s="50"/>
      <c r="Y352" s="50"/>
      <c r="Z352" s="50"/>
      <c r="AA352" s="50"/>
      <c r="AB352" s="50"/>
      <c r="AC352" s="50"/>
      <c r="AD352" s="50"/>
      <c r="AE352" s="50"/>
    </row>
    <row r="353" spans="1:31" outlineLevel="1" x14ac:dyDescent="0.25">
      <c r="A353" s="480">
        <f>ROW()</f>
        <v>353</v>
      </c>
      <c r="B353" s="178" t="str">
        <f>$B$197</f>
        <v>8th Grade Teacher</v>
      </c>
      <c r="C353" s="111">
        <f t="shared" si="83"/>
        <v>0</v>
      </c>
      <c r="D353" s="111"/>
      <c r="E353" s="111"/>
      <c r="F353" s="111"/>
      <c r="G353" s="653">
        <f>G197*$E197</f>
        <v>0</v>
      </c>
      <c r="H353" s="653">
        <f t="shared" si="89"/>
        <v>0</v>
      </c>
      <c r="I353" s="653">
        <f t="shared" si="89"/>
        <v>0</v>
      </c>
      <c r="J353" s="653">
        <f t="shared" si="89"/>
        <v>0</v>
      </c>
      <c r="K353" s="653">
        <f t="shared" si="89"/>
        <v>0</v>
      </c>
      <c r="L353" s="653">
        <f t="shared" si="89"/>
        <v>0</v>
      </c>
      <c r="M353" s="653">
        <f t="shared" si="89"/>
        <v>0</v>
      </c>
      <c r="N353" s="109"/>
      <c r="O353" s="343"/>
      <c r="Q353" s="50"/>
      <c r="R353" s="50"/>
      <c r="S353" s="50"/>
      <c r="T353" s="50"/>
      <c r="U353" s="50"/>
      <c r="V353" s="50"/>
      <c r="W353" s="50"/>
      <c r="X353" s="50"/>
      <c r="Y353" s="50"/>
      <c r="Z353" s="50"/>
      <c r="AA353" s="50"/>
      <c r="AB353" s="50"/>
      <c r="AC353" s="50"/>
      <c r="AD353" s="50"/>
      <c r="AE353" s="50"/>
    </row>
    <row r="354" spans="1:31" outlineLevel="1" x14ac:dyDescent="0.25">
      <c r="A354" s="480">
        <f>ROW()</f>
        <v>354</v>
      </c>
      <c r="B354" s="178" t="str">
        <f>$B$198</f>
        <v>8th Grade Teacher</v>
      </c>
      <c r="C354" s="111">
        <f t="shared" si="83"/>
        <v>0</v>
      </c>
      <c r="D354" s="111"/>
      <c r="E354" s="111"/>
      <c r="F354" s="111"/>
      <c r="G354" s="653">
        <f>G198*$E198</f>
        <v>0</v>
      </c>
      <c r="H354" s="653">
        <f t="shared" si="89"/>
        <v>0</v>
      </c>
      <c r="I354" s="653">
        <f t="shared" si="89"/>
        <v>0</v>
      </c>
      <c r="J354" s="653">
        <f t="shared" si="89"/>
        <v>0</v>
      </c>
      <c r="K354" s="653">
        <f t="shared" si="89"/>
        <v>0</v>
      </c>
      <c r="L354" s="653">
        <f t="shared" si="89"/>
        <v>0</v>
      </c>
      <c r="M354" s="653">
        <f t="shared" si="89"/>
        <v>0</v>
      </c>
      <c r="N354" s="109"/>
      <c r="O354" s="343"/>
      <c r="Q354" s="50"/>
      <c r="R354" s="50"/>
      <c r="S354" s="50"/>
      <c r="T354" s="50"/>
      <c r="U354" s="50"/>
      <c r="V354" s="50"/>
      <c r="W354" s="50"/>
      <c r="X354" s="50"/>
      <c r="Y354" s="50"/>
      <c r="Z354" s="50"/>
      <c r="AA354" s="50"/>
      <c r="AB354" s="50"/>
      <c r="AC354" s="50"/>
      <c r="AD354" s="50"/>
      <c r="AE354" s="50"/>
    </row>
    <row r="355" spans="1:31" outlineLevel="1" x14ac:dyDescent="0.25">
      <c r="A355" s="480">
        <f>ROW()</f>
        <v>355</v>
      </c>
      <c r="B355" s="178" t="str">
        <f>$B$199</f>
        <v>8th Grade Teacher</v>
      </c>
      <c r="C355" s="111">
        <f t="shared" si="83"/>
        <v>0</v>
      </c>
      <c r="D355" s="111"/>
      <c r="E355" s="111"/>
      <c r="F355" s="111"/>
      <c r="G355" s="653">
        <f>G199*$E199</f>
        <v>0</v>
      </c>
      <c r="H355" s="653">
        <f t="shared" si="89"/>
        <v>0</v>
      </c>
      <c r="I355" s="653">
        <f t="shared" si="89"/>
        <v>0</v>
      </c>
      <c r="J355" s="653">
        <f t="shared" si="89"/>
        <v>0</v>
      </c>
      <c r="K355" s="653">
        <f t="shared" si="89"/>
        <v>0</v>
      </c>
      <c r="L355" s="653">
        <f t="shared" si="89"/>
        <v>0</v>
      </c>
      <c r="M355" s="653">
        <f t="shared" si="89"/>
        <v>0</v>
      </c>
      <c r="N355" s="109"/>
      <c r="O355" s="343"/>
      <c r="Q355" s="50"/>
      <c r="R355" s="50"/>
      <c r="S355" s="50"/>
      <c r="T355" s="50"/>
      <c r="U355" s="50"/>
      <c r="V355" s="50"/>
      <c r="W355" s="50"/>
      <c r="X355" s="50"/>
      <c r="Y355" s="50"/>
      <c r="Z355" s="50"/>
      <c r="AA355" s="50"/>
      <c r="AB355" s="50"/>
      <c r="AC355" s="50"/>
      <c r="AD355" s="50"/>
      <c r="AE355" s="50"/>
    </row>
    <row r="356" spans="1:31" outlineLevel="1" x14ac:dyDescent="0.25">
      <c r="A356" s="480">
        <f>ROW()</f>
        <v>356</v>
      </c>
      <c r="B356" s="178">
        <f>$B$200</f>
        <v>0</v>
      </c>
      <c r="C356" s="111">
        <f t="shared" si="83"/>
        <v>0</v>
      </c>
      <c r="D356" s="111"/>
      <c r="E356" s="111"/>
      <c r="F356" s="111"/>
      <c r="G356" s="653">
        <f>G200*$E200</f>
        <v>0</v>
      </c>
      <c r="H356" s="653">
        <f t="shared" si="89"/>
        <v>0</v>
      </c>
      <c r="I356" s="653">
        <f t="shared" si="89"/>
        <v>0</v>
      </c>
      <c r="J356" s="653">
        <f t="shared" si="89"/>
        <v>0</v>
      </c>
      <c r="K356" s="653">
        <f t="shared" si="89"/>
        <v>0</v>
      </c>
      <c r="L356" s="653">
        <f t="shared" si="89"/>
        <v>0</v>
      </c>
      <c r="M356" s="653">
        <f t="shared" si="89"/>
        <v>0</v>
      </c>
      <c r="N356" s="109"/>
      <c r="O356" s="343"/>
      <c r="Q356" s="50"/>
      <c r="R356" s="50"/>
      <c r="S356" s="50"/>
      <c r="T356" s="50"/>
      <c r="U356" s="50"/>
      <c r="V356" s="50"/>
      <c r="W356" s="50"/>
      <c r="X356" s="50"/>
      <c r="Y356" s="50"/>
      <c r="Z356" s="50"/>
      <c r="AA356" s="50"/>
      <c r="AB356" s="50"/>
      <c r="AC356" s="50"/>
      <c r="AD356" s="50"/>
      <c r="AE356" s="50"/>
    </row>
    <row r="357" spans="1:31" outlineLevel="1" x14ac:dyDescent="0.25">
      <c r="A357" s="480">
        <f>ROW()</f>
        <v>357</v>
      </c>
      <c r="B357" s="178"/>
      <c r="C357" s="111">
        <f t="shared" si="83"/>
        <v>0</v>
      </c>
      <c r="D357" s="111"/>
      <c r="E357" s="111"/>
      <c r="F357" s="111"/>
      <c r="G357" s="653"/>
      <c r="H357" s="653"/>
      <c r="I357" s="653"/>
      <c r="J357" s="653"/>
      <c r="K357" s="653"/>
      <c r="L357" s="653"/>
      <c r="M357" s="653"/>
      <c r="N357" s="109"/>
      <c r="O357" s="343"/>
      <c r="Q357" s="50"/>
      <c r="R357" s="50"/>
      <c r="S357" s="50"/>
      <c r="T357" s="50"/>
      <c r="U357" s="50"/>
      <c r="V357" s="50"/>
      <c r="W357" s="50"/>
      <c r="X357" s="50"/>
      <c r="Y357" s="50"/>
      <c r="Z357" s="50"/>
      <c r="AA357" s="50"/>
      <c r="AB357" s="50"/>
      <c r="AC357" s="50"/>
      <c r="AD357" s="50"/>
      <c r="AE357" s="50"/>
    </row>
    <row r="358" spans="1:31" outlineLevel="1" x14ac:dyDescent="0.25">
      <c r="A358" s="480">
        <f>ROW()</f>
        <v>358</v>
      </c>
      <c r="B358" s="178" t="str">
        <f>$B$202</f>
        <v>PE teacher</v>
      </c>
      <c r="C358" s="111">
        <f t="shared" si="83"/>
        <v>0</v>
      </c>
      <c r="D358" s="111"/>
      <c r="E358" s="111"/>
      <c r="F358" s="111"/>
      <c r="G358" s="653">
        <f>G202*$E202</f>
        <v>0</v>
      </c>
      <c r="H358" s="653">
        <f t="shared" ref="H358:M362" si="90">(H202*$E202)</f>
        <v>0</v>
      </c>
      <c r="I358" s="653">
        <f t="shared" si="90"/>
        <v>0</v>
      </c>
      <c r="J358" s="653">
        <f t="shared" si="90"/>
        <v>0</v>
      </c>
      <c r="K358" s="653">
        <f t="shared" si="90"/>
        <v>0</v>
      </c>
      <c r="L358" s="653">
        <f t="shared" si="90"/>
        <v>0</v>
      </c>
      <c r="M358" s="653">
        <f t="shared" si="90"/>
        <v>0</v>
      </c>
      <c r="N358" s="109"/>
      <c r="O358" s="343"/>
      <c r="Q358" s="50"/>
      <c r="R358" s="50"/>
      <c r="S358" s="50"/>
      <c r="T358" s="50"/>
      <c r="U358" s="50"/>
      <c r="V358" s="50"/>
      <c r="W358" s="50"/>
      <c r="X358" s="50"/>
      <c r="Y358" s="50"/>
      <c r="Z358" s="50"/>
      <c r="AA358" s="50"/>
      <c r="AB358" s="50"/>
      <c r="AC358" s="50"/>
      <c r="AD358" s="50"/>
      <c r="AE358" s="50"/>
    </row>
    <row r="359" spans="1:31" outlineLevel="1" x14ac:dyDescent="0.25">
      <c r="A359" s="480">
        <f>ROW()</f>
        <v>359</v>
      </c>
      <c r="B359" s="178" t="str">
        <f>$B$203</f>
        <v>PE teacher</v>
      </c>
      <c r="C359" s="111">
        <f t="shared" si="83"/>
        <v>0</v>
      </c>
      <c r="D359" s="111"/>
      <c r="E359" s="111"/>
      <c r="F359" s="111"/>
      <c r="G359" s="653">
        <f>G203*$E203</f>
        <v>0</v>
      </c>
      <c r="H359" s="653">
        <f t="shared" si="90"/>
        <v>0</v>
      </c>
      <c r="I359" s="653">
        <f t="shared" si="90"/>
        <v>0</v>
      </c>
      <c r="J359" s="653">
        <f t="shared" si="90"/>
        <v>0</v>
      </c>
      <c r="K359" s="653">
        <f t="shared" si="90"/>
        <v>0</v>
      </c>
      <c r="L359" s="653">
        <f t="shared" si="90"/>
        <v>0</v>
      </c>
      <c r="M359" s="653">
        <f t="shared" si="90"/>
        <v>0</v>
      </c>
      <c r="N359" s="109"/>
      <c r="O359" s="343"/>
      <c r="Q359" s="50"/>
      <c r="R359" s="50"/>
      <c r="S359" s="50"/>
      <c r="T359" s="50"/>
      <c r="U359" s="50"/>
      <c r="V359" s="50"/>
      <c r="W359" s="50"/>
      <c r="X359" s="50"/>
      <c r="Y359" s="50"/>
      <c r="Z359" s="50"/>
      <c r="AA359" s="50"/>
      <c r="AB359" s="50"/>
      <c r="AC359" s="50"/>
      <c r="AD359" s="50"/>
      <c r="AE359" s="50"/>
    </row>
    <row r="360" spans="1:31" outlineLevel="1" x14ac:dyDescent="0.25">
      <c r="A360" s="480">
        <f>ROW()</f>
        <v>360</v>
      </c>
      <c r="B360" s="178" t="str">
        <f>$B$204</f>
        <v>Grade Level Teacher</v>
      </c>
      <c r="C360" s="111">
        <f t="shared" si="83"/>
        <v>0</v>
      </c>
      <c r="D360" s="111"/>
      <c r="E360" s="111"/>
      <c r="F360" s="111"/>
      <c r="G360" s="653">
        <f>G204*$E204</f>
        <v>0</v>
      </c>
      <c r="H360" s="653">
        <f t="shared" si="90"/>
        <v>0</v>
      </c>
      <c r="I360" s="653">
        <f t="shared" si="90"/>
        <v>0</v>
      </c>
      <c r="J360" s="653">
        <f t="shared" si="90"/>
        <v>0</v>
      </c>
      <c r="K360" s="653">
        <f t="shared" si="90"/>
        <v>0</v>
      </c>
      <c r="L360" s="653">
        <f t="shared" si="90"/>
        <v>0</v>
      </c>
      <c r="M360" s="653">
        <f t="shared" si="90"/>
        <v>0</v>
      </c>
      <c r="N360" s="109"/>
      <c r="O360" s="343"/>
      <c r="Q360" s="50"/>
      <c r="R360" s="50"/>
      <c r="S360" s="50"/>
      <c r="T360" s="50"/>
      <c r="U360" s="50"/>
      <c r="V360" s="50"/>
      <c r="W360" s="50"/>
      <c r="X360" s="50"/>
      <c r="Y360" s="50"/>
      <c r="Z360" s="50"/>
      <c r="AA360" s="50"/>
      <c r="AB360" s="50"/>
      <c r="AC360" s="50"/>
      <c r="AD360" s="50"/>
      <c r="AE360" s="50"/>
    </row>
    <row r="361" spans="1:31" outlineLevel="1" x14ac:dyDescent="0.25">
      <c r="A361" s="480">
        <f>ROW()</f>
        <v>361</v>
      </c>
      <c r="B361" s="178" t="str">
        <f>$B$205</f>
        <v>Grade Level Teacher</v>
      </c>
      <c r="C361" s="111">
        <f t="shared" si="83"/>
        <v>0</v>
      </c>
      <c r="D361" s="111"/>
      <c r="E361" s="111"/>
      <c r="F361" s="111"/>
      <c r="G361" s="653">
        <f>G205*$E205</f>
        <v>0</v>
      </c>
      <c r="H361" s="653">
        <f t="shared" si="90"/>
        <v>0</v>
      </c>
      <c r="I361" s="653">
        <f t="shared" si="90"/>
        <v>0</v>
      </c>
      <c r="J361" s="653">
        <f t="shared" si="90"/>
        <v>0</v>
      </c>
      <c r="K361" s="653">
        <f t="shared" si="90"/>
        <v>0</v>
      </c>
      <c r="L361" s="653">
        <f t="shared" si="90"/>
        <v>0</v>
      </c>
      <c r="M361" s="653">
        <f t="shared" si="90"/>
        <v>0</v>
      </c>
      <c r="N361" s="109"/>
      <c r="O361" s="343"/>
      <c r="Q361" s="50"/>
      <c r="R361" s="50"/>
      <c r="S361" s="50"/>
      <c r="T361" s="50"/>
      <c r="U361" s="50"/>
      <c r="V361" s="50"/>
      <c r="W361" s="50"/>
      <c r="X361" s="50"/>
      <c r="Y361" s="50"/>
      <c r="Z361" s="50"/>
      <c r="AA361" s="50"/>
      <c r="AB361" s="50"/>
      <c r="AC361" s="50"/>
      <c r="AD361" s="50"/>
      <c r="AE361" s="50"/>
    </row>
    <row r="362" spans="1:31" outlineLevel="1" x14ac:dyDescent="0.25">
      <c r="A362" s="480">
        <f>ROW()</f>
        <v>362</v>
      </c>
      <c r="B362" s="178" t="str">
        <f>$B$206</f>
        <v>Grade Level Teacher</v>
      </c>
      <c r="C362" s="111">
        <f t="shared" si="83"/>
        <v>0</v>
      </c>
      <c r="D362" s="111"/>
      <c r="E362" s="111"/>
      <c r="F362" s="111"/>
      <c r="G362" s="653">
        <f>G206*$E206</f>
        <v>0</v>
      </c>
      <c r="H362" s="653">
        <f t="shared" si="90"/>
        <v>0</v>
      </c>
      <c r="I362" s="653">
        <f t="shared" si="90"/>
        <v>0</v>
      </c>
      <c r="J362" s="653">
        <f t="shared" si="90"/>
        <v>0</v>
      </c>
      <c r="K362" s="653">
        <f t="shared" si="90"/>
        <v>0</v>
      </c>
      <c r="L362" s="653">
        <f t="shared" si="90"/>
        <v>0</v>
      </c>
      <c r="M362" s="653">
        <f t="shared" si="90"/>
        <v>0</v>
      </c>
      <c r="N362" s="109"/>
      <c r="O362" s="343"/>
      <c r="Q362" s="50"/>
      <c r="R362" s="50"/>
      <c r="S362" s="50"/>
      <c r="T362" s="50"/>
      <c r="U362" s="50"/>
      <c r="V362" s="50"/>
      <c r="W362" s="50"/>
      <c r="X362" s="50"/>
      <c r="Y362" s="50"/>
      <c r="Z362" s="50"/>
      <c r="AA362" s="50"/>
      <c r="AB362" s="50"/>
      <c r="AC362" s="50"/>
      <c r="AD362" s="50"/>
      <c r="AE362" s="50"/>
    </row>
    <row r="363" spans="1:31" outlineLevel="1" x14ac:dyDescent="0.25">
      <c r="A363" s="480">
        <f>ROW()</f>
        <v>363</v>
      </c>
      <c r="B363" s="178"/>
      <c r="C363" s="111">
        <f t="shared" ref="C363:C392" si="91">SUM(G363:M363)</f>
        <v>0</v>
      </c>
      <c r="D363" s="111"/>
      <c r="E363" s="111"/>
      <c r="F363" s="111"/>
      <c r="G363" s="653"/>
      <c r="H363" s="653"/>
      <c r="I363" s="653"/>
      <c r="J363" s="653"/>
      <c r="K363" s="653"/>
      <c r="L363" s="653"/>
      <c r="M363" s="653"/>
      <c r="N363" s="109"/>
      <c r="O363" s="343"/>
      <c r="Q363" s="50"/>
      <c r="R363" s="50"/>
      <c r="S363" s="50"/>
      <c r="T363" s="50"/>
      <c r="U363" s="50"/>
      <c r="V363" s="50"/>
      <c r="W363" s="50"/>
      <c r="X363" s="50"/>
      <c r="Y363" s="50"/>
      <c r="Z363" s="50"/>
      <c r="AA363" s="50"/>
      <c r="AB363" s="50"/>
      <c r="AC363" s="50"/>
      <c r="AD363" s="50"/>
      <c r="AE363" s="50"/>
    </row>
    <row r="364" spans="1:31" outlineLevel="1" x14ac:dyDescent="0.25">
      <c r="A364" s="480">
        <f>ROW()</f>
        <v>364</v>
      </c>
      <c r="B364" s="178" t="str">
        <f>$B$208</f>
        <v>STEAM Teacher</v>
      </c>
      <c r="C364" s="111">
        <f t="shared" si="91"/>
        <v>0</v>
      </c>
      <c r="D364" s="111"/>
      <c r="E364" s="111"/>
      <c r="F364" s="111"/>
      <c r="G364" s="653">
        <f>G208*$E208</f>
        <v>0</v>
      </c>
      <c r="H364" s="653">
        <f t="shared" ref="H364:M368" si="92">(H208*$E208)</f>
        <v>0</v>
      </c>
      <c r="I364" s="653">
        <f t="shared" si="92"/>
        <v>0</v>
      </c>
      <c r="J364" s="653">
        <f t="shared" si="92"/>
        <v>0</v>
      </c>
      <c r="K364" s="653">
        <f t="shared" si="92"/>
        <v>0</v>
      </c>
      <c r="L364" s="653">
        <f t="shared" si="92"/>
        <v>0</v>
      </c>
      <c r="M364" s="653">
        <f t="shared" si="92"/>
        <v>0</v>
      </c>
      <c r="N364" s="109"/>
      <c r="O364" s="343"/>
      <c r="Q364" s="50"/>
      <c r="R364" s="50"/>
      <c r="S364" s="50"/>
      <c r="T364" s="50"/>
      <c r="U364" s="50"/>
      <c r="V364" s="50"/>
      <c r="W364" s="50"/>
      <c r="X364" s="50"/>
      <c r="Y364" s="50"/>
      <c r="Z364" s="50"/>
      <c r="AA364" s="50"/>
      <c r="AB364" s="50"/>
      <c r="AC364" s="50"/>
      <c r="AD364" s="50"/>
      <c r="AE364" s="50"/>
    </row>
    <row r="365" spans="1:31" outlineLevel="1" x14ac:dyDescent="0.25">
      <c r="A365" s="480">
        <f>ROW()</f>
        <v>365</v>
      </c>
      <c r="B365" s="178" t="str">
        <f>$B$209</f>
        <v>STEAM Teacher</v>
      </c>
      <c r="C365" s="111">
        <f t="shared" si="91"/>
        <v>0</v>
      </c>
      <c r="D365" s="111"/>
      <c r="E365" s="111"/>
      <c r="F365" s="111"/>
      <c r="G365" s="653">
        <f>G209*$E209</f>
        <v>0</v>
      </c>
      <c r="H365" s="653">
        <f t="shared" si="92"/>
        <v>0</v>
      </c>
      <c r="I365" s="653">
        <f t="shared" si="92"/>
        <v>0</v>
      </c>
      <c r="J365" s="653">
        <f t="shared" si="92"/>
        <v>0</v>
      </c>
      <c r="K365" s="653">
        <f t="shared" si="92"/>
        <v>0</v>
      </c>
      <c r="L365" s="653">
        <f t="shared" si="92"/>
        <v>0</v>
      </c>
      <c r="M365" s="653">
        <f t="shared" si="92"/>
        <v>0</v>
      </c>
      <c r="N365" s="109"/>
      <c r="O365" s="343"/>
      <c r="Q365" s="50"/>
      <c r="R365" s="50"/>
      <c r="S365" s="50"/>
      <c r="T365" s="50"/>
      <c r="U365" s="50"/>
      <c r="V365" s="50"/>
      <c r="W365" s="50"/>
      <c r="X365" s="50"/>
      <c r="Y365" s="50"/>
      <c r="Z365" s="50"/>
      <c r="AA365" s="50"/>
      <c r="AB365" s="50"/>
      <c r="AC365" s="50"/>
      <c r="AD365" s="50"/>
      <c r="AE365" s="50"/>
    </row>
    <row r="366" spans="1:31" outlineLevel="1" x14ac:dyDescent="0.25">
      <c r="A366" s="480">
        <f>ROW()</f>
        <v>366</v>
      </c>
      <c r="B366" s="178" t="str">
        <f>$B$210</f>
        <v>Grade Level Teacher</v>
      </c>
      <c r="C366" s="111">
        <f t="shared" si="91"/>
        <v>0</v>
      </c>
      <c r="D366" s="111"/>
      <c r="E366" s="111"/>
      <c r="F366" s="111"/>
      <c r="G366" s="653">
        <f>G210*$E210</f>
        <v>0</v>
      </c>
      <c r="H366" s="653">
        <f t="shared" si="92"/>
        <v>0</v>
      </c>
      <c r="I366" s="653">
        <f t="shared" si="92"/>
        <v>0</v>
      </c>
      <c r="J366" s="653">
        <f t="shared" si="92"/>
        <v>0</v>
      </c>
      <c r="K366" s="653">
        <f t="shared" si="92"/>
        <v>0</v>
      </c>
      <c r="L366" s="653">
        <f t="shared" si="92"/>
        <v>0</v>
      </c>
      <c r="M366" s="653">
        <f t="shared" si="92"/>
        <v>0</v>
      </c>
      <c r="N366" s="109"/>
      <c r="O366" s="343"/>
      <c r="Q366" s="50"/>
      <c r="R366" s="50"/>
      <c r="S366" s="50"/>
      <c r="T366" s="50"/>
      <c r="U366" s="50"/>
      <c r="V366" s="50"/>
      <c r="W366" s="50"/>
      <c r="X366" s="50"/>
      <c r="Y366" s="50"/>
      <c r="Z366" s="50"/>
      <c r="AA366" s="50"/>
      <c r="AB366" s="50"/>
      <c r="AC366" s="50"/>
      <c r="AD366" s="50"/>
      <c r="AE366" s="50"/>
    </row>
    <row r="367" spans="1:31" outlineLevel="1" x14ac:dyDescent="0.25">
      <c r="A367" s="480">
        <f>ROW()</f>
        <v>367</v>
      </c>
      <c r="B367" s="178" t="str">
        <f>$B$211</f>
        <v>Grade Level Teacher</v>
      </c>
      <c r="C367" s="111">
        <f t="shared" si="91"/>
        <v>0</v>
      </c>
      <c r="D367" s="111"/>
      <c r="E367" s="111"/>
      <c r="F367" s="111"/>
      <c r="G367" s="653">
        <f>G211*$E211</f>
        <v>0</v>
      </c>
      <c r="H367" s="653">
        <f t="shared" si="92"/>
        <v>0</v>
      </c>
      <c r="I367" s="653">
        <f t="shared" si="92"/>
        <v>0</v>
      </c>
      <c r="J367" s="653">
        <f t="shared" si="92"/>
        <v>0</v>
      </c>
      <c r="K367" s="653">
        <f t="shared" si="92"/>
        <v>0</v>
      </c>
      <c r="L367" s="653">
        <f t="shared" si="92"/>
        <v>0</v>
      </c>
      <c r="M367" s="653">
        <f t="shared" si="92"/>
        <v>0</v>
      </c>
      <c r="N367" s="109"/>
      <c r="O367" s="343"/>
      <c r="Q367" s="50"/>
      <c r="R367" s="50"/>
      <c r="S367" s="50"/>
      <c r="T367" s="50"/>
      <c r="U367" s="50"/>
      <c r="V367" s="50"/>
      <c r="W367" s="50"/>
      <c r="X367" s="50"/>
      <c r="Y367" s="50"/>
      <c r="Z367" s="50"/>
      <c r="AA367" s="50"/>
      <c r="AB367" s="50"/>
      <c r="AC367" s="50"/>
      <c r="AD367" s="50"/>
      <c r="AE367" s="50"/>
    </row>
    <row r="368" spans="1:31" outlineLevel="1" x14ac:dyDescent="0.25">
      <c r="A368" s="480">
        <f>ROW()</f>
        <v>368</v>
      </c>
      <c r="B368" s="178" t="str">
        <f>$B$212</f>
        <v>Grade Level Teacher</v>
      </c>
      <c r="C368" s="111">
        <f t="shared" si="91"/>
        <v>0</v>
      </c>
      <c r="D368" s="111"/>
      <c r="E368" s="111"/>
      <c r="F368" s="111"/>
      <c r="G368" s="653">
        <f>G212*$E212</f>
        <v>0</v>
      </c>
      <c r="H368" s="653">
        <f t="shared" si="92"/>
        <v>0</v>
      </c>
      <c r="I368" s="653">
        <f t="shared" si="92"/>
        <v>0</v>
      </c>
      <c r="J368" s="653">
        <f t="shared" si="92"/>
        <v>0</v>
      </c>
      <c r="K368" s="653">
        <f t="shared" si="92"/>
        <v>0</v>
      </c>
      <c r="L368" s="653">
        <f t="shared" si="92"/>
        <v>0</v>
      </c>
      <c r="M368" s="653">
        <f t="shared" si="92"/>
        <v>0</v>
      </c>
      <c r="N368" s="109"/>
      <c r="O368" s="343"/>
      <c r="Q368" s="50"/>
      <c r="R368" s="50"/>
      <c r="S368" s="50"/>
      <c r="T368" s="50"/>
      <c r="U368" s="50"/>
      <c r="V368" s="50"/>
      <c r="W368" s="50"/>
      <c r="X368" s="50"/>
      <c r="Y368" s="50"/>
      <c r="Z368" s="50"/>
      <c r="AA368" s="50"/>
      <c r="AB368" s="50"/>
      <c r="AC368" s="50"/>
      <c r="AD368" s="50"/>
      <c r="AE368" s="50"/>
    </row>
    <row r="369" spans="1:31" outlineLevel="1" x14ac:dyDescent="0.25">
      <c r="A369" s="480">
        <f>ROW()</f>
        <v>369</v>
      </c>
      <c r="B369" s="178"/>
      <c r="C369" s="111">
        <f t="shared" si="91"/>
        <v>0</v>
      </c>
      <c r="D369" s="111"/>
      <c r="E369" s="111"/>
      <c r="F369" s="111"/>
      <c r="G369" s="653"/>
      <c r="H369" s="653"/>
      <c r="I369" s="653"/>
      <c r="J369" s="653"/>
      <c r="K369" s="653"/>
      <c r="L369" s="653"/>
      <c r="M369" s="653"/>
      <c r="N369" s="109"/>
      <c r="O369" s="343"/>
      <c r="Q369" s="50"/>
      <c r="R369" s="50"/>
      <c r="S369" s="50"/>
      <c r="T369" s="50"/>
      <c r="U369" s="50"/>
      <c r="V369" s="50"/>
      <c r="W369" s="50"/>
      <c r="X369" s="50"/>
      <c r="Y369" s="50"/>
      <c r="Z369" s="50"/>
      <c r="AA369" s="50"/>
      <c r="AB369" s="50"/>
      <c r="AC369" s="50"/>
      <c r="AD369" s="50"/>
      <c r="AE369" s="50"/>
    </row>
    <row r="370" spans="1:31" outlineLevel="1" x14ac:dyDescent="0.25">
      <c r="A370" s="480">
        <f>ROW()</f>
        <v>370</v>
      </c>
      <c r="B370" s="178" t="str">
        <f>$B$214</f>
        <v>Spanish Teacher</v>
      </c>
      <c r="C370" s="111">
        <f t="shared" si="91"/>
        <v>0</v>
      </c>
      <c r="D370" s="111"/>
      <c r="E370" s="111"/>
      <c r="F370" s="111"/>
      <c r="G370" s="653">
        <f>G214*$E214</f>
        <v>0</v>
      </c>
      <c r="H370" s="653">
        <f t="shared" ref="H370:M374" si="93">(H214*$E214)</f>
        <v>0</v>
      </c>
      <c r="I370" s="653">
        <f t="shared" si="93"/>
        <v>0</v>
      </c>
      <c r="J370" s="653">
        <f t="shared" si="93"/>
        <v>0</v>
      </c>
      <c r="K370" s="653">
        <f t="shared" si="93"/>
        <v>0</v>
      </c>
      <c r="L370" s="653">
        <f t="shared" si="93"/>
        <v>0</v>
      </c>
      <c r="M370" s="653">
        <f t="shared" si="93"/>
        <v>0</v>
      </c>
      <c r="N370" s="109"/>
      <c r="O370" s="343"/>
      <c r="Q370" s="50"/>
      <c r="R370" s="50"/>
      <c r="S370" s="50"/>
      <c r="T370" s="50"/>
      <c r="U370" s="50"/>
      <c r="V370" s="50"/>
      <c r="W370" s="50"/>
      <c r="X370" s="50"/>
      <c r="Y370" s="50"/>
      <c r="Z370" s="50"/>
      <c r="AA370" s="50"/>
      <c r="AB370" s="50"/>
      <c r="AC370" s="50"/>
      <c r="AD370" s="50"/>
      <c r="AE370" s="50"/>
    </row>
    <row r="371" spans="1:31" outlineLevel="1" x14ac:dyDescent="0.25">
      <c r="A371" s="480">
        <f>ROW()</f>
        <v>371</v>
      </c>
      <c r="B371" s="178" t="str">
        <f>$B$215</f>
        <v>Art Teacher</v>
      </c>
      <c r="C371" s="111">
        <f t="shared" si="91"/>
        <v>0</v>
      </c>
      <c r="D371" s="111"/>
      <c r="E371" s="111"/>
      <c r="F371" s="111"/>
      <c r="G371" s="653">
        <f>G215*$E215</f>
        <v>0</v>
      </c>
      <c r="H371" s="653">
        <f t="shared" si="93"/>
        <v>0</v>
      </c>
      <c r="I371" s="653">
        <f t="shared" si="93"/>
        <v>0</v>
      </c>
      <c r="J371" s="653">
        <f t="shared" si="93"/>
        <v>0</v>
      </c>
      <c r="K371" s="653">
        <f t="shared" si="93"/>
        <v>0</v>
      </c>
      <c r="L371" s="653">
        <f t="shared" si="93"/>
        <v>0</v>
      </c>
      <c r="M371" s="653">
        <f t="shared" si="93"/>
        <v>0</v>
      </c>
      <c r="N371" s="109"/>
      <c r="O371" s="343"/>
      <c r="Q371" s="50"/>
      <c r="R371" s="50"/>
      <c r="S371" s="50"/>
      <c r="T371" s="50"/>
      <c r="U371" s="50"/>
      <c r="V371" s="50"/>
      <c r="W371" s="50"/>
      <c r="X371" s="50"/>
      <c r="Y371" s="50"/>
      <c r="Z371" s="50"/>
      <c r="AA371" s="50"/>
      <c r="AB371" s="50"/>
      <c r="AC371" s="50"/>
      <c r="AD371" s="50"/>
      <c r="AE371" s="50"/>
    </row>
    <row r="372" spans="1:31" outlineLevel="1" x14ac:dyDescent="0.25">
      <c r="A372" s="480">
        <f>ROW()</f>
        <v>372</v>
      </c>
      <c r="B372" s="178" t="str">
        <f>$B$216</f>
        <v>Grade Level Teacher</v>
      </c>
      <c r="C372" s="111">
        <f t="shared" si="91"/>
        <v>0</v>
      </c>
      <c r="D372" s="111"/>
      <c r="E372" s="111"/>
      <c r="F372" s="111"/>
      <c r="G372" s="653">
        <f>G216*$E216</f>
        <v>0</v>
      </c>
      <c r="H372" s="653">
        <f t="shared" si="93"/>
        <v>0</v>
      </c>
      <c r="I372" s="653">
        <f t="shared" si="93"/>
        <v>0</v>
      </c>
      <c r="J372" s="653">
        <f t="shared" si="93"/>
        <v>0</v>
      </c>
      <c r="K372" s="653">
        <f t="shared" si="93"/>
        <v>0</v>
      </c>
      <c r="L372" s="653">
        <f t="shared" si="93"/>
        <v>0</v>
      </c>
      <c r="M372" s="653">
        <f t="shared" si="93"/>
        <v>0</v>
      </c>
      <c r="N372" s="109"/>
      <c r="O372" s="343"/>
      <c r="Q372" s="50"/>
      <c r="R372" s="50"/>
      <c r="S372" s="50"/>
      <c r="T372" s="50"/>
      <c r="U372" s="50"/>
      <c r="V372" s="50"/>
      <c r="W372" s="50"/>
      <c r="X372" s="50"/>
      <c r="Y372" s="50"/>
      <c r="Z372" s="50"/>
      <c r="AA372" s="50"/>
      <c r="AB372" s="50"/>
      <c r="AC372" s="50"/>
      <c r="AD372" s="50"/>
      <c r="AE372" s="50"/>
    </row>
    <row r="373" spans="1:31" outlineLevel="1" x14ac:dyDescent="0.25">
      <c r="A373" s="480">
        <f>ROW()</f>
        <v>373</v>
      </c>
      <c r="B373" s="178" t="str">
        <f>$B$217</f>
        <v>Grade Level Teacher</v>
      </c>
      <c r="C373" s="111">
        <f t="shared" si="91"/>
        <v>0</v>
      </c>
      <c r="D373" s="111"/>
      <c r="E373" s="111"/>
      <c r="F373" s="111"/>
      <c r="G373" s="653">
        <f>G217*$E217</f>
        <v>0</v>
      </c>
      <c r="H373" s="653">
        <f t="shared" si="93"/>
        <v>0</v>
      </c>
      <c r="I373" s="653">
        <f t="shared" si="93"/>
        <v>0</v>
      </c>
      <c r="J373" s="653">
        <f t="shared" si="93"/>
        <v>0</v>
      </c>
      <c r="K373" s="653">
        <f t="shared" si="93"/>
        <v>0</v>
      </c>
      <c r="L373" s="653">
        <f t="shared" si="93"/>
        <v>0</v>
      </c>
      <c r="M373" s="653">
        <f t="shared" si="93"/>
        <v>0</v>
      </c>
      <c r="N373" s="109"/>
      <c r="O373" s="343"/>
      <c r="Q373" s="50"/>
      <c r="R373" s="50"/>
      <c r="S373" s="50"/>
      <c r="T373" s="50"/>
      <c r="U373" s="50"/>
      <c r="V373" s="50"/>
      <c r="W373" s="50"/>
      <c r="X373" s="50"/>
      <c r="Y373" s="50"/>
      <c r="Z373" s="50"/>
      <c r="AA373" s="50"/>
      <c r="AB373" s="50"/>
      <c r="AC373" s="50"/>
      <c r="AD373" s="50"/>
      <c r="AE373" s="50"/>
    </row>
    <row r="374" spans="1:31" outlineLevel="1" x14ac:dyDescent="0.25">
      <c r="A374" s="480">
        <f>ROW()</f>
        <v>374</v>
      </c>
      <c r="B374" s="178" t="str">
        <f>$B$218</f>
        <v>Grade Level Teacher</v>
      </c>
      <c r="C374" s="111">
        <f t="shared" si="91"/>
        <v>0</v>
      </c>
      <c r="D374" s="111"/>
      <c r="E374" s="111"/>
      <c r="F374" s="111"/>
      <c r="G374" s="653">
        <f>G218*$E218</f>
        <v>0</v>
      </c>
      <c r="H374" s="653">
        <f t="shared" si="93"/>
        <v>0</v>
      </c>
      <c r="I374" s="653">
        <f t="shared" si="93"/>
        <v>0</v>
      </c>
      <c r="J374" s="653">
        <f t="shared" si="93"/>
        <v>0</v>
      </c>
      <c r="K374" s="653">
        <f t="shared" si="93"/>
        <v>0</v>
      </c>
      <c r="L374" s="653">
        <f t="shared" si="93"/>
        <v>0</v>
      </c>
      <c r="M374" s="653">
        <f t="shared" si="93"/>
        <v>0</v>
      </c>
      <c r="N374" s="109"/>
      <c r="O374" s="343"/>
      <c r="Q374" s="50"/>
      <c r="R374" s="50"/>
      <c r="S374" s="50"/>
      <c r="T374" s="50"/>
      <c r="U374" s="50"/>
      <c r="V374" s="50"/>
      <c r="W374" s="50"/>
      <c r="X374" s="50"/>
      <c r="Y374" s="50"/>
      <c r="Z374" s="50"/>
      <c r="AA374" s="50"/>
      <c r="AB374" s="50"/>
      <c r="AC374" s="50"/>
      <c r="AD374" s="50"/>
      <c r="AE374" s="50"/>
    </row>
    <row r="375" spans="1:31" outlineLevel="1" x14ac:dyDescent="0.25">
      <c r="A375" s="480">
        <f>ROW()</f>
        <v>375</v>
      </c>
      <c r="B375" s="178"/>
      <c r="C375" s="111">
        <f t="shared" si="91"/>
        <v>0</v>
      </c>
      <c r="D375" s="111"/>
      <c r="E375" s="111"/>
      <c r="F375" s="111"/>
      <c r="G375" s="653"/>
      <c r="H375" s="653"/>
      <c r="I375" s="653"/>
      <c r="J375" s="653"/>
      <c r="K375" s="653"/>
      <c r="L375" s="653"/>
      <c r="M375" s="653"/>
      <c r="N375" s="109"/>
      <c r="O375" s="343"/>
      <c r="Q375" s="50"/>
      <c r="R375" s="50"/>
      <c r="S375" s="50"/>
      <c r="T375" s="50"/>
      <c r="U375" s="50"/>
      <c r="V375" s="50"/>
      <c r="W375" s="50"/>
      <c r="X375" s="50"/>
      <c r="Y375" s="50"/>
      <c r="Z375" s="50"/>
      <c r="AA375" s="50"/>
      <c r="AB375" s="50"/>
      <c r="AC375" s="50"/>
      <c r="AD375" s="50"/>
      <c r="AE375" s="50"/>
    </row>
    <row r="376" spans="1:31" outlineLevel="1" x14ac:dyDescent="0.25">
      <c r="A376" s="480">
        <f>ROW()</f>
        <v>376</v>
      </c>
      <c r="B376" s="178" t="str">
        <f>$B$220</f>
        <v>Grade Level Teacher</v>
      </c>
      <c r="C376" s="111">
        <f t="shared" si="91"/>
        <v>0</v>
      </c>
      <c r="D376" s="111"/>
      <c r="E376" s="111"/>
      <c r="F376" s="111"/>
      <c r="G376" s="653">
        <f>G220*$E220</f>
        <v>0</v>
      </c>
      <c r="H376" s="653">
        <f t="shared" ref="H376:M380" si="94">(H220*$E220)</f>
        <v>0</v>
      </c>
      <c r="I376" s="653">
        <f t="shared" si="94"/>
        <v>0</v>
      </c>
      <c r="J376" s="653">
        <f t="shared" si="94"/>
        <v>0</v>
      </c>
      <c r="K376" s="653">
        <f t="shared" si="94"/>
        <v>0</v>
      </c>
      <c r="L376" s="653">
        <f t="shared" si="94"/>
        <v>0</v>
      </c>
      <c r="M376" s="653">
        <f t="shared" si="94"/>
        <v>0</v>
      </c>
      <c r="N376" s="109"/>
      <c r="O376" s="343"/>
      <c r="Q376" s="50"/>
      <c r="R376" s="50"/>
      <c r="S376" s="50"/>
      <c r="T376" s="50"/>
      <c r="U376" s="50"/>
      <c r="V376" s="50"/>
      <c r="W376" s="50"/>
      <c r="X376" s="50"/>
      <c r="Y376" s="50"/>
      <c r="Z376" s="50"/>
      <c r="AA376" s="50"/>
      <c r="AB376" s="50"/>
      <c r="AC376" s="50"/>
      <c r="AD376" s="50"/>
      <c r="AE376" s="50"/>
    </row>
    <row r="377" spans="1:31" outlineLevel="1" x14ac:dyDescent="0.25">
      <c r="A377" s="480">
        <f>ROW()</f>
        <v>377</v>
      </c>
      <c r="B377" s="178" t="str">
        <f>$B$221</f>
        <v>Grade Level Teacher</v>
      </c>
      <c r="C377" s="111">
        <f t="shared" si="91"/>
        <v>0</v>
      </c>
      <c r="D377" s="111"/>
      <c r="E377" s="111"/>
      <c r="F377" s="111"/>
      <c r="G377" s="653">
        <f>G221*$E221</f>
        <v>0</v>
      </c>
      <c r="H377" s="653">
        <f t="shared" si="94"/>
        <v>0</v>
      </c>
      <c r="I377" s="653">
        <f t="shared" si="94"/>
        <v>0</v>
      </c>
      <c r="J377" s="653">
        <f t="shared" si="94"/>
        <v>0</v>
      </c>
      <c r="K377" s="653">
        <f t="shared" si="94"/>
        <v>0</v>
      </c>
      <c r="L377" s="653">
        <f t="shared" si="94"/>
        <v>0</v>
      </c>
      <c r="M377" s="653">
        <f t="shared" si="94"/>
        <v>0</v>
      </c>
      <c r="N377" s="109"/>
      <c r="O377" s="343"/>
      <c r="Q377" s="50"/>
      <c r="R377" s="50"/>
      <c r="S377" s="50"/>
      <c r="T377" s="50"/>
      <c r="U377" s="50"/>
      <c r="V377" s="50"/>
      <c r="W377" s="50"/>
      <c r="X377" s="50"/>
      <c r="Y377" s="50"/>
      <c r="Z377" s="50"/>
      <c r="AA377" s="50"/>
      <c r="AB377" s="50"/>
      <c r="AC377" s="50"/>
      <c r="AD377" s="50"/>
      <c r="AE377" s="50"/>
    </row>
    <row r="378" spans="1:31" outlineLevel="1" x14ac:dyDescent="0.25">
      <c r="A378" s="480">
        <f>ROW()</f>
        <v>378</v>
      </c>
      <c r="B378" s="178" t="str">
        <f>$B$222</f>
        <v>Grade Level Teacher</v>
      </c>
      <c r="C378" s="111">
        <f t="shared" si="91"/>
        <v>0</v>
      </c>
      <c r="D378" s="111"/>
      <c r="E378" s="111"/>
      <c r="F378" s="111"/>
      <c r="G378" s="653">
        <f>G222*$E222</f>
        <v>0</v>
      </c>
      <c r="H378" s="653">
        <f t="shared" si="94"/>
        <v>0</v>
      </c>
      <c r="I378" s="653">
        <f t="shared" si="94"/>
        <v>0</v>
      </c>
      <c r="J378" s="653">
        <f t="shared" si="94"/>
        <v>0</v>
      </c>
      <c r="K378" s="653">
        <f t="shared" si="94"/>
        <v>0</v>
      </c>
      <c r="L378" s="653">
        <f t="shared" si="94"/>
        <v>0</v>
      </c>
      <c r="M378" s="653">
        <f t="shared" si="94"/>
        <v>0</v>
      </c>
      <c r="N378" s="109"/>
      <c r="O378" s="343"/>
      <c r="Q378" s="50"/>
      <c r="R378" s="50"/>
      <c r="S378" s="50"/>
      <c r="T378" s="50"/>
      <c r="U378" s="50"/>
      <c r="V378" s="50"/>
      <c r="W378" s="50"/>
      <c r="X378" s="50"/>
      <c r="Y378" s="50"/>
      <c r="Z378" s="50"/>
      <c r="AA378" s="50"/>
      <c r="AB378" s="50"/>
      <c r="AC378" s="50"/>
      <c r="AD378" s="50"/>
      <c r="AE378" s="50"/>
    </row>
    <row r="379" spans="1:31" outlineLevel="1" x14ac:dyDescent="0.25">
      <c r="A379" s="480">
        <f>ROW()</f>
        <v>379</v>
      </c>
      <c r="B379" s="178" t="str">
        <f>$B$223</f>
        <v>Grade Level Teacher</v>
      </c>
      <c r="C379" s="111">
        <f t="shared" si="91"/>
        <v>0</v>
      </c>
      <c r="D379" s="111"/>
      <c r="E379" s="111"/>
      <c r="F379" s="111"/>
      <c r="G379" s="653">
        <f>G223*$E223</f>
        <v>0</v>
      </c>
      <c r="H379" s="653">
        <f t="shared" si="94"/>
        <v>0</v>
      </c>
      <c r="I379" s="653">
        <f t="shared" si="94"/>
        <v>0</v>
      </c>
      <c r="J379" s="653">
        <f t="shared" si="94"/>
        <v>0</v>
      </c>
      <c r="K379" s="653">
        <f t="shared" si="94"/>
        <v>0</v>
      </c>
      <c r="L379" s="653">
        <f t="shared" si="94"/>
        <v>0</v>
      </c>
      <c r="M379" s="653">
        <f t="shared" si="94"/>
        <v>0</v>
      </c>
      <c r="N379" s="109"/>
      <c r="O379" s="343"/>
      <c r="Q379" s="50"/>
      <c r="R379" s="50"/>
      <c r="S379" s="50"/>
      <c r="T379" s="50"/>
      <c r="U379" s="50"/>
      <c r="V379" s="50"/>
      <c r="W379" s="50"/>
      <c r="X379" s="50"/>
      <c r="Y379" s="50"/>
      <c r="Z379" s="50"/>
      <c r="AA379" s="50"/>
      <c r="AB379" s="50"/>
      <c r="AC379" s="50"/>
      <c r="AD379" s="50"/>
      <c r="AE379" s="50"/>
    </row>
    <row r="380" spans="1:31" outlineLevel="1" x14ac:dyDescent="0.25">
      <c r="A380" s="480">
        <f>ROW()</f>
        <v>380</v>
      </c>
      <c r="B380" s="178" t="str">
        <f>$B$224</f>
        <v>Grade Level Teacher</v>
      </c>
      <c r="C380" s="111">
        <f t="shared" si="91"/>
        <v>0</v>
      </c>
      <c r="D380" s="111"/>
      <c r="E380" s="111"/>
      <c r="F380" s="111"/>
      <c r="G380" s="653">
        <f>G224*$E224</f>
        <v>0</v>
      </c>
      <c r="H380" s="653">
        <f t="shared" si="94"/>
        <v>0</v>
      </c>
      <c r="I380" s="653">
        <f t="shared" si="94"/>
        <v>0</v>
      </c>
      <c r="J380" s="653">
        <f t="shared" si="94"/>
        <v>0</v>
      </c>
      <c r="K380" s="653">
        <f t="shared" si="94"/>
        <v>0</v>
      </c>
      <c r="L380" s="653">
        <f t="shared" si="94"/>
        <v>0</v>
      </c>
      <c r="M380" s="653">
        <f t="shared" si="94"/>
        <v>0</v>
      </c>
      <c r="N380" s="109"/>
      <c r="O380" s="343"/>
      <c r="Q380" s="50"/>
      <c r="R380" s="50"/>
      <c r="S380" s="50"/>
      <c r="T380" s="50"/>
      <c r="U380" s="50"/>
      <c r="V380" s="50"/>
      <c r="W380" s="50"/>
      <c r="X380" s="50"/>
      <c r="Y380" s="50"/>
      <c r="Z380" s="50"/>
      <c r="AA380" s="50"/>
      <c r="AB380" s="50"/>
      <c r="AC380" s="50"/>
      <c r="AD380" s="50"/>
      <c r="AE380" s="50"/>
    </row>
    <row r="381" spans="1:31" outlineLevel="1" x14ac:dyDescent="0.25">
      <c r="A381" s="480">
        <f>ROW()</f>
        <v>381</v>
      </c>
      <c r="B381" s="178"/>
      <c r="C381" s="111">
        <f t="shared" si="91"/>
        <v>0</v>
      </c>
      <c r="D381" s="111"/>
      <c r="E381" s="111"/>
      <c r="F381" s="111"/>
      <c r="G381" s="653"/>
      <c r="H381" s="653"/>
      <c r="I381" s="653"/>
      <c r="J381" s="653"/>
      <c r="K381" s="653"/>
      <c r="L381" s="653"/>
      <c r="M381" s="653"/>
      <c r="N381" s="109"/>
      <c r="O381" s="343"/>
      <c r="Q381" s="50"/>
      <c r="R381" s="50"/>
      <c r="S381" s="50"/>
      <c r="T381" s="50"/>
      <c r="U381" s="50"/>
      <c r="V381" s="50"/>
      <c r="W381" s="50"/>
      <c r="X381" s="50"/>
      <c r="Y381" s="50"/>
      <c r="Z381" s="50"/>
      <c r="AA381" s="50"/>
      <c r="AB381" s="50"/>
      <c r="AC381" s="50"/>
      <c r="AD381" s="50"/>
      <c r="AE381" s="50"/>
    </row>
    <row r="382" spans="1:31" outlineLevel="1" x14ac:dyDescent="0.25">
      <c r="A382" s="480">
        <f>ROW()</f>
        <v>382</v>
      </c>
      <c r="B382" s="178" t="str">
        <f>$B$226</f>
        <v>Grade Level Teacher</v>
      </c>
      <c r="C382" s="111">
        <f t="shared" si="91"/>
        <v>0</v>
      </c>
      <c r="D382" s="111"/>
      <c r="E382" s="111"/>
      <c r="F382" s="111"/>
      <c r="G382" s="653">
        <f>G226*$E226</f>
        <v>0</v>
      </c>
      <c r="H382" s="653">
        <f t="shared" ref="H382:M386" si="95">(H226*$E226)</f>
        <v>0</v>
      </c>
      <c r="I382" s="653">
        <f t="shared" si="95"/>
        <v>0</v>
      </c>
      <c r="J382" s="653">
        <f t="shared" si="95"/>
        <v>0</v>
      </c>
      <c r="K382" s="653">
        <f t="shared" si="95"/>
        <v>0</v>
      </c>
      <c r="L382" s="653">
        <f t="shared" si="95"/>
        <v>0</v>
      </c>
      <c r="M382" s="653">
        <f t="shared" si="95"/>
        <v>0</v>
      </c>
      <c r="N382" s="109"/>
      <c r="O382" s="343"/>
      <c r="Q382" s="50"/>
      <c r="R382" s="50"/>
      <c r="S382" s="50"/>
      <c r="T382" s="50"/>
      <c r="U382" s="50"/>
      <c r="V382" s="50"/>
      <c r="W382" s="50"/>
      <c r="X382" s="50"/>
      <c r="Y382" s="50"/>
      <c r="Z382" s="50"/>
      <c r="AA382" s="50"/>
      <c r="AB382" s="50"/>
      <c r="AC382" s="50"/>
      <c r="AD382" s="50"/>
      <c r="AE382" s="50"/>
    </row>
    <row r="383" spans="1:31" outlineLevel="1" x14ac:dyDescent="0.25">
      <c r="A383" s="480">
        <f>ROW()</f>
        <v>383</v>
      </c>
      <c r="B383" s="178" t="str">
        <f>$B$227</f>
        <v>Grade Level Teacher</v>
      </c>
      <c r="C383" s="111">
        <f t="shared" si="91"/>
        <v>0</v>
      </c>
      <c r="D383" s="111"/>
      <c r="E383" s="111"/>
      <c r="F383" s="111"/>
      <c r="G383" s="653">
        <f>G227*$E227</f>
        <v>0</v>
      </c>
      <c r="H383" s="653">
        <f t="shared" si="95"/>
        <v>0</v>
      </c>
      <c r="I383" s="653">
        <f t="shared" si="95"/>
        <v>0</v>
      </c>
      <c r="J383" s="653">
        <f t="shared" si="95"/>
        <v>0</v>
      </c>
      <c r="K383" s="653">
        <f t="shared" si="95"/>
        <v>0</v>
      </c>
      <c r="L383" s="653">
        <f t="shared" si="95"/>
        <v>0</v>
      </c>
      <c r="M383" s="653">
        <f t="shared" si="95"/>
        <v>0</v>
      </c>
      <c r="N383" s="109"/>
      <c r="O383" s="343"/>
      <c r="Q383" s="50"/>
      <c r="R383" s="50"/>
      <c r="S383" s="50"/>
      <c r="T383" s="50"/>
      <c r="U383" s="50"/>
      <c r="V383" s="50"/>
      <c r="W383" s="50"/>
      <c r="X383" s="50"/>
      <c r="Y383" s="50"/>
      <c r="Z383" s="50"/>
      <c r="AA383" s="50"/>
      <c r="AB383" s="50"/>
      <c r="AC383" s="50"/>
      <c r="AD383" s="50"/>
      <c r="AE383" s="50"/>
    </row>
    <row r="384" spans="1:31" outlineLevel="1" x14ac:dyDescent="0.25">
      <c r="A384" s="480">
        <f>ROW()</f>
        <v>384</v>
      </c>
      <c r="B384" s="178" t="str">
        <f>$B$228</f>
        <v>Grade Level Teacher</v>
      </c>
      <c r="C384" s="111">
        <f t="shared" si="91"/>
        <v>0</v>
      </c>
      <c r="D384" s="111"/>
      <c r="E384" s="111"/>
      <c r="F384" s="111"/>
      <c r="G384" s="653">
        <f>G228*$E228</f>
        <v>0</v>
      </c>
      <c r="H384" s="653">
        <f t="shared" si="95"/>
        <v>0</v>
      </c>
      <c r="I384" s="653">
        <f t="shared" si="95"/>
        <v>0</v>
      </c>
      <c r="J384" s="653">
        <f t="shared" si="95"/>
        <v>0</v>
      </c>
      <c r="K384" s="653">
        <f t="shared" si="95"/>
        <v>0</v>
      </c>
      <c r="L384" s="653">
        <f t="shared" si="95"/>
        <v>0</v>
      </c>
      <c r="M384" s="653">
        <f t="shared" si="95"/>
        <v>0</v>
      </c>
      <c r="N384" s="109"/>
      <c r="O384" s="343"/>
      <c r="Q384" s="50"/>
      <c r="R384" s="50"/>
      <c r="S384" s="50"/>
      <c r="T384" s="50"/>
      <c r="U384" s="50"/>
      <c r="V384" s="50"/>
      <c r="W384" s="50"/>
      <c r="X384" s="50"/>
      <c r="Y384" s="50"/>
      <c r="Z384" s="50"/>
      <c r="AA384" s="50"/>
      <c r="AB384" s="50"/>
      <c r="AC384" s="50"/>
      <c r="AD384" s="50"/>
      <c r="AE384" s="50"/>
    </row>
    <row r="385" spans="1:31" outlineLevel="1" x14ac:dyDescent="0.25">
      <c r="A385" s="480">
        <f>ROW()</f>
        <v>385</v>
      </c>
      <c r="B385" s="178" t="str">
        <f>$B$229</f>
        <v>Grade Level Teacher</v>
      </c>
      <c r="C385" s="111">
        <f t="shared" si="91"/>
        <v>0</v>
      </c>
      <c r="D385" s="111"/>
      <c r="E385" s="111"/>
      <c r="F385" s="111"/>
      <c r="G385" s="653">
        <f>G229*$E229</f>
        <v>0</v>
      </c>
      <c r="H385" s="653">
        <f t="shared" si="95"/>
        <v>0</v>
      </c>
      <c r="I385" s="653">
        <f t="shared" si="95"/>
        <v>0</v>
      </c>
      <c r="J385" s="653">
        <f t="shared" si="95"/>
        <v>0</v>
      </c>
      <c r="K385" s="653">
        <f t="shared" si="95"/>
        <v>0</v>
      </c>
      <c r="L385" s="653">
        <f t="shared" si="95"/>
        <v>0</v>
      </c>
      <c r="M385" s="653">
        <f t="shared" si="95"/>
        <v>0</v>
      </c>
      <c r="N385" s="109"/>
      <c r="O385" s="343"/>
      <c r="Q385" s="50"/>
      <c r="R385" s="50"/>
      <c r="S385" s="50"/>
      <c r="T385" s="50"/>
      <c r="U385" s="50"/>
      <c r="V385" s="50"/>
      <c r="W385" s="50"/>
      <c r="X385" s="50"/>
      <c r="Y385" s="50"/>
      <c r="Z385" s="50"/>
      <c r="AA385" s="50"/>
      <c r="AB385" s="50"/>
      <c r="AC385" s="50"/>
      <c r="AD385" s="50"/>
      <c r="AE385" s="50"/>
    </row>
    <row r="386" spans="1:31" outlineLevel="1" x14ac:dyDescent="0.25">
      <c r="A386" s="480">
        <f>ROW()</f>
        <v>386</v>
      </c>
      <c r="B386" s="178" t="str">
        <f>$B$230</f>
        <v>Grade Level Teacher</v>
      </c>
      <c r="C386" s="111">
        <f t="shared" si="91"/>
        <v>0</v>
      </c>
      <c r="D386" s="111"/>
      <c r="E386" s="111"/>
      <c r="F386" s="111"/>
      <c r="G386" s="653">
        <f>G230*$E230</f>
        <v>0</v>
      </c>
      <c r="H386" s="653">
        <f t="shared" si="95"/>
        <v>0</v>
      </c>
      <c r="I386" s="653">
        <f t="shared" si="95"/>
        <v>0</v>
      </c>
      <c r="J386" s="653">
        <f t="shared" si="95"/>
        <v>0</v>
      </c>
      <c r="K386" s="653">
        <f t="shared" si="95"/>
        <v>0</v>
      </c>
      <c r="L386" s="653">
        <f t="shared" si="95"/>
        <v>0</v>
      </c>
      <c r="M386" s="653">
        <f t="shared" si="95"/>
        <v>0</v>
      </c>
      <c r="N386" s="109"/>
      <c r="O386" s="343"/>
      <c r="Q386" s="50"/>
      <c r="R386" s="50"/>
      <c r="S386" s="50"/>
      <c r="T386" s="50"/>
      <c r="U386" s="50"/>
      <c r="V386" s="50"/>
      <c r="W386" s="50"/>
      <c r="X386" s="50"/>
      <c r="Y386" s="50"/>
      <c r="Z386" s="50"/>
      <c r="AA386" s="50"/>
      <c r="AB386" s="50"/>
      <c r="AC386" s="50"/>
      <c r="AD386" s="50"/>
      <c r="AE386" s="50"/>
    </row>
    <row r="387" spans="1:31" outlineLevel="1" x14ac:dyDescent="0.25">
      <c r="A387" s="480">
        <f>ROW()</f>
        <v>387</v>
      </c>
      <c r="B387" s="178"/>
      <c r="C387" s="111">
        <f t="shared" si="91"/>
        <v>0</v>
      </c>
      <c r="D387" s="111"/>
      <c r="E387" s="111"/>
      <c r="F387" s="111"/>
      <c r="G387" s="653"/>
      <c r="H387" s="653"/>
      <c r="I387" s="653"/>
      <c r="J387" s="653"/>
      <c r="K387" s="653"/>
      <c r="L387" s="653"/>
      <c r="M387" s="653"/>
      <c r="N387" s="109"/>
      <c r="O387" s="343"/>
      <c r="Q387" s="50"/>
      <c r="R387" s="50"/>
      <c r="S387" s="50"/>
      <c r="T387" s="50"/>
      <c r="U387" s="50"/>
      <c r="V387" s="50"/>
      <c r="W387" s="50"/>
      <c r="X387" s="50"/>
      <c r="Y387" s="50"/>
      <c r="Z387" s="50"/>
      <c r="AA387" s="50"/>
      <c r="AB387" s="50"/>
      <c r="AC387" s="50"/>
      <c r="AD387" s="50"/>
      <c r="AE387" s="50"/>
    </row>
    <row r="388" spans="1:31" outlineLevel="1" x14ac:dyDescent="0.25">
      <c r="A388" s="480">
        <f>ROW()</f>
        <v>388</v>
      </c>
      <c r="B388" s="178" t="str">
        <f>$B$232</f>
        <v>Grade Level Teacher</v>
      </c>
      <c r="C388" s="111">
        <f t="shared" si="91"/>
        <v>0</v>
      </c>
      <c r="D388" s="111"/>
      <c r="E388" s="111"/>
      <c r="F388" s="111"/>
      <c r="G388" s="653">
        <f>G232*$E232</f>
        <v>0</v>
      </c>
      <c r="H388" s="653">
        <f t="shared" ref="H388:M392" si="96">(H232*$E232)</f>
        <v>0</v>
      </c>
      <c r="I388" s="653">
        <f t="shared" si="96"/>
        <v>0</v>
      </c>
      <c r="J388" s="653">
        <f t="shared" si="96"/>
        <v>0</v>
      </c>
      <c r="K388" s="653">
        <f t="shared" si="96"/>
        <v>0</v>
      </c>
      <c r="L388" s="653">
        <f t="shared" si="96"/>
        <v>0</v>
      </c>
      <c r="M388" s="653">
        <f t="shared" si="96"/>
        <v>0</v>
      </c>
      <c r="N388" s="109"/>
      <c r="O388" s="343"/>
      <c r="Q388" s="50"/>
      <c r="R388" s="50"/>
      <c r="S388" s="50"/>
      <c r="T388" s="50"/>
      <c r="U388" s="50"/>
      <c r="V388" s="50"/>
      <c r="W388" s="50"/>
      <c r="X388" s="50"/>
      <c r="Y388" s="50"/>
      <c r="Z388" s="50"/>
      <c r="AA388" s="50"/>
      <c r="AB388" s="50"/>
      <c r="AC388" s="50"/>
      <c r="AD388" s="50"/>
      <c r="AE388" s="50"/>
    </row>
    <row r="389" spans="1:31" outlineLevel="1" x14ac:dyDescent="0.25">
      <c r="A389" s="480">
        <f>ROW()</f>
        <v>389</v>
      </c>
      <c r="B389" s="178" t="str">
        <f>$B$233</f>
        <v>Grade Level Teacher</v>
      </c>
      <c r="C389" s="111">
        <f t="shared" si="91"/>
        <v>0</v>
      </c>
      <c r="D389" s="111"/>
      <c r="E389" s="111"/>
      <c r="F389" s="111"/>
      <c r="G389" s="653">
        <f>G233*$E233</f>
        <v>0</v>
      </c>
      <c r="H389" s="653">
        <f t="shared" si="96"/>
        <v>0</v>
      </c>
      <c r="I389" s="653">
        <f t="shared" si="96"/>
        <v>0</v>
      </c>
      <c r="J389" s="653">
        <f t="shared" si="96"/>
        <v>0</v>
      </c>
      <c r="K389" s="653">
        <f t="shared" si="96"/>
        <v>0</v>
      </c>
      <c r="L389" s="653">
        <f t="shared" si="96"/>
        <v>0</v>
      </c>
      <c r="M389" s="653">
        <f t="shared" si="96"/>
        <v>0</v>
      </c>
      <c r="N389" s="109"/>
      <c r="O389" s="343"/>
      <c r="Q389" s="50"/>
      <c r="R389" s="50"/>
      <c r="S389" s="50"/>
      <c r="T389" s="50"/>
      <c r="U389" s="50"/>
      <c r="V389" s="50"/>
      <c r="W389" s="50"/>
      <c r="X389" s="50"/>
      <c r="Y389" s="50"/>
      <c r="Z389" s="50"/>
      <c r="AA389" s="50"/>
      <c r="AB389" s="50"/>
      <c r="AC389" s="50"/>
      <c r="AD389" s="50"/>
      <c r="AE389" s="50"/>
    </row>
    <row r="390" spans="1:31" outlineLevel="1" x14ac:dyDescent="0.25">
      <c r="A390" s="480">
        <f>ROW()</f>
        <v>390</v>
      </c>
      <c r="B390" s="178" t="str">
        <f>$B$234</f>
        <v>Grade Level Teacher</v>
      </c>
      <c r="C390" s="111">
        <f t="shared" si="91"/>
        <v>0</v>
      </c>
      <c r="D390" s="111"/>
      <c r="E390" s="111"/>
      <c r="F390" s="111"/>
      <c r="G390" s="653">
        <f>G234*$E234</f>
        <v>0</v>
      </c>
      <c r="H390" s="653">
        <f t="shared" si="96"/>
        <v>0</v>
      </c>
      <c r="I390" s="653">
        <f t="shared" si="96"/>
        <v>0</v>
      </c>
      <c r="J390" s="653">
        <f t="shared" si="96"/>
        <v>0</v>
      </c>
      <c r="K390" s="653">
        <f t="shared" si="96"/>
        <v>0</v>
      </c>
      <c r="L390" s="653">
        <f t="shared" si="96"/>
        <v>0</v>
      </c>
      <c r="M390" s="653">
        <f t="shared" si="96"/>
        <v>0</v>
      </c>
      <c r="N390" s="109"/>
      <c r="O390" s="343"/>
      <c r="Q390" s="50"/>
      <c r="R390" s="50"/>
      <c r="S390" s="50"/>
      <c r="T390" s="50"/>
      <c r="U390" s="50"/>
      <c r="V390" s="50"/>
      <c r="W390" s="50"/>
      <c r="X390" s="50"/>
      <c r="Y390" s="50"/>
      <c r="Z390" s="50"/>
      <c r="AA390" s="50"/>
      <c r="AB390" s="50"/>
      <c r="AC390" s="50"/>
      <c r="AD390" s="50"/>
      <c r="AE390" s="50"/>
    </row>
    <row r="391" spans="1:31" outlineLevel="1" x14ac:dyDescent="0.25">
      <c r="A391" s="480">
        <f>ROW()</f>
        <v>391</v>
      </c>
      <c r="B391" s="178" t="str">
        <f>$B$235</f>
        <v>Grade Level Teacher</v>
      </c>
      <c r="C391" s="111">
        <f t="shared" si="91"/>
        <v>0</v>
      </c>
      <c r="D391" s="111"/>
      <c r="E391" s="111"/>
      <c r="F391" s="111"/>
      <c r="G391" s="653">
        <f>G235*$E235</f>
        <v>0</v>
      </c>
      <c r="H391" s="653">
        <f t="shared" si="96"/>
        <v>0</v>
      </c>
      <c r="I391" s="653">
        <f t="shared" si="96"/>
        <v>0</v>
      </c>
      <c r="J391" s="653">
        <f t="shared" si="96"/>
        <v>0</v>
      </c>
      <c r="K391" s="653">
        <f t="shared" si="96"/>
        <v>0</v>
      </c>
      <c r="L391" s="653">
        <f t="shared" si="96"/>
        <v>0</v>
      </c>
      <c r="M391" s="653">
        <f t="shared" si="96"/>
        <v>0</v>
      </c>
      <c r="N391" s="109"/>
      <c r="O391" s="343"/>
      <c r="Q391" s="50"/>
      <c r="R391" s="50"/>
      <c r="S391" s="50"/>
      <c r="T391" s="50"/>
      <c r="U391" s="50"/>
      <c r="V391" s="50"/>
      <c r="W391" s="50"/>
      <c r="X391" s="50"/>
      <c r="Y391" s="50"/>
      <c r="Z391" s="50"/>
      <c r="AA391" s="50"/>
      <c r="AB391" s="50"/>
      <c r="AC391" s="50"/>
      <c r="AD391" s="50"/>
      <c r="AE391" s="50"/>
    </row>
    <row r="392" spans="1:31" outlineLevel="1" x14ac:dyDescent="0.25">
      <c r="A392" s="480">
        <f>ROW()</f>
        <v>392</v>
      </c>
      <c r="B392" s="178" t="str">
        <f>$B$236</f>
        <v>Grade Level Teacher</v>
      </c>
      <c r="C392" s="111">
        <f t="shared" si="91"/>
        <v>0</v>
      </c>
      <c r="D392" s="111"/>
      <c r="E392" s="111"/>
      <c r="F392" s="111"/>
      <c r="G392" s="653">
        <f>G236*$E236</f>
        <v>0</v>
      </c>
      <c r="H392" s="653">
        <f t="shared" si="96"/>
        <v>0</v>
      </c>
      <c r="I392" s="653">
        <f t="shared" si="96"/>
        <v>0</v>
      </c>
      <c r="J392" s="653">
        <f t="shared" si="96"/>
        <v>0</v>
      </c>
      <c r="K392" s="653">
        <f t="shared" si="96"/>
        <v>0</v>
      </c>
      <c r="L392" s="653">
        <f t="shared" si="96"/>
        <v>0</v>
      </c>
      <c r="M392" s="653">
        <f t="shared" si="96"/>
        <v>0</v>
      </c>
      <c r="N392" s="109"/>
      <c r="O392" s="343"/>
      <c r="Q392" s="50"/>
      <c r="R392" s="50"/>
      <c r="S392" s="50"/>
      <c r="T392" s="50"/>
      <c r="U392" s="50"/>
      <c r="V392" s="50"/>
      <c r="W392" s="50"/>
      <c r="X392" s="50"/>
      <c r="Y392" s="50"/>
      <c r="Z392" s="50"/>
      <c r="AA392" s="50"/>
      <c r="AB392" s="50"/>
      <c r="AC392" s="50"/>
      <c r="AD392" s="50"/>
      <c r="AE392" s="50"/>
    </row>
    <row r="393" spans="1:31" outlineLevel="1" x14ac:dyDescent="0.25">
      <c r="A393" s="480">
        <f>ROW()</f>
        <v>393</v>
      </c>
      <c r="B393" s="109"/>
      <c r="C393" s="111"/>
      <c r="D393" s="111"/>
      <c r="E393" s="111"/>
      <c r="F393" s="111"/>
      <c r="G393" s="988"/>
      <c r="H393" s="988">
        <v>0</v>
      </c>
      <c r="I393" s="988"/>
      <c r="J393" s="988"/>
      <c r="K393" s="988"/>
      <c r="L393" s="988"/>
      <c r="M393" s="988"/>
      <c r="N393" s="109"/>
      <c r="O393" s="343"/>
      <c r="Q393" s="50"/>
      <c r="R393" s="50"/>
      <c r="S393" s="50"/>
      <c r="T393" s="50"/>
      <c r="U393" s="50"/>
      <c r="V393" s="50"/>
      <c r="W393" s="50"/>
      <c r="X393" s="50"/>
      <c r="Y393" s="50"/>
      <c r="Z393" s="50"/>
      <c r="AA393" s="50"/>
      <c r="AB393" s="50"/>
      <c r="AC393" s="50"/>
      <c r="AD393" s="50"/>
      <c r="AE393" s="50"/>
    </row>
    <row r="394" spans="1:31" ht="15.75" outlineLevel="1" x14ac:dyDescent="0.25">
      <c r="A394" s="480">
        <f>ROW()</f>
        <v>394</v>
      </c>
      <c r="B394" s="989" t="s">
        <v>688</v>
      </c>
      <c r="C394" s="990">
        <f>SUM(G394:M394)</f>
        <v>32899142.569999993</v>
      </c>
      <c r="D394" s="989"/>
      <c r="E394" s="989"/>
      <c r="F394" s="989"/>
      <c r="G394" s="990">
        <f t="shared" ref="G394:M394" si="97">SUM(G299:G392)</f>
        <v>4699877.51</v>
      </c>
      <c r="H394" s="990">
        <f t="shared" si="97"/>
        <v>4699877.51</v>
      </c>
      <c r="I394" s="990">
        <f>SUM(I299:I392)</f>
        <v>4699877.51</v>
      </c>
      <c r="J394" s="990">
        <f t="shared" si="97"/>
        <v>4699877.51</v>
      </c>
      <c r="K394" s="990">
        <f t="shared" si="97"/>
        <v>4699877.51</v>
      </c>
      <c r="L394" s="990">
        <f t="shared" si="97"/>
        <v>4699877.51</v>
      </c>
      <c r="M394" s="990">
        <f t="shared" si="97"/>
        <v>4699877.51</v>
      </c>
      <c r="O394" s="343"/>
      <c r="Q394" s="50"/>
      <c r="R394" s="50"/>
      <c r="S394" s="50"/>
      <c r="T394" s="50"/>
      <c r="U394" s="50"/>
      <c r="V394" s="50"/>
      <c r="W394" s="50"/>
      <c r="X394" s="50"/>
      <c r="Y394" s="50"/>
      <c r="Z394" s="50"/>
      <c r="AA394" s="50"/>
      <c r="AB394" s="50"/>
      <c r="AC394" s="50"/>
      <c r="AD394" s="50"/>
      <c r="AE394" s="50"/>
    </row>
    <row r="395" spans="1:31" outlineLevel="1" x14ac:dyDescent="0.25">
      <c r="A395" s="480">
        <f>ROW()</f>
        <v>395</v>
      </c>
      <c r="C395" s="51"/>
      <c r="D395" s="51"/>
      <c r="E395" s="51"/>
      <c r="F395" s="51"/>
      <c r="G395" s="138"/>
      <c r="H395" s="130"/>
      <c r="I395" s="130"/>
      <c r="J395" s="130"/>
      <c r="K395" s="130"/>
      <c r="L395" s="130"/>
      <c r="M395" s="130"/>
      <c r="O395" s="343"/>
      <c r="Q395" s="50"/>
      <c r="R395" s="50"/>
      <c r="S395" s="50"/>
      <c r="T395" s="50"/>
      <c r="U395" s="50"/>
      <c r="V395" s="50"/>
      <c r="W395" s="50"/>
      <c r="X395" s="50"/>
      <c r="Y395" s="50"/>
      <c r="Z395" s="50"/>
      <c r="AA395" s="50"/>
      <c r="AB395" s="50"/>
      <c r="AC395" s="50"/>
      <c r="AD395" s="50"/>
      <c r="AE395" s="50"/>
    </row>
    <row r="396" spans="1:31" outlineLevel="1" x14ac:dyDescent="0.25">
      <c r="A396" s="480">
        <f>ROW()</f>
        <v>396</v>
      </c>
      <c r="B396" s="978" t="s">
        <v>689</v>
      </c>
      <c r="C396" s="979"/>
      <c r="D396" s="980"/>
      <c r="E396" s="980"/>
      <c r="F396" s="980"/>
      <c r="G396" s="675">
        <v>0</v>
      </c>
      <c r="H396" s="675">
        <v>0</v>
      </c>
      <c r="I396" s="675">
        <v>0</v>
      </c>
      <c r="J396" s="675">
        <v>0</v>
      </c>
      <c r="K396" s="675">
        <v>0</v>
      </c>
      <c r="L396" s="675">
        <v>0</v>
      </c>
      <c r="M396" s="675">
        <v>0</v>
      </c>
      <c r="O396" s="343"/>
      <c r="Q396" s="50"/>
      <c r="R396" s="50"/>
      <c r="S396" s="50"/>
      <c r="T396" s="50"/>
      <c r="U396" s="50"/>
      <c r="V396" s="50"/>
      <c r="W396" s="50"/>
      <c r="X396" s="50"/>
      <c r="Y396" s="50"/>
      <c r="Z396" s="50"/>
      <c r="AA396" s="50"/>
      <c r="AB396" s="50"/>
      <c r="AC396" s="50"/>
      <c r="AD396" s="50"/>
      <c r="AE396" s="50"/>
    </row>
    <row r="397" spans="1:31" outlineLevel="1" x14ac:dyDescent="0.25">
      <c r="A397" s="480">
        <f>ROW()</f>
        <v>397</v>
      </c>
      <c r="C397" s="51"/>
      <c r="D397" s="51"/>
      <c r="E397" s="51"/>
      <c r="F397" s="51"/>
      <c r="G397" s="680"/>
      <c r="H397" s="991"/>
      <c r="I397" s="991"/>
      <c r="J397" s="991"/>
      <c r="K397" s="991"/>
      <c r="L397" s="991"/>
      <c r="M397" s="991"/>
      <c r="O397" s="343"/>
      <c r="Q397" s="50"/>
      <c r="R397" s="50"/>
      <c r="S397" s="50"/>
      <c r="T397" s="50"/>
      <c r="U397" s="50"/>
      <c r="V397" s="50"/>
      <c r="W397" s="50"/>
      <c r="X397" s="50"/>
      <c r="Y397" s="50"/>
      <c r="Z397" s="50"/>
      <c r="AA397" s="50"/>
      <c r="AB397" s="50"/>
      <c r="AC397" s="50"/>
      <c r="AD397" s="50"/>
      <c r="AE397" s="50"/>
    </row>
    <row r="398" spans="1:31" ht="15.75" outlineLevel="1" x14ac:dyDescent="0.25">
      <c r="A398" s="480">
        <f>ROW()</f>
        <v>398</v>
      </c>
      <c r="B398" s="983" t="s">
        <v>622</v>
      </c>
      <c r="C398" s="984"/>
      <c r="D398" s="983"/>
      <c r="E398" s="983"/>
      <c r="F398" s="983"/>
      <c r="G398" s="1555">
        <f>SUM(G394,G283,G258,G271,G297,G396)*((1+$C$68)^G8-1)</f>
        <v>0</v>
      </c>
      <c r="H398" s="1555">
        <f>SUM(H394,H283,H258,H271,H297,H396)*((1+$C$68)^H8-1)</f>
        <v>0</v>
      </c>
      <c r="I398" s="984">
        <f>SUM(I394,I283,I258,I271,I297,I396)*((1+$C$68)^I8-1)</f>
        <v>0</v>
      </c>
      <c r="J398" s="984">
        <f t="shared" ref="J398:M398" si="98">SUM(J394,J283,J258,J271,J297,J396)*((1+$C$68)^J8-1)</f>
        <v>0</v>
      </c>
      <c r="K398" s="984">
        <f t="shared" si="98"/>
        <v>0</v>
      </c>
      <c r="L398" s="984">
        <f t="shared" si="98"/>
        <v>0</v>
      </c>
      <c r="M398" s="984">
        <f t="shared" si="98"/>
        <v>0</v>
      </c>
      <c r="O398" s="343"/>
      <c r="Q398" s="50"/>
      <c r="R398" s="50"/>
      <c r="S398" s="50"/>
      <c r="T398" s="50"/>
      <c r="U398" s="50"/>
      <c r="V398" s="50"/>
      <c r="W398" s="50"/>
      <c r="X398" s="50"/>
      <c r="Y398" s="50"/>
      <c r="Z398" s="50"/>
      <c r="AA398" s="50"/>
      <c r="AB398" s="50"/>
      <c r="AC398" s="50"/>
      <c r="AD398" s="50"/>
      <c r="AE398" s="50"/>
    </row>
    <row r="399" spans="1:31" ht="15.75" outlineLevel="1" thickBot="1" x14ac:dyDescent="0.3">
      <c r="A399" s="480">
        <f>ROW()</f>
        <v>399</v>
      </c>
      <c r="C399" s="51"/>
      <c r="D399" s="51"/>
      <c r="E399" s="51"/>
      <c r="F399" s="51"/>
      <c r="G399" s="138"/>
      <c r="H399" s="138"/>
      <c r="I399" s="138"/>
      <c r="J399" s="138"/>
      <c r="K399" s="138"/>
      <c r="L399" s="138"/>
      <c r="M399" s="138"/>
      <c r="O399" s="343"/>
      <c r="Q399" s="50"/>
      <c r="R399" s="50"/>
      <c r="S399" s="50"/>
      <c r="T399" s="50"/>
      <c r="U399" s="50"/>
      <c r="V399" s="50"/>
      <c r="W399" s="50"/>
      <c r="X399" s="50"/>
      <c r="Y399" s="50"/>
      <c r="Z399" s="50"/>
      <c r="AA399" s="50"/>
      <c r="AB399" s="50"/>
      <c r="AC399" s="50"/>
      <c r="AD399" s="50"/>
      <c r="AE399" s="50"/>
    </row>
    <row r="400" spans="1:31" ht="15.75" thickBot="1" x14ac:dyDescent="0.3">
      <c r="A400" s="480">
        <f>ROW()</f>
        <v>400</v>
      </c>
      <c r="B400" s="963" t="s">
        <v>588</v>
      </c>
      <c r="C400" s="964">
        <f>SUM(G400:M400)</f>
        <v>77399762.859999985</v>
      </c>
      <c r="D400" s="987"/>
      <c r="E400" s="987"/>
      <c r="F400" s="987"/>
      <c r="G400" s="964">
        <f t="shared" ref="G400:M400" si="99">G394+G283+G258+G271+G297+G396+G398</f>
        <v>11057108.979999999</v>
      </c>
      <c r="H400" s="964">
        <f t="shared" si="99"/>
        <v>11057108.979999999</v>
      </c>
      <c r="I400" s="964">
        <f t="shared" si="99"/>
        <v>11057108.979999999</v>
      </c>
      <c r="J400" s="964">
        <f t="shared" si="99"/>
        <v>11057108.979999999</v>
      </c>
      <c r="K400" s="964">
        <f t="shared" si="99"/>
        <v>11057108.979999999</v>
      </c>
      <c r="L400" s="964">
        <f t="shared" si="99"/>
        <v>11057108.979999999</v>
      </c>
      <c r="M400" s="964">
        <f t="shared" si="99"/>
        <v>11057108.979999999</v>
      </c>
      <c r="O400" s="343"/>
      <c r="Q400" s="50"/>
      <c r="R400" s="50"/>
      <c r="S400" s="50"/>
      <c r="T400" s="50"/>
      <c r="U400" s="50"/>
      <c r="V400" s="50"/>
      <c r="W400" s="50"/>
      <c r="X400" s="50"/>
      <c r="Y400" s="50"/>
      <c r="Z400" s="50"/>
      <c r="AA400" s="50"/>
      <c r="AB400" s="50"/>
      <c r="AC400" s="50"/>
      <c r="AD400" s="50"/>
      <c r="AE400" s="50"/>
    </row>
    <row r="401" spans="1:31" x14ac:dyDescent="0.25">
      <c r="A401" s="480">
        <f>ROW()</f>
        <v>401</v>
      </c>
      <c r="C401" s="130"/>
      <c r="G401" s="503"/>
      <c r="H401" s="681"/>
      <c r="I401" s="681"/>
      <c r="J401" s="681"/>
      <c r="K401" s="681"/>
      <c r="L401" s="681"/>
      <c r="M401" s="681"/>
      <c r="N401" s="51"/>
      <c r="O401" s="343"/>
      <c r="Q401" s="50"/>
      <c r="R401" s="50"/>
      <c r="S401" s="50"/>
      <c r="T401" s="50"/>
      <c r="U401" s="50"/>
      <c r="V401" s="50"/>
      <c r="W401" s="50"/>
      <c r="X401" s="50"/>
      <c r="Y401" s="50"/>
      <c r="Z401" s="50"/>
      <c r="AA401" s="50"/>
      <c r="AB401" s="50"/>
      <c r="AC401" s="50"/>
      <c r="AD401" s="50"/>
      <c r="AE401" s="50"/>
    </row>
    <row r="402" spans="1:31" ht="15.75" x14ac:dyDescent="0.25">
      <c r="A402" s="480">
        <f>ROW()</f>
        <v>402</v>
      </c>
      <c r="B402" s="935" t="s">
        <v>589</v>
      </c>
      <c r="C402" s="936"/>
      <c r="D402" s="935"/>
      <c r="E402" s="935"/>
      <c r="F402" s="935"/>
      <c r="G402" s="937"/>
      <c r="H402" s="938"/>
      <c r="I402" s="938"/>
      <c r="J402" s="938"/>
      <c r="K402" s="938"/>
      <c r="L402" s="938"/>
      <c r="M402" s="938"/>
      <c r="N402" s="193"/>
      <c r="O402" s="343"/>
      <c r="Q402" s="50"/>
      <c r="R402" s="50"/>
      <c r="S402" s="50"/>
      <c r="T402" s="50"/>
      <c r="U402" s="50"/>
      <c r="V402" s="50"/>
      <c r="W402" s="50"/>
      <c r="X402" s="50"/>
      <c r="Y402" s="50"/>
      <c r="Z402" s="50"/>
      <c r="AA402" s="50"/>
      <c r="AB402" s="50"/>
      <c r="AC402" s="50"/>
      <c r="AD402" s="50"/>
      <c r="AE402" s="50"/>
    </row>
    <row r="403" spans="1:31" ht="15.75" x14ac:dyDescent="0.25">
      <c r="A403" s="480">
        <f>ROW()</f>
        <v>403</v>
      </c>
      <c r="B403" s="109"/>
      <c r="C403" s="131"/>
      <c r="D403" s="109"/>
      <c r="E403" s="109"/>
      <c r="F403" s="109"/>
      <c r="G403" s="503"/>
      <c r="H403" s="681"/>
      <c r="I403" s="681"/>
      <c r="J403" s="681"/>
      <c r="K403" s="681"/>
      <c r="L403" s="681"/>
      <c r="M403" s="681"/>
      <c r="N403" s="193"/>
      <c r="O403" s="343"/>
      <c r="Q403" s="50"/>
      <c r="R403" s="50"/>
      <c r="S403" s="50"/>
      <c r="T403" s="50"/>
      <c r="U403" s="50"/>
      <c r="V403" s="50"/>
      <c r="W403" s="50"/>
      <c r="X403" s="50"/>
      <c r="Y403" s="50"/>
      <c r="Z403" s="50"/>
      <c r="AA403" s="50"/>
      <c r="AB403" s="50"/>
      <c r="AC403" s="50"/>
      <c r="AD403" s="50"/>
      <c r="AE403" s="50"/>
    </row>
    <row r="404" spans="1:31" ht="15.75" x14ac:dyDescent="0.25">
      <c r="A404" s="480">
        <f>ROW()</f>
        <v>404</v>
      </c>
      <c r="B404" s="983" t="s">
        <v>590</v>
      </c>
      <c r="C404" s="984"/>
      <c r="D404" s="983"/>
      <c r="E404" s="983"/>
      <c r="F404" s="983"/>
      <c r="G404" s="985"/>
      <c r="H404" s="986"/>
      <c r="I404" s="986"/>
      <c r="J404" s="986"/>
      <c r="K404" s="986"/>
      <c r="L404" s="986"/>
      <c r="M404" s="986"/>
      <c r="N404" s="193"/>
      <c r="O404" s="343"/>
      <c r="Q404" s="50"/>
      <c r="R404" s="50"/>
      <c r="S404" s="50"/>
      <c r="T404" s="50"/>
      <c r="U404" s="50"/>
      <c r="V404" s="50"/>
      <c r="W404" s="50"/>
      <c r="X404" s="50"/>
      <c r="Y404" s="50"/>
      <c r="Z404" s="50"/>
      <c r="AA404" s="50"/>
      <c r="AB404" s="50"/>
      <c r="AC404" s="50"/>
      <c r="AD404" s="50"/>
      <c r="AE404" s="50"/>
    </row>
    <row r="405" spans="1:31" ht="15.75" x14ac:dyDescent="0.25">
      <c r="A405" s="480">
        <f>ROW()</f>
        <v>405</v>
      </c>
      <c r="B405" s="127" t="s">
        <v>690</v>
      </c>
      <c r="C405" s="175"/>
      <c r="D405" s="127"/>
      <c r="E405" s="125"/>
      <c r="F405" s="125"/>
      <c r="G405" s="634">
        <f t="shared" ref="G405:M405" si="100">IFERROR((G23*$C$58*((1+$C$68)^(G$10-$G$10))),0)</f>
        <v>1390800</v>
      </c>
      <c r="H405" s="915">
        <f t="shared" si="100"/>
        <v>1390800</v>
      </c>
      <c r="I405" s="634">
        <f t="shared" si="100"/>
        <v>1390800</v>
      </c>
      <c r="J405" s="634">
        <f t="shared" si="100"/>
        <v>1390800</v>
      </c>
      <c r="K405" s="634">
        <f t="shared" si="100"/>
        <v>1390800</v>
      </c>
      <c r="L405" s="634">
        <f t="shared" si="100"/>
        <v>1390800</v>
      </c>
      <c r="M405" s="634">
        <f t="shared" si="100"/>
        <v>1390800</v>
      </c>
      <c r="N405" s="193"/>
      <c r="O405" s="343"/>
      <c r="Q405" s="50"/>
      <c r="R405" s="50"/>
      <c r="S405" s="50"/>
      <c r="T405" s="50"/>
      <c r="U405" s="50"/>
      <c r="V405" s="50"/>
      <c r="W405" s="50"/>
      <c r="X405" s="50"/>
      <c r="Y405" s="50"/>
      <c r="Z405" s="50"/>
      <c r="AA405" s="50"/>
      <c r="AB405" s="50"/>
      <c r="AC405" s="50"/>
      <c r="AD405" s="50"/>
      <c r="AE405" s="50"/>
    </row>
    <row r="406" spans="1:31" ht="15.75" x14ac:dyDescent="0.25">
      <c r="A406" s="480">
        <f>ROW()</f>
        <v>406</v>
      </c>
      <c r="B406" s="109"/>
      <c r="C406" s="132"/>
      <c r="D406" s="110"/>
      <c r="E406" s="109"/>
      <c r="F406" s="109"/>
      <c r="G406" s="100"/>
      <c r="H406" s="100"/>
      <c r="I406" s="100"/>
      <c r="J406" s="100"/>
      <c r="K406" s="100"/>
      <c r="L406" s="100"/>
      <c r="M406" s="100"/>
      <c r="N406" s="193"/>
      <c r="O406" s="343"/>
      <c r="Q406" s="50"/>
      <c r="R406" s="50"/>
      <c r="S406" s="50"/>
      <c r="T406" s="50"/>
      <c r="U406" s="50"/>
      <c r="V406" s="50"/>
      <c r="W406" s="50"/>
      <c r="X406" s="50"/>
      <c r="Y406" s="50"/>
      <c r="Z406" s="50"/>
      <c r="AA406" s="50"/>
      <c r="AB406" s="50"/>
      <c r="AC406" s="50"/>
      <c r="AD406" s="50"/>
      <c r="AE406" s="50"/>
    </row>
    <row r="407" spans="1:31" ht="15.75" x14ac:dyDescent="0.25">
      <c r="A407" s="480">
        <f>ROW()</f>
        <v>407</v>
      </c>
      <c r="B407" s="983" t="s">
        <v>691</v>
      </c>
      <c r="C407" s="984"/>
      <c r="D407" s="983"/>
      <c r="E407" s="983"/>
      <c r="F407" s="983"/>
      <c r="G407" s="985"/>
      <c r="H407" s="986"/>
      <c r="I407" s="986"/>
      <c r="J407" s="986"/>
      <c r="K407" s="986"/>
      <c r="L407" s="986"/>
      <c r="M407" s="986"/>
      <c r="N407" s="193"/>
      <c r="O407" s="343"/>
      <c r="Q407" s="50"/>
      <c r="R407" s="50"/>
      <c r="S407" s="50"/>
      <c r="T407" s="50"/>
      <c r="U407" s="50"/>
      <c r="V407" s="50"/>
      <c r="W407" s="50"/>
      <c r="X407" s="50"/>
      <c r="Y407" s="50"/>
      <c r="Z407" s="50"/>
      <c r="AA407" s="50"/>
      <c r="AB407" s="50"/>
      <c r="AC407" s="50"/>
      <c r="AD407" s="50"/>
      <c r="AE407" s="50"/>
    </row>
    <row r="408" spans="1:31" ht="15.75" x14ac:dyDescent="0.25">
      <c r="A408" s="480">
        <f>ROW()</f>
        <v>408</v>
      </c>
      <c r="B408" s="176" t="s">
        <v>692</v>
      </c>
      <c r="C408" s="177"/>
      <c r="D408" s="176"/>
      <c r="E408" s="163"/>
      <c r="F408" s="163"/>
      <c r="G408" s="634">
        <f t="shared" ref="G408:M408" si="101">G400*$C$59</f>
        <v>160328.08020999999</v>
      </c>
      <c r="H408" s="634">
        <f t="shared" si="101"/>
        <v>160328.08020999999</v>
      </c>
      <c r="I408" s="634">
        <f t="shared" si="101"/>
        <v>160328.08020999999</v>
      </c>
      <c r="J408" s="634">
        <f t="shared" si="101"/>
        <v>160328.08020999999</v>
      </c>
      <c r="K408" s="634">
        <f t="shared" si="101"/>
        <v>160328.08020999999</v>
      </c>
      <c r="L408" s="634">
        <f t="shared" si="101"/>
        <v>160328.08020999999</v>
      </c>
      <c r="M408" s="634">
        <f t="shared" si="101"/>
        <v>160328.08020999999</v>
      </c>
      <c r="N408" s="193"/>
      <c r="O408" s="343"/>
      <c r="Q408" s="50"/>
      <c r="R408" s="50"/>
      <c r="S408" s="50"/>
      <c r="T408" s="50"/>
      <c r="U408" s="50"/>
      <c r="V408" s="50"/>
      <c r="W408" s="50"/>
      <c r="X408" s="50"/>
      <c r="Y408" s="50"/>
      <c r="Z408" s="50"/>
      <c r="AA408" s="50"/>
      <c r="AB408" s="50"/>
      <c r="AC408" s="50"/>
      <c r="AD408" s="50"/>
      <c r="AE408" s="50"/>
    </row>
    <row r="409" spans="1:31" ht="15.75" x14ac:dyDescent="0.25">
      <c r="A409" s="480">
        <f>ROW()</f>
        <v>409</v>
      </c>
      <c r="B409" s="109"/>
      <c r="C409" s="132"/>
      <c r="D409" s="110"/>
      <c r="E409" s="109"/>
      <c r="F409" s="109"/>
      <c r="G409" s="682"/>
      <c r="H409" s="682"/>
      <c r="I409" s="682"/>
      <c r="J409" s="682"/>
      <c r="K409" s="682"/>
      <c r="L409" s="682"/>
      <c r="M409" s="682"/>
      <c r="N409" s="193"/>
      <c r="O409" s="343"/>
      <c r="Q409" s="50"/>
      <c r="R409" s="50"/>
      <c r="S409" s="50"/>
      <c r="T409" s="50"/>
      <c r="U409" s="50"/>
      <c r="V409" s="50"/>
      <c r="W409" s="50"/>
      <c r="X409" s="50"/>
      <c r="Y409" s="50"/>
      <c r="Z409" s="50"/>
      <c r="AA409" s="50"/>
      <c r="AB409" s="50"/>
      <c r="AC409" s="50"/>
      <c r="AD409" s="50"/>
      <c r="AE409" s="50"/>
    </row>
    <row r="410" spans="1:31" ht="15.75" x14ac:dyDescent="0.25">
      <c r="A410" s="480">
        <f>ROW()</f>
        <v>410</v>
      </c>
      <c r="B410" s="983" t="s">
        <v>693</v>
      </c>
      <c r="C410" s="984"/>
      <c r="D410" s="983"/>
      <c r="E410" s="983"/>
      <c r="F410" s="983"/>
      <c r="G410" s="985"/>
      <c r="H410" s="986"/>
      <c r="I410" s="986"/>
      <c r="J410" s="986"/>
      <c r="K410" s="986"/>
      <c r="L410" s="986"/>
      <c r="M410" s="986"/>
      <c r="N410" s="193"/>
      <c r="O410" s="343"/>
      <c r="Q410" s="50"/>
      <c r="R410" s="50"/>
      <c r="S410" s="50"/>
      <c r="T410" s="50"/>
      <c r="U410" s="50"/>
      <c r="V410" s="50"/>
      <c r="W410" s="50"/>
      <c r="X410" s="50"/>
      <c r="Y410" s="50"/>
      <c r="Z410" s="50"/>
      <c r="AA410" s="50"/>
      <c r="AB410" s="50"/>
      <c r="AC410" s="50"/>
      <c r="AD410" s="50"/>
      <c r="AE410" s="50"/>
    </row>
    <row r="411" spans="1:31" ht="15.75" x14ac:dyDescent="0.25">
      <c r="A411" s="480">
        <f>ROW()</f>
        <v>411</v>
      </c>
      <c r="B411" s="176" t="s">
        <v>694</v>
      </c>
      <c r="C411" s="177"/>
      <c r="D411" s="176"/>
      <c r="E411" s="163"/>
      <c r="F411" s="163"/>
      <c r="G411" s="634">
        <f t="shared" ref="G411:M411" si="102">G400*$C$60</f>
        <v>3704131.5082999999</v>
      </c>
      <c r="H411" s="634">
        <f t="shared" si="102"/>
        <v>3704131.5082999999</v>
      </c>
      <c r="I411" s="634">
        <f t="shared" si="102"/>
        <v>3704131.5082999999</v>
      </c>
      <c r="J411" s="634">
        <f t="shared" si="102"/>
        <v>3704131.5082999999</v>
      </c>
      <c r="K411" s="634">
        <f t="shared" si="102"/>
        <v>3704131.5082999999</v>
      </c>
      <c r="L411" s="634">
        <f t="shared" si="102"/>
        <v>3704131.5082999999</v>
      </c>
      <c r="M411" s="634">
        <f t="shared" si="102"/>
        <v>3704131.5082999999</v>
      </c>
      <c r="N411" s="193"/>
      <c r="O411" s="343"/>
      <c r="Q411" s="50"/>
      <c r="R411" s="50"/>
      <c r="S411" s="50"/>
      <c r="T411" s="50"/>
      <c r="U411" s="50"/>
      <c r="V411" s="50"/>
      <c r="W411" s="50"/>
      <c r="X411" s="50"/>
      <c r="Y411" s="50"/>
      <c r="Z411" s="50"/>
      <c r="AA411" s="50"/>
      <c r="AB411" s="50"/>
      <c r="AC411" s="50"/>
      <c r="AD411" s="50"/>
      <c r="AE411" s="50"/>
    </row>
    <row r="412" spans="1:31" ht="15.75" x14ac:dyDescent="0.25">
      <c r="A412" s="480">
        <f>ROW()</f>
        <v>412</v>
      </c>
      <c r="B412" s="109"/>
      <c r="C412" s="132"/>
      <c r="D412" s="110"/>
      <c r="E412" s="109"/>
      <c r="F412" s="109"/>
      <c r="G412" s="503"/>
      <c r="H412" s="100"/>
      <c r="I412" s="100"/>
      <c r="J412" s="100"/>
      <c r="K412" s="100"/>
      <c r="L412" s="100"/>
      <c r="M412" s="100"/>
      <c r="N412" s="193"/>
      <c r="O412" s="343"/>
      <c r="Q412" s="50"/>
      <c r="R412" s="50"/>
      <c r="S412" s="50"/>
      <c r="T412" s="50"/>
      <c r="U412" s="50"/>
      <c r="V412" s="50"/>
      <c r="W412" s="50"/>
      <c r="X412" s="50"/>
      <c r="Y412" s="50"/>
      <c r="Z412" s="50"/>
      <c r="AA412" s="50"/>
      <c r="AB412" s="50"/>
      <c r="AC412" s="50"/>
      <c r="AD412" s="50"/>
      <c r="AE412" s="50"/>
    </row>
    <row r="413" spans="1:31" ht="15.75" x14ac:dyDescent="0.25">
      <c r="A413" s="480">
        <f>ROW()</f>
        <v>413</v>
      </c>
      <c r="B413" s="983" t="s">
        <v>614</v>
      </c>
      <c r="C413" s="984"/>
      <c r="D413" s="983"/>
      <c r="E413" s="983"/>
      <c r="F413" s="983"/>
      <c r="G413" s="985"/>
      <c r="H413" s="986"/>
      <c r="I413" s="986"/>
      <c r="J413" s="986"/>
      <c r="K413" s="986"/>
      <c r="L413" s="986"/>
      <c r="M413" s="986"/>
      <c r="N413" s="193"/>
      <c r="O413" s="343"/>
      <c r="Q413" s="50"/>
      <c r="R413" s="50"/>
      <c r="S413" s="50"/>
      <c r="T413" s="50"/>
      <c r="U413" s="50"/>
      <c r="V413" s="50"/>
      <c r="W413" s="50"/>
      <c r="X413" s="50"/>
      <c r="Y413" s="50"/>
      <c r="Z413" s="50"/>
      <c r="AA413" s="50"/>
      <c r="AB413" s="50"/>
      <c r="AC413" s="50"/>
      <c r="AD413" s="50"/>
      <c r="AE413" s="50"/>
    </row>
    <row r="414" spans="1:31" ht="15.75" x14ac:dyDescent="0.25">
      <c r="A414" s="480">
        <f>ROW()</f>
        <v>414</v>
      </c>
      <c r="B414" s="176" t="s">
        <v>695</v>
      </c>
      <c r="C414" s="177"/>
      <c r="D414" s="176"/>
      <c r="E414" s="163"/>
      <c r="F414" s="163"/>
      <c r="G414" s="634">
        <f t="shared" ref="G414:M414" si="103">G400*$C$61</f>
        <v>66342.653879999998</v>
      </c>
      <c r="H414" s="634">
        <f t="shared" si="103"/>
        <v>66342.653879999998</v>
      </c>
      <c r="I414" s="634">
        <f t="shared" si="103"/>
        <v>66342.653879999998</v>
      </c>
      <c r="J414" s="634">
        <f t="shared" si="103"/>
        <v>66342.653879999998</v>
      </c>
      <c r="K414" s="634">
        <f t="shared" si="103"/>
        <v>66342.653879999998</v>
      </c>
      <c r="L414" s="634">
        <f t="shared" si="103"/>
        <v>66342.653879999998</v>
      </c>
      <c r="M414" s="634">
        <f t="shared" si="103"/>
        <v>66342.653879999998</v>
      </c>
      <c r="N414" s="193"/>
      <c r="O414" s="343"/>
      <c r="Q414" s="50"/>
      <c r="R414" s="50"/>
      <c r="S414" s="50"/>
      <c r="T414" s="50"/>
      <c r="U414" s="50"/>
      <c r="V414" s="50"/>
      <c r="W414" s="50"/>
      <c r="X414" s="50"/>
      <c r="Y414" s="50"/>
      <c r="Z414" s="50"/>
      <c r="AA414" s="50"/>
      <c r="AB414" s="50"/>
      <c r="AC414" s="50"/>
      <c r="AD414" s="50"/>
      <c r="AE414" s="50"/>
    </row>
    <row r="415" spans="1:31" ht="15.75" x14ac:dyDescent="0.25">
      <c r="A415" s="480">
        <f>ROW()</f>
        <v>415</v>
      </c>
      <c r="B415" s="31"/>
      <c r="C415" s="133"/>
      <c r="D415" s="31"/>
      <c r="G415" s="503"/>
      <c r="H415" s="507"/>
      <c r="I415" s="507"/>
      <c r="J415" s="507"/>
      <c r="K415" s="507"/>
      <c r="L415" s="507"/>
      <c r="M415" s="507"/>
      <c r="N415" s="193"/>
      <c r="O415" s="343"/>
      <c r="Q415" s="50"/>
      <c r="R415" s="50"/>
      <c r="S415" s="50"/>
      <c r="T415" s="50"/>
      <c r="U415" s="50"/>
      <c r="V415" s="50"/>
      <c r="W415" s="50"/>
      <c r="X415" s="50"/>
      <c r="Y415" s="50"/>
      <c r="Z415" s="50"/>
      <c r="AA415" s="50"/>
      <c r="AB415" s="50"/>
      <c r="AC415" s="50"/>
      <c r="AD415" s="50"/>
      <c r="AE415" s="50"/>
    </row>
    <row r="416" spans="1:31" ht="15.75" x14ac:dyDescent="0.25">
      <c r="A416" s="480">
        <f>ROW()</f>
        <v>416</v>
      </c>
      <c r="B416" s="983" t="s">
        <v>696</v>
      </c>
      <c r="C416" s="984"/>
      <c r="D416" s="983"/>
      <c r="E416" s="983"/>
      <c r="F416" s="983"/>
      <c r="G416" s="985"/>
      <c r="H416" s="986"/>
      <c r="I416" s="986"/>
      <c r="J416" s="986"/>
      <c r="K416" s="986"/>
      <c r="L416" s="986"/>
      <c r="M416" s="986"/>
      <c r="N416" s="193"/>
      <c r="O416" s="343"/>
      <c r="Q416" s="50"/>
      <c r="R416" s="50"/>
      <c r="S416" s="50"/>
      <c r="T416" s="50"/>
      <c r="U416" s="50"/>
      <c r="V416" s="50"/>
      <c r="W416" s="50"/>
      <c r="X416" s="50"/>
      <c r="Y416" s="50"/>
      <c r="Z416" s="50"/>
      <c r="AA416" s="50"/>
      <c r="AB416" s="50"/>
      <c r="AC416" s="50"/>
      <c r="AD416" s="50"/>
      <c r="AE416" s="50"/>
    </row>
    <row r="417" spans="1:31" ht="15.75" x14ac:dyDescent="0.25">
      <c r="A417" s="480">
        <f>ROW()</f>
        <v>417</v>
      </c>
      <c r="B417" s="174" t="s">
        <v>697</v>
      </c>
      <c r="C417" s="175"/>
      <c r="D417" s="127"/>
      <c r="E417" s="125"/>
      <c r="F417" s="125"/>
      <c r="G417" s="634">
        <f t="shared" ref="G417:M417" si="104">G23*$C$62</f>
        <v>0</v>
      </c>
      <c r="H417" s="634">
        <f t="shared" si="104"/>
        <v>0</v>
      </c>
      <c r="I417" s="634">
        <f t="shared" si="104"/>
        <v>0</v>
      </c>
      <c r="J417" s="634">
        <f t="shared" si="104"/>
        <v>0</v>
      </c>
      <c r="K417" s="634">
        <f t="shared" si="104"/>
        <v>0</v>
      </c>
      <c r="L417" s="634">
        <f t="shared" si="104"/>
        <v>0</v>
      </c>
      <c r="M417" s="634">
        <f t="shared" si="104"/>
        <v>0</v>
      </c>
      <c r="N417" s="193"/>
      <c r="O417" s="343"/>
      <c r="Q417" s="50"/>
      <c r="R417" s="50"/>
      <c r="S417" s="50"/>
      <c r="T417" s="50"/>
      <c r="U417" s="50"/>
      <c r="V417" s="50"/>
      <c r="W417" s="50"/>
      <c r="X417" s="50"/>
      <c r="Y417" s="50"/>
      <c r="Z417" s="50"/>
      <c r="AA417" s="50"/>
      <c r="AB417" s="50"/>
      <c r="AC417" s="50"/>
      <c r="AD417" s="50"/>
      <c r="AE417" s="50"/>
    </row>
    <row r="418" spans="1:31" ht="15.75" x14ac:dyDescent="0.25">
      <c r="A418" s="480">
        <f>ROW()</f>
        <v>418</v>
      </c>
      <c r="B418" s="31"/>
      <c r="C418" s="133"/>
      <c r="D418" s="31"/>
      <c r="G418" s="503"/>
      <c r="H418" s="507"/>
      <c r="I418" s="507"/>
      <c r="J418" s="507"/>
      <c r="K418" s="507"/>
      <c r="L418" s="507"/>
      <c r="M418" s="507"/>
      <c r="N418" s="193"/>
      <c r="O418" s="343"/>
      <c r="Q418" s="50"/>
      <c r="R418" s="50"/>
      <c r="S418" s="50"/>
      <c r="T418" s="50"/>
      <c r="U418" s="50"/>
      <c r="V418" s="50"/>
      <c r="W418" s="50"/>
      <c r="X418" s="50"/>
      <c r="Y418" s="50"/>
      <c r="Z418" s="50"/>
      <c r="AA418" s="50"/>
      <c r="AB418" s="50"/>
      <c r="AC418" s="50"/>
      <c r="AD418" s="50"/>
      <c r="AE418" s="50"/>
    </row>
    <row r="419" spans="1:31" ht="15.75" x14ac:dyDescent="0.25">
      <c r="A419" s="480">
        <f>ROW()</f>
        <v>419</v>
      </c>
      <c r="B419" s="983" t="s">
        <v>698</v>
      </c>
      <c r="C419" s="984"/>
      <c r="D419" s="983"/>
      <c r="E419" s="983"/>
      <c r="F419" s="983"/>
      <c r="G419" s="985"/>
      <c r="H419" s="986"/>
      <c r="I419" s="986"/>
      <c r="J419" s="986"/>
      <c r="K419" s="986"/>
      <c r="L419" s="986"/>
      <c r="M419" s="986"/>
      <c r="N419" s="193"/>
      <c r="O419" s="343"/>
      <c r="Q419" s="50"/>
      <c r="R419" s="50"/>
      <c r="S419" s="50"/>
      <c r="T419" s="50"/>
      <c r="U419" s="50"/>
      <c r="V419" s="50"/>
      <c r="W419" s="50"/>
      <c r="X419" s="50"/>
      <c r="Y419" s="50"/>
      <c r="Z419" s="50"/>
      <c r="AA419" s="50"/>
      <c r="AB419" s="50"/>
      <c r="AC419" s="50"/>
      <c r="AD419" s="50"/>
      <c r="AE419" s="50"/>
    </row>
    <row r="420" spans="1:31" ht="15.75" x14ac:dyDescent="0.25">
      <c r="A420" s="480">
        <f>ROW()</f>
        <v>420</v>
      </c>
      <c r="B420" s="127" t="s">
        <v>699</v>
      </c>
      <c r="C420" s="175"/>
      <c r="D420" s="127"/>
      <c r="E420" s="125"/>
      <c r="F420" s="125"/>
      <c r="G420" s="634">
        <f>G400*$C$63</f>
        <v>59438.98583673979</v>
      </c>
      <c r="H420" s="634">
        <f t="shared" ref="H420:M420" si="105">H400*$C$63</f>
        <v>59438.98583673979</v>
      </c>
      <c r="I420" s="634">
        <f t="shared" si="105"/>
        <v>59438.98583673979</v>
      </c>
      <c r="J420" s="634">
        <f t="shared" si="105"/>
        <v>59438.98583673979</v>
      </c>
      <c r="K420" s="634">
        <f t="shared" si="105"/>
        <v>59438.98583673979</v>
      </c>
      <c r="L420" s="634">
        <f t="shared" si="105"/>
        <v>59438.98583673979</v>
      </c>
      <c r="M420" s="634">
        <f t="shared" si="105"/>
        <v>59438.98583673979</v>
      </c>
      <c r="N420" s="193"/>
      <c r="O420" s="343"/>
      <c r="Q420" s="50"/>
      <c r="R420" s="50"/>
      <c r="S420" s="50"/>
      <c r="T420" s="50"/>
      <c r="U420" s="50"/>
      <c r="V420" s="50"/>
      <c r="W420" s="50"/>
      <c r="X420" s="50"/>
      <c r="Y420" s="50"/>
      <c r="Z420" s="50"/>
      <c r="AA420" s="50"/>
      <c r="AB420" s="50"/>
      <c r="AC420" s="50"/>
      <c r="AD420" s="50"/>
      <c r="AE420" s="50"/>
    </row>
    <row r="421" spans="1:31" x14ac:dyDescent="0.25">
      <c r="A421" s="480">
        <f>ROW()</f>
        <v>421</v>
      </c>
      <c r="B421" s="31"/>
      <c r="C421" s="133"/>
      <c r="D421" s="31"/>
      <c r="G421" s="507"/>
      <c r="H421" s="507"/>
      <c r="I421" s="507"/>
      <c r="J421" s="507"/>
      <c r="K421" s="507"/>
      <c r="L421" s="507"/>
      <c r="M421" s="507"/>
      <c r="O421" s="343"/>
      <c r="Q421" s="50"/>
      <c r="R421" s="50"/>
      <c r="S421" s="50"/>
      <c r="T421" s="50"/>
      <c r="U421" s="50"/>
      <c r="V421" s="50"/>
      <c r="W421" s="50"/>
      <c r="X421" s="50"/>
      <c r="Y421" s="50"/>
      <c r="Z421" s="50"/>
      <c r="AA421" s="50"/>
      <c r="AB421" s="50"/>
      <c r="AC421" s="50"/>
      <c r="AD421" s="50"/>
      <c r="AE421" s="50"/>
    </row>
    <row r="422" spans="1:31" ht="15.75" x14ac:dyDescent="0.25">
      <c r="A422" s="480">
        <f>ROW()</f>
        <v>422</v>
      </c>
      <c r="B422" s="983" t="s">
        <v>618</v>
      </c>
      <c r="C422" s="984"/>
      <c r="D422" s="983"/>
      <c r="E422" s="983"/>
      <c r="F422" s="983"/>
      <c r="G422" s="985"/>
      <c r="H422" s="986"/>
      <c r="I422" s="986"/>
      <c r="J422" s="986"/>
      <c r="K422" s="986"/>
      <c r="L422" s="986"/>
      <c r="M422" s="986"/>
      <c r="O422" s="343"/>
      <c r="Q422" s="50"/>
      <c r="R422" s="50"/>
      <c r="S422" s="50"/>
      <c r="T422" s="50"/>
      <c r="U422" s="50"/>
      <c r="V422" s="50"/>
      <c r="W422" s="50"/>
      <c r="X422" s="50"/>
      <c r="Y422" s="50"/>
      <c r="Z422" s="50"/>
      <c r="AA422" s="50"/>
      <c r="AB422" s="50"/>
      <c r="AC422" s="50"/>
      <c r="AD422" s="50"/>
      <c r="AE422" s="50"/>
    </row>
    <row r="423" spans="1:31" x14ac:dyDescent="0.25">
      <c r="A423" s="480">
        <f>ROW()</f>
        <v>423</v>
      </c>
      <c r="B423" s="127" t="s">
        <v>700</v>
      </c>
      <c r="C423" s="175"/>
      <c r="D423" s="127"/>
      <c r="E423" s="125"/>
      <c r="F423" s="125"/>
      <c r="G423" s="634">
        <f>G400*$C$64</f>
        <v>19764.194797930719</v>
      </c>
      <c r="H423" s="634">
        <f t="shared" ref="H423:M423" si="106">H400*$C$64</f>
        <v>19764.194797930719</v>
      </c>
      <c r="I423" s="634">
        <f t="shared" si="106"/>
        <v>19764.194797930719</v>
      </c>
      <c r="J423" s="634">
        <f t="shared" si="106"/>
        <v>19764.194797930719</v>
      </c>
      <c r="K423" s="634">
        <f t="shared" si="106"/>
        <v>19764.194797930719</v>
      </c>
      <c r="L423" s="634">
        <f t="shared" si="106"/>
        <v>19764.194797930719</v>
      </c>
      <c r="M423" s="634">
        <f t="shared" si="106"/>
        <v>19764.194797930719</v>
      </c>
      <c r="O423" s="343"/>
      <c r="Q423" s="50"/>
      <c r="R423" s="50"/>
      <c r="S423" s="50"/>
      <c r="T423" s="50"/>
      <c r="U423" s="50"/>
      <c r="V423" s="50"/>
      <c r="W423" s="50"/>
      <c r="X423" s="50"/>
      <c r="Y423" s="50"/>
      <c r="Z423" s="50"/>
      <c r="AA423" s="50"/>
      <c r="AB423" s="50"/>
      <c r="AC423" s="50"/>
      <c r="AD423" s="50"/>
      <c r="AE423" s="50"/>
    </row>
    <row r="424" spans="1:31" ht="15.75" thickBot="1" x14ac:dyDescent="0.3">
      <c r="A424" s="480">
        <f>ROW()</f>
        <v>424</v>
      </c>
      <c r="C424" s="130"/>
      <c r="E424" s="63"/>
      <c r="F424" s="63"/>
      <c r="G424" s="503"/>
      <c r="H424" s="138"/>
      <c r="I424" s="138"/>
      <c r="J424" s="138"/>
      <c r="K424" s="138"/>
      <c r="L424" s="138"/>
      <c r="M424" s="138"/>
      <c r="O424" s="343"/>
      <c r="Q424" s="50"/>
      <c r="R424" s="50"/>
      <c r="S424" s="50"/>
      <c r="T424" s="50"/>
      <c r="U424" s="50"/>
      <c r="V424" s="50"/>
      <c r="W424" s="50"/>
      <c r="X424" s="50"/>
      <c r="Y424" s="50"/>
      <c r="Z424" s="50"/>
      <c r="AA424" s="50"/>
      <c r="AB424" s="50"/>
      <c r="AC424" s="50"/>
      <c r="AD424" s="50"/>
      <c r="AE424" s="50"/>
    </row>
    <row r="425" spans="1:31" ht="15.75" thickBot="1" x14ac:dyDescent="0.3">
      <c r="A425" s="480">
        <f>ROW()</f>
        <v>425</v>
      </c>
      <c r="B425" s="963" t="s">
        <v>701</v>
      </c>
      <c r="C425" s="964"/>
      <c r="D425" s="987"/>
      <c r="E425" s="987"/>
      <c r="F425" s="987"/>
      <c r="G425" s="964">
        <f t="shared" ref="G425:M425" si="107">G420+G417+G414+G411+G408+G405+G423</f>
        <v>5400805.4230246702</v>
      </c>
      <c r="H425" s="964">
        <f t="shared" si="107"/>
        <v>5400805.4230246702</v>
      </c>
      <c r="I425" s="964">
        <f t="shared" si="107"/>
        <v>5400805.4230246702</v>
      </c>
      <c r="J425" s="964">
        <f t="shared" si="107"/>
        <v>5400805.4230246702</v>
      </c>
      <c r="K425" s="964">
        <f t="shared" si="107"/>
        <v>5400805.4230246702</v>
      </c>
      <c r="L425" s="964">
        <f t="shared" si="107"/>
        <v>5400805.4230246702</v>
      </c>
      <c r="M425" s="964">
        <f t="shared" si="107"/>
        <v>5400805.4230246702</v>
      </c>
      <c r="O425" s="343"/>
      <c r="Q425" s="50"/>
      <c r="R425" s="50"/>
      <c r="S425" s="50"/>
      <c r="T425" s="50"/>
      <c r="U425" s="50"/>
      <c r="V425" s="50"/>
      <c r="W425" s="50"/>
      <c r="X425" s="50"/>
      <c r="Y425" s="50"/>
      <c r="Z425" s="50"/>
      <c r="AA425" s="50"/>
      <c r="AB425" s="50"/>
      <c r="AC425" s="50"/>
      <c r="AD425" s="50"/>
      <c r="AE425" s="50"/>
    </row>
    <row r="426" spans="1:31" x14ac:dyDescent="0.25">
      <c r="A426" s="480">
        <f>ROW()</f>
        <v>426</v>
      </c>
      <c r="B426" s="80" t="s">
        <v>702</v>
      </c>
      <c r="C426" s="134"/>
      <c r="D426" s="80"/>
      <c r="E426" s="80"/>
      <c r="F426" s="80"/>
      <c r="G426" s="1631">
        <f>IFERROR(G425/G400,0)</f>
        <v>0.48844643141291266</v>
      </c>
      <c r="H426" s="1631">
        <f t="shared" ref="H426:M426" si="108">IF(OR(H425=0,H400=0),0,H425/H400)</f>
        <v>0.48844643141291266</v>
      </c>
      <c r="I426" s="1631">
        <f t="shared" si="108"/>
        <v>0.48844643141291266</v>
      </c>
      <c r="J426" s="1631">
        <f t="shared" si="108"/>
        <v>0.48844643141291266</v>
      </c>
      <c r="K426" s="1631">
        <f t="shared" si="108"/>
        <v>0.48844643141291266</v>
      </c>
      <c r="L426" s="1631">
        <f t="shared" si="108"/>
        <v>0.48844643141291266</v>
      </c>
      <c r="M426" s="1631">
        <f t="shared" si="108"/>
        <v>0.48844643141291266</v>
      </c>
      <c r="N426" s="80"/>
      <c r="O426" s="343"/>
      <c r="Q426" s="50"/>
      <c r="R426" s="50"/>
      <c r="S426" s="50"/>
      <c r="T426" s="50"/>
      <c r="U426" s="50"/>
      <c r="V426" s="50"/>
      <c r="W426" s="50"/>
      <c r="X426" s="50"/>
      <c r="Y426" s="50"/>
      <c r="Z426" s="50"/>
      <c r="AA426" s="50"/>
      <c r="AB426" s="50"/>
      <c r="AC426" s="50"/>
      <c r="AD426" s="50"/>
      <c r="AE426" s="50"/>
    </row>
    <row r="427" spans="1:31" x14ac:dyDescent="0.25">
      <c r="A427" s="480">
        <f>ROW()</f>
        <v>427</v>
      </c>
      <c r="C427" s="130"/>
      <c r="G427" s="50"/>
      <c r="H427" s="50"/>
      <c r="I427" s="50"/>
      <c r="J427" s="50"/>
      <c r="K427" s="50"/>
      <c r="L427" s="50"/>
      <c r="M427" s="50"/>
      <c r="O427" s="343"/>
      <c r="Q427" s="50"/>
      <c r="R427" s="50"/>
      <c r="S427" s="50"/>
      <c r="T427" s="50"/>
      <c r="U427" s="50"/>
      <c r="V427" s="50"/>
      <c r="W427" s="50"/>
      <c r="X427" s="50"/>
      <c r="Y427" s="50"/>
      <c r="Z427" s="50"/>
      <c r="AA427" s="50"/>
      <c r="AB427" s="50"/>
      <c r="AC427" s="50"/>
      <c r="AD427" s="50"/>
      <c r="AE427" s="50"/>
    </row>
    <row r="428" spans="1:31" x14ac:dyDescent="0.25">
      <c r="A428" s="480">
        <f>ROW()</f>
        <v>428</v>
      </c>
      <c r="B428" s="1294" t="s">
        <v>703</v>
      </c>
      <c r="C428" s="1295"/>
      <c r="D428" s="1296"/>
      <c r="E428" s="1296"/>
      <c r="F428" s="1296"/>
      <c r="G428" s="1297"/>
      <c r="H428" s="1297"/>
      <c r="I428" s="1297"/>
      <c r="J428" s="1297"/>
      <c r="K428" s="1297"/>
      <c r="L428" s="1297"/>
      <c r="M428" s="1297"/>
      <c r="O428" s="343"/>
      <c r="Q428" s="50"/>
      <c r="R428" s="50"/>
      <c r="S428" s="50"/>
      <c r="T428" s="50"/>
      <c r="U428" s="50"/>
      <c r="V428" s="50"/>
      <c r="W428" s="50"/>
      <c r="X428" s="50"/>
      <c r="Y428" s="50"/>
      <c r="Z428" s="50"/>
      <c r="AA428" s="50"/>
      <c r="AB428" s="50"/>
      <c r="AC428" s="50"/>
      <c r="AD428" s="50"/>
      <c r="AE428" s="50"/>
    </row>
    <row r="429" spans="1:31" x14ac:dyDescent="0.25">
      <c r="A429" s="480">
        <f>ROW()</f>
        <v>429</v>
      </c>
      <c r="C429" s="130" t="s">
        <v>704</v>
      </c>
      <c r="G429" s="50"/>
      <c r="H429" s="50"/>
      <c r="I429" s="50"/>
      <c r="J429" s="50"/>
      <c r="K429" s="50"/>
      <c r="L429" s="50"/>
      <c r="M429" s="50"/>
      <c r="O429" s="343"/>
      <c r="Q429" s="50"/>
      <c r="R429" s="50"/>
      <c r="S429" s="50"/>
      <c r="T429" s="50"/>
      <c r="U429" s="50"/>
      <c r="V429" s="50"/>
      <c r="W429" s="50"/>
      <c r="X429" s="50"/>
      <c r="Y429" s="50"/>
      <c r="Z429" s="50"/>
      <c r="AA429" s="50"/>
      <c r="AB429" s="50"/>
      <c r="AC429" s="50"/>
      <c r="AD429" s="50"/>
      <c r="AE429" s="50"/>
    </row>
    <row r="430" spans="1:31" x14ac:dyDescent="0.25">
      <c r="A430" s="480">
        <f>ROW()</f>
        <v>430</v>
      </c>
      <c r="B430" s="33" t="s">
        <v>705</v>
      </c>
      <c r="C430" s="130"/>
      <c r="G430" s="50"/>
      <c r="H430" s="50"/>
      <c r="I430" s="50"/>
      <c r="J430" s="50"/>
      <c r="K430" s="50"/>
      <c r="L430" s="50"/>
      <c r="M430" s="50"/>
      <c r="O430" s="343"/>
      <c r="Q430" s="50"/>
      <c r="R430" s="50"/>
      <c r="S430" s="50"/>
      <c r="T430" s="50"/>
      <c r="U430" s="50"/>
      <c r="V430" s="50"/>
      <c r="W430" s="50"/>
      <c r="X430" s="50"/>
      <c r="Y430" s="50"/>
      <c r="Z430" s="50"/>
      <c r="AA430" s="50"/>
      <c r="AB430" s="50"/>
      <c r="AC430" s="50"/>
      <c r="AD430" s="50"/>
      <c r="AE430" s="50"/>
    </row>
    <row r="431" spans="1:31" x14ac:dyDescent="0.25">
      <c r="A431" s="480">
        <f>ROW()</f>
        <v>431</v>
      </c>
      <c r="B431" s="33" t="s">
        <v>706</v>
      </c>
      <c r="C431" s="130"/>
      <c r="G431" s="678">
        <v>0</v>
      </c>
      <c r="H431" s="678">
        <v>0</v>
      </c>
      <c r="I431" s="678">
        <v>0</v>
      </c>
      <c r="J431" s="678">
        <v>0</v>
      </c>
      <c r="K431" s="678">
        <v>0</v>
      </c>
      <c r="L431" s="678">
        <v>0</v>
      </c>
      <c r="M431" s="678">
        <v>0</v>
      </c>
      <c r="O431" s="343"/>
      <c r="Q431" s="50"/>
      <c r="R431" s="50"/>
      <c r="S431" s="50"/>
      <c r="T431" s="50"/>
      <c r="U431" s="50"/>
      <c r="V431" s="50"/>
      <c r="W431" s="50"/>
      <c r="X431" s="50"/>
      <c r="Y431" s="50"/>
      <c r="Z431" s="50"/>
      <c r="AA431" s="50"/>
      <c r="AB431" s="50"/>
      <c r="AC431" s="50"/>
      <c r="AD431" s="50"/>
      <c r="AE431" s="50"/>
    </row>
    <row r="432" spans="1:31" x14ac:dyDescent="0.25">
      <c r="A432" s="480">
        <f>ROW()</f>
        <v>432</v>
      </c>
      <c r="B432" s="33" t="s">
        <v>707</v>
      </c>
      <c r="C432" s="135">
        <v>0</v>
      </c>
      <c r="G432" s="575">
        <f>$C$432*G431</f>
        <v>0</v>
      </c>
      <c r="H432" s="575">
        <f t="shared" ref="H432:M432" si="109">$C$432*H431</f>
        <v>0</v>
      </c>
      <c r="I432" s="575">
        <f t="shared" si="109"/>
        <v>0</v>
      </c>
      <c r="J432" s="575">
        <f t="shared" si="109"/>
        <v>0</v>
      </c>
      <c r="K432" s="575">
        <f t="shared" si="109"/>
        <v>0</v>
      </c>
      <c r="L432" s="575">
        <f t="shared" si="109"/>
        <v>0</v>
      </c>
      <c r="M432" s="575">
        <f t="shared" si="109"/>
        <v>0</v>
      </c>
      <c r="O432" s="343"/>
      <c r="Q432" s="50"/>
      <c r="R432" s="50"/>
      <c r="S432" s="50"/>
      <c r="T432" s="50"/>
      <c r="U432" s="50"/>
      <c r="V432" s="50"/>
      <c r="W432" s="50"/>
      <c r="X432" s="50"/>
      <c r="Y432" s="50"/>
      <c r="Z432" s="50"/>
      <c r="AA432" s="50"/>
      <c r="AB432" s="50"/>
      <c r="AC432" s="50"/>
      <c r="AD432" s="50"/>
      <c r="AE432" s="50"/>
    </row>
    <row r="433" spans="1:31" x14ac:dyDescent="0.25">
      <c r="A433" s="480">
        <f>ROW()</f>
        <v>433</v>
      </c>
      <c r="C433" s="133"/>
      <c r="D433" s="1762"/>
      <c r="G433" s="138"/>
      <c r="H433" s="138"/>
      <c r="I433" s="138"/>
      <c r="J433" s="138"/>
      <c r="K433" s="138"/>
      <c r="L433" s="138"/>
      <c r="M433" s="138"/>
      <c r="O433" s="343"/>
      <c r="Q433" s="50"/>
      <c r="R433" s="50"/>
      <c r="S433" s="50"/>
      <c r="T433" s="50"/>
      <c r="U433" s="50"/>
      <c r="V433" s="50"/>
      <c r="W433" s="50"/>
      <c r="X433" s="50"/>
      <c r="Y433" s="50"/>
      <c r="Z433" s="50"/>
      <c r="AA433" s="50"/>
      <c r="AB433" s="50"/>
      <c r="AC433" s="50"/>
      <c r="AD433" s="50"/>
      <c r="AE433" s="50"/>
    </row>
    <row r="434" spans="1:31" x14ac:dyDescent="0.25">
      <c r="A434" s="480">
        <f>ROW()</f>
        <v>434</v>
      </c>
      <c r="B434" s="33" t="s">
        <v>708</v>
      </c>
      <c r="C434" s="130"/>
      <c r="G434" s="138"/>
      <c r="H434" s="138"/>
      <c r="I434" s="138"/>
      <c r="J434" s="138"/>
      <c r="K434" s="138"/>
      <c r="L434" s="138"/>
      <c r="M434" s="138"/>
      <c r="O434" s="343"/>
      <c r="Q434" s="50"/>
      <c r="R434" s="50"/>
      <c r="S434" s="50"/>
      <c r="T434" s="50"/>
      <c r="U434" s="50"/>
      <c r="V434" s="50"/>
      <c r="W434" s="50"/>
      <c r="X434" s="50"/>
      <c r="Y434" s="50"/>
      <c r="Z434" s="50"/>
      <c r="AA434" s="50"/>
      <c r="AB434" s="50"/>
      <c r="AC434" s="50"/>
      <c r="AD434" s="50"/>
      <c r="AE434" s="50"/>
    </row>
    <row r="435" spans="1:31" x14ac:dyDescent="0.25">
      <c r="A435" s="480">
        <f>ROW()</f>
        <v>435</v>
      </c>
      <c r="B435" s="33" t="s">
        <v>709</v>
      </c>
      <c r="C435" s="130"/>
      <c r="G435" s="679">
        <v>0</v>
      </c>
      <c r="H435" s="679">
        <v>0</v>
      </c>
      <c r="I435" s="679">
        <v>0</v>
      </c>
      <c r="J435" s="679">
        <v>0</v>
      </c>
      <c r="K435" s="679">
        <v>0</v>
      </c>
      <c r="L435" s="679">
        <v>0</v>
      </c>
      <c r="M435" s="679">
        <v>0</v>
      </c>
      <c r="O435" s="343"/>
      <c r="Q435" s="50"/>
      <c r="R435" s="50"/>
      <c r="S435" s="50"/>
      <c r="T435" s="50"/>
      <c r="U435" s="50"/>
      <c r="V435" s="50"/>
      <c r="W435" s="50"/>
      <c r="X435" s="50"/>
      <c r="Y435" s="50"/>
      <c r="Z435" s="50"/>
      <c r="AA435" s="50"/>
      <c r="AB435" s="50"/>
      <c r="AC435" s="50"/>
      <c r="AD435" s="50"/>
      <c r="AE435" s="50"/>
    </row>
    <row r="436" spans="1:31" x14ac:dyDescent="0.25">
      <c r="A436" s="480">
        <f>ROW()</f>
        <v>436</v>
      </c>
      <c r="B436" s="33" t="s">
        <v>707</v>
      </c>
      <c r="C436" s="135">
        <v>0</v>
      </c>
      <c r="G436" s="575">
        <f t="shared" ref="G436:M436" si="110">$C$436*G435</f>
        <v>0</v>
      </c>
      <c r="H436" s="575">
        <f t="shared" si="110"/>
        <v>0</v>
      </c>
      <c r="I436" s="575">
        <f t="shared" si="110"/>
        <v>0</v>
      </c>
      <c r="J436" s="575">
        <f t="shared" si="110"/>
        <v>0</v>
      </c>
      <c r="K436" s="575">
        <f t="shared" si="110"/>
        <v>0</v>
      </c>
      <c r="L436" s="575">
        <f t="shared" si="110"/>
        <v>0</v>
      </c>
      <c r="M436" s="575">
        <f t="shared" si="110"/>
        <v>0</v>
      </c>
      <c r="O436" s="343"/>
      <c r="Q436" s="50"/>
      <c r="R436" s="50"/>
      <c r="S436" s="50"/>
      <c r="T436" s="50"/>
      <c r="U436" s="50"/>
      <c r="V436" s="50"/>
      <c r="W436" s="50"/>
      <c r="X436" s="50"/>
      <c r="Y436" s="50"/>
      <c r="Z436" s="50"/>
      <c r="AA436" s="50"/>
      <c r="AB436" s="50"/>
      <c r="AC436" s="50"/>
      <c r="AD436" s="50"/>
      <c r="AE436" s="50"/>
    </row>
    <row r="437" spans="1:31" x14ac:dyDescent="0.25">
      <c r="A437" s="480">
        <f>ROW()</f>
        <v>437</v>
      </c>
      <c r="C437" s="130"/>
      <c r="G437" s="138"/>
      <c r="H437" s="138"/>
      <c r="I437" s="138"/>
      <c r="J437" s="138"/>
      <c r="K437" s="138"/>
      <c r="L437" s="138"/>
      <c r="M437" s="138"/>
      <c r="O437" s="343"/>
      <c r="Q437" s="50"/>
      <c r="R437" s="50"/>
      <c r="S437" s="50"/>
      <c r="T437" s="50"/>
      <c r="U437" s="50"/>
      <c r="V437" s="50"/>
      <c r="W437" s="50"/>
      <c r="X437" s="50"/>
      <c r="Y437" s="50"/>
      <c r="Z437" s="50"/>
      <c r="AA437" s="50"/>
      <c r="AB437" s="50"/>
      <c r="AC437" s="50"/>
      <c r="AD437" s="50"/>
      <c r="AE437" s="50"/>
    </row>
    <row r="438" spans="1:31" x14ac:dyDescent="0.25">
      <c r="A438" s="480">
        <f>ROW()</f>
        <v>438</v>
      </c>
      <c r="B438" s="33" t="s">
        <v>710</v>
      </c>
      <c r="C438" s="130"/>
      <c r="G438" s="138"/>
      <c r="H438" s="138"/>
      <c r="I438" s="138"/>
      <c r="J438" s="138"/>
      <c r="K438" s="138"/>
      <c r="L438" s="138"/>
      <c r="M438" s="138"/>
      <c r="O438" s="343"/>
      <c r="Q438" s="50"/>
      <c r="R438" s="50"/>
      <c r="S438" s="50"/>
      <c r="T438" s="50"/>
      <c r="U438" s="50"/>
      <c r="V438" s="50"/>
      <c r="W438" s="50"/>
      <c r="X438" s="50"/>
      <c r="Y438" s="50"/>
      <c r="Z438" s="50"/>
      <c r="AA438" s="50"/>
      <c r="AB438" s="50"/>
      <c r="AC438" s="50"/>
      <c r="AD438" s="50"/>
      <c r="AE438" s="50"/>
    </row>
    <row r="439" spans="1:31" x14ac:dyDescent="0.25">
      <c r="A439" s="480">
        <f>ROW()</f>
        <v>439</v>
      </c>
      <c r="B439" s="33" t="s">
        <v>709</v>
      </c>
      <c r="C439" s="130"/>
      <c r="G439" s="679">
        <v>0</v>
      </c>
      <c r="H439" s="679">
        <v>0</v>
      </c>
      <c r="I439" s="679">
        <v>0</v>
      </c>
      <c r="J439" s="679">
        <v>0</v>
      </c>
      <c r="K439" s="679">
        <v>0</v>
      </c>
      <c r="L439" s="679">
        <v>0</v>
      </c>
      <c r="M439" s="679">
        <v>0</v>
      </c>
      <c r="O439" s="343"/>
      <c r="Q439" s="50"/>
      <c r="R439" s="50"/>
      <c r="S439" s="50"/>
      <c r="T439" s="50"/>
      <c r="U439" s="50"/>
      <c r="V439" s="50"/>
      <c r="W439" s="50"/>
      <c r="X439" s="50"/>
      <c r="Y439" s="50"/>
      <c r="Z439" s="50"/>
      <c r="AA439" s="50"/>
      <c r="AB439" s="50"/>
      <c r="AC439" s="50"/>
      <c r="AD439" s="50"/>
      <c r="AE439" s="50"/>
    </row>
    <row r="440" spans="1:31" x14ac:dyDescent="0.25">
      <c r="A440" s="480">
        <f>ROW()</f>
        <v>440</v>
      </c>
      <c r="B440" s="33" t="s">
        <v>707</v>
      </c>
      <c r="C440" s="135">
        <v>0</v>
      </c>
      <c r="G440" s="575">
        <f>$C$440*G439</f>
        <v>0</v>
      </c>
      <c r="H440" s="575">
        <f>$C$440*H439</f>
        <v>0</v>
      </c>
      <c r="I440" s="575">
        <f>$C$440*I439</f>
        <v>0</v>
      </c>
      <c r="J440" s="575">
        <f>I440*' Enrol &amp; Rev'!$C$97</f>
        <v>0</v>
      </c>
      <c r="K440" s="575">
        <f>J440*' Enrol &amp; Rev'!$C$97</f>
        <v>0</v>
      </c>
      <c r="L440" s="575">
        <f>K440*' Enrol &amp; Rev'!$C$97</f>
        <v>0</v>
      </c>
      <c r="M440" s="575">
        <f>L440*' Enrol &amp; Rev'!$C$97</f>
        <v>0</v>
      </c>
      <c r="O440" s="343"/>
      <c r="Q440" s="50"/>
      <c r="R440" s="50"/>
      <c r="S440" s="50"/>
      <c r="T440" s="50"/>
      <c r="U440" s="50"/>
      <c r="V440" s="50"/>
      <c r="W440" s="50"/>
      <c r="X440" s="50"/>
      <c r="Y440" s="50"/>
      <c r="Z440" s="50"/>
      <c r="AA440" s="50"/>
      <c r="AB440" s="50"/>
      <c r="AC440" s="50"/>
      <c r="AD440" s="50"/>
      <c r="AE440" s="50"/>
    </row>
    <row r="441" spans="1:31" x14ac:dyDescent="0.25">
      <c r="A441" s="480">
        <f>ROW()</f>
        <v>441</v>
      </c>
      <c r="C441" s="130"/>
      <c r="G441" s="138"/>
      <c r="H441" s="138"/>
      <c r="I441" s="138"/>
      <c r="J441" s="138"/>
      <c r="K441" s="138"/>
      <c r="L441" s="138"/>
      <c r="M441" s="138"/>
      <c r="O441" s="343"/>
      <c r="Q441" s="50"/>
      <c r="R441" s="50"/>
      <c r="S441" s="50"/>
      <c r="T441" s="50"/>
      <c r="U441" s="50"/>
      <c r="V441" s="50"/>
      <c r="W441" s="50"/>
      <c r="X441" s="50"/>
      <c r="Y441" s="50"/>
      <c r="Z441" s="50"/>
      <c r="AA441" s="50"/>
      <c r="AB441" s="50"/>
      <c r="AC441" s="50"/>
      <c r="AD441" s="50"/>
      <c r="AE441" s="50"/>
    </row>
    <row r="442" spans="1:31" x14ac:dyDescent="0.25">
      <c r="A442" s="480">
        <f>ROW()</f>
        <v>442</v>
      </c>
      <c r="B442" s="33" t="s">
        <v>711</v>
      </c>
      <c r="C442" s="130"/>
      <c r="G442" s="138"/>
      <c r="H442" s="138"/>
      <c r="I442" s="138"/>
      <c r="J442" s="138"/>
      <c r="K442" s="138"/>
      <c r="L442" s="138"/>
      <c r="M442" s="138"/>
      <c r="O442" s="343"/>
      <c r="Q442" s="50"/>
      <c r="R442" s="50"/>
      <c r="S442" s="50"/>
      <c r="T442" s="50"/>
      <c r="U442" s="50"/>
      <c r="V442" s="50"/>
      <c r="W442" s="50"/>
      <c r="X442" s="50"/>
      <c r="Y442" s="50"/>
      <c r="Z442" s="50"/>
      <c r="AA442" s="50"/>
      <c r="AB442" s="50"/>
      <c r="AC442" s="50"/>
      <c r="AD442" s="50"/>
      <c r="AE442" s="50"/>
    </row>
    <row r="443" spans="1:31" x14ac:dyDescent="0.25">
      <c r="A443" s="480">
        <f>ROW()</f>
        <v>443</v>
      </c>
      <c r="B443" s="33" t="s">
        <v>709</v>
      </c>
      <c r="C443" s="130"/>
      <c r="G443" s="679">
        <v>0</v>
      </c>
      <c r="H443" s="679">
        <v>0</v>
      </c>
      <c r="I443" s="679">
        <v>0</v>
      </c>
      <c r="J443" s="679">
        <v>0</v>
      </c>
      <c r="K443" s="679">
        <v>0</v>
      </c>
      <c r="L443" s="679">
        <v>0</v>
      </c>
      <c r="M443" s="679">
        <v>0</v>
      </c>
      <c r="O443" s="343"/>
      <c r="Q443" s="50"/>
      <c r="R443" s="50"/>
      <c r="S443" s="50"/>
      <c r="T443" s="50"/>
      <c r="U443" s="50"/>
      <c r="V443" s="50"/>
      <c r="W443" s="50"/>
      <c r="X443" s="50"/>
      <c r="Y443" s="50"/>
      <c r="Z443" s="50"/>
      <c r="AA443" s="50"/>
      <c r="AB443" s="50"/>
      <c r="AC443" s="50"/>
      <c r="AD443" s="50"/>
      <c r="AE443" s="50"/>
    </row>
    <row r="444" spans="1:31" x14ac:dyDescent="0.25">
      <c r="A444" s="480">
        <f>ROW()</f>
        <v>444</v>
      </c>
      <c r="B444" s="33" t="s">
        <v>707</v>
      </c>
      <c r="C444" s="135">
        <v>0</v>
      </c>
      <c r="G444" s="575">
        <f t="shared" ref="G444:M444" si="111">$C$444*G443</f>
        <v>0</v>
      </c>
      <c r="H444" s="575">
        <f t="shared" si="111"/>
        <v>0</v>
      </c>
      <c r="I444" s="575">
        <f t="shared" si="111"/>
        <v>0</v>
      </c>
      <c r="J444" s="575">
        <f t="shared" si="111"/>
        <v>0</v>
      </c>
      <c r="K444" s="575">
        <f t="shared" si="111"/>
        <v>0</v>
      </c>
      <c r="L444" s="575">
        <f t="shared" si="111"/>
        <v>0</v>
      </c>
      <c r="M444" s="575">
        <f t="shared" si="111"/>
        <v>0</v>
      </c>
      <c r="O444" s="343"/>
      <c r="Q444" s="50"/>
      <c r="R444" s="50"/>
      <c r="S444" s="50"/>
      <c r="T444" s="50"/>
      <c r="U444" s="50"/>
      <c r="V444" s="50"/>
      <c r="W444" s="50"/>
      <c r="X444" s="50"/>
      <c r="Y444" s="50"/>
      <c r="Z444" s="50"/>
      <c r="AA444" s="50"/>
      <c r="AB444" s="50"/>
      <c r="AC444" s="50"/>
      <c r="AD444" s="50"/>
      <c r="AE444" s="50"/>
    </row>
    <row r="445" spans="1:31" x14ac:dyDescent="0.25">
      <c r="A445" s="480">
        <f>ROW()</f>
        <v>445</v>
      </c>
      <c r="C445" s="130"/>
      <c r="G445" s="138"/>
      <c r="H445" s="138"/>
      <c r="I445" s="138"/>
      <c r="J445" s="138"/>
      <c r="K445" s="138"/>
      <c r="L445" s="138"/>
      <c r="M445" s="138"/>
      <c r="O445" s="343"/>
      <c r="Q445" s="50"/>
      <c r="R445" s="50"/>
      <c r="S445" s="50"/>
      <c r="T445" s="50"/>
      <c r="U445" s="50"/>
      <c r="V445" s="50"/>
      <c r="W445" s="50"/>
      <c r="X445" s="50"/>
      <c r="Y445" s="50"/>
      <c r="Z445" s="50"/>
      <c r="AA445" s="50"/>
      <c r="AB445" s="50"/>
      <c r="AC445" s="50"/>
      <c r="AD445" s="50"/>
      <c r="AE445" s="50"/>
    </row>
    <row r="446" spans="1:31" x14ac:dyDescent="0.25">
      <c r="A446" s="480">
        <f>ROW()</f>
        <v>446</v>
      </c>
      <c r="B446" s="33" t="s">
        <v>712</v>
      </c>
      <c r="C446" s="130"/>
      <c r="G446" s="138"/>
      <c r="H446" s="138"/>
      <c r="I446" s="138"/>
      <c r="J446" s="138"/>
      <c r="K446" s="138"/>
      <c r="L446" s="138"/>
      <c r="M446" s="138"/>
      <c r="O446" s="343"/>
      <c r="Q446" s="50"/>
      <c r="R446" s="50"/>
      <c r="S446" s="50"/>
      <c r="T446" s="50"/>
      <c r="U446" s="50"/>
      <c r="V446" s="50"/>
      <c r="W446" s="50"/>
      <c r="X446" s="50"/>
      <c r="Y446" s="50"/>
      <c r="Z446" s="50"/>
      <c r="AA446" s="50"/>
      <c r="AB446" s="50"/>
      <c r="AC446" s="50"/>
      <c r="AD446" s="50"/>
      <c r="AE446" s="50"/>
    </row>
    <row r="447" spans="1:31" x14ac:dyDescent="0.25">
      <c r="A447" s="480">
        <f>ROW()</f>
        <v>447</v>
      </c>
      <c r="B447" s="33" t="s">
        <v>709</v>
      </c>
      <c r="C447" s="130"/>
      <c r="G447" s="679">
        <v>0</v>
      </c>
      <c r="H447" s="679">
        <v>0</v>
      </c>
      <c r="I447" s="679">
        <v>0</v>
      </c>
      <c r="J447" s="679">
        <v>0</v>
      </c>
      <c r="K447" s="679">
        <v>0</v>
      </c>
      <c r="L447" s="679">
        <v>0</v>
      </c>
      <c r="M447" s="679">
        <v>0</v>
      </c>
      <c r="O447" s="343"/>
      <c r="Q447" s="50"/>
      <c r="R447" s="50"/>
      <c r="S447" s="50"/>
      <c r="T447" s="50"/>
      <c r="U447" s="50"/>
      <c r="V447" s="50"/>
      <c r="W447" s="50"/>
      <c r="X447" s="50"/>
      <c r="Y447" s="50"/>
      <c r="Z447" s="50"/>
      <c r="AA447" s="50"/>
      <c r="AB447" s="50"/>
      <c r="AC447" s="50"/>
      <c r="AD447" s="50"/>
      <c r="AE447" s="50"/>
    </row>
    <row r="448" spans="1:31" x14ac:dyDescent="0.25">
      <c r="A448" s="480">
        <f>ROW()</f>
        <v>448</v>
      </c>
      <c r="B448" s="33" t="s">
        <v>707</v>
      </c>
      <c r="C448" s="135">
        <v>0</v>
      </c>
      <c r="G448" s="575">
        <f t="shared" ref="G448:M448" si="112">$C$448*G447</f>
        <v>0</v>
      </c>
      <c r="H448" s="575">
        <f t="shared" si="112"/>
        <v>0</v>
      </c>
      <c r="I448" s="575">
        <f t="shared" si="112"/>
        <v>0</v>
      </c>
      <c r="J448" s="575">
        <f t="shared" si="112"/>
        <v>0</v>
      </c>
      <c r="K448" s="575">
        <f t="shared" si="112"/>
        <v>0</v>
      </c>
      <c r="L448" s="575">
        <f t="shared" si="112"/>
        <v>0</v>
      </c>
      <c r="M448" s="575">
        <f t="shared" si="112"/>
        <v>0</v>
      </c>
      <c r="O448" s="343"/>
      <c r="Q448" s="50"/>
      <c r="R448" s="50"/>
      <c r="S448" s="50"/>
      <c r="T448" s="50"/>
      <c r="U448" s="50"/>
      <c r="V448" s="50"/>
      <c r="W448" s="50"/>
      <c r="X448" s="50"/>
      <c r="Y448" s="50"/>
      <c r="Z448" s="50"/>
      <c r="AA448" s="50"/>
      <c r="AB448" s="50"/>
      <c r="AC448" s="50"/>
      <c r="AD448" s="50"/>
      <c r="AE448" s="50"/>
    </row>
    <row r="449" spans="1:31" x14ac:dyDescent="0.25">
      <c r="A449" s="480">
        <f>ROW()</f>
        <v>449</v>
      </c>
      <c r="C449" s="130"/>
      <c r="G449" s="138"/>
      <c r="H449" s="138"/>
      <c r="I449" s="138"/>
      <c r="J449" s="138"/>
      <c r="K449" s="138"/>
      <c r="L449" s="138"/>
      <c r="M449" s="138"/>
      <c r="O449" s="343"/>
      <c r="Q449" s="50"/>
      <c r="R449" s="50"/>
      <c r="S449" s="50"/>
      <c r="T449" s="50"/>
      <c r="U449" s="50"/>
      <c r="V449" s="50"/>
      <c r="W449" s="50"/>
      <c r="X449" s="50"/>
      <c r="Y449" s="50"/>
      <c r="Z449" s="50"/>
      <c r="AA449" s="50"/>
      <c r="AB449" s="50"/>
      <c r="AC449" s="50"/>
      <c r="AD449" s="50"/>
      <c r="AE449" s="50"/>
    </row>
    <row r="450" spans="1:31" x14ac:dyDescent="0.25">
      <c r="A450" s="480">
        <f>ROW()</f>
        <v>450</v>
      </c>
      <c r="B450" s="33" t="s">
        <v>713</v>
      </c>
      <c r="C450" s="130"/>
      <c r="G450" s="680">
        <f>G448+G444+G440+G436+G432</f>
        <v>0</v>
      </c>
      <c r="H450" s="680">
        <f>H448+H444+H440+H436+H432</f>
        <v>0</v>
      </c>
      <c r="I450" s="680">
        <f t="shared" ref="I450:M450" si="113">I448+I444+I440+I436+I432</f>
        <v>0</v>
      </c>
      <c r="J450" s="680">
        <f t="shared" si="113"/>
        <v>0</v>
      </c>
      <c r="K450" s="680">
        <f t="shared" si="113"/>
        <v>0</v>
      </c>
      <c r="L450" s="680">
        <f t="shared" si="113"/>
        <v>0</v>
      </c>
      <c r="M450" s="680">
        <f t="shared" si="113"/>
        <v>0</v>
      </c>
      <c r="O450" s="343"/>
      <c r="Q450" s="50"/>
      <c r="R450" s="50"/>
      <c r="S450" s="50"/>
      <c r="T450" s="50"/>
      <c r="U450" s="50"/>
      <c r="V450" s="50"/>
      <c r="W450" s="50"/>
      <c r="X450" s="50"/>
      <c r="Y450" s="50"/>
      <c r="Z450" s="50"/>
      <c r="AA450" s="50"/>
      <c r="AB450" s="50"/>
      <c r="AC450" s="50"/>
      <c r="AD450" s="50"/>
      <c r="AE450" s="50"/>
    </row>
    <row r="451" spans="1:31" x14ac:dyDescent="0.25">
      <c r="A451" s="480">
        <f>ROW()</f>
        <v>451</v>
      </c>
      <c r="C451" s="130"/>
      <c r="G451" s="138"/>
      <c r="H451" s="138"/>
      <c r="I451" s="138"/>
      <c r="J451" s="138"/>
      <c r="K451" s="138"/>
      <c r="L451" s="138"/>
      <c r="M451" s="138"/>
      <c r="O451" s="343"/>
      <c r="Q451" s="50"/>
      <c r="R451" s="50"/>
      <c r="S451" s="50"/>
      <c r="T451" s="50"/>
      <c r="U451" s="50"/>
      <c r="V451" s="50"/>
      <c r="W451" s="50"/>
      <c r="X451" s="50"/>
      <c r="Y451" s="50"/>
      <c r="Z451" s="50"/>
      <c r="AA451" s="50"/>
      <c r="AB451" s="50"/>
      <c r="AC451" s="50"/>
      <c r="AD451" s="50"/>
      <c r="AE451" s="50"/>
    </row>
    <row r="452" spans="1:31" x14ac:dyDescent="0.25">
      <c r="A452" s="480">
        <f>ROW()</f>
        <v>452</v>
      </c>
      <c r="B452" s="33" t="s">
        <v>714</v>
      </c>
      <c r="C452" s="1293">
        <v>7.6499999999999999E-2</v>
      </c>
      <c r="G452" s="138">
        <f>+$C$452*G450</f>
        <v>0</v>
      </c>
      <c r="H452" s="138">
        <f>+$C$452*H450</f>
        <v>0</v>
      </c>
      <c r="I452" s="138">
        <f t="shared" ref="I452:M452" si="114">+$C$452*I450</f>
        <v>0</v>
      </c>
      <c r="J452" s="138">
        <f t="shared" si="114"/>
        <v>0</v>
      </c>
      <c r="K452" s="138">
        <f t="shared" si="114"/>
        <v>0</v>
      </c>
      <c r="L452" s="138">
        <f t="shared" si="114"/>
        <v>0</v>
      </c>
      <c r="M452" s="138">
        <f t="shared" si="114"/>
        <v>0</v>
      </c>
      <c r="O452" s="343"/>
      <c r="Q452" s="50"/>
      <c r="R452" s="50"/>
      <c r="S452" s="50"/>
      <c r="T452" s="50"/>
      <c r="U452" s="50"/>
      <c r="V452" s="50"/>
      <c r="W452" s="50"/>
      <c r="X452" s="50"/>
      <c r="Y452" s="50"/>
      <c r="Z452" s="50"/>
      <c r="AA452" s="50"/>
      <c r="AB452" s="50"/>
      <c r="AC452" s="50"/>
      <c r="AD452" s="50"/>
      <c r="AE452" s="50"/>
    </row>
    <row r="453" spans="1:31" x14ac:dyDescent="0.25">
      <c r="A453" s="480"/>
      <c r="C453" s="130"/>
      <c r="G453" s="138"/>
      <c r="H453" s="138"/>
      <c r="I453" s="138"/>
      <c r="J453" s="138"/>
      <c r="K453" s="138"/>
      <c r="L453" s="138"/>
      <c r="M453" s="138"/>
      <c r="O453" s="343"/>
      <c r="Q453" s="50"/>
      <c r="R453" s="50"/>
      <c r="S453" s="50"/>
      <c r="T453" s="50"/>
      <c r="U453" s="50"/>
      <c r="V453" s="50"/>
      <c r="W453" s="50"/>
      <c r="X453" s="50"/>
      <c r="Y453" s="50"/>
      <c r="Z453" s="50"/>
      <c r="AA453" s="50"/>
      <c r="AB453" s="50"/>
      <c r="AC453" s="50"/>
      <c r="AD453" s="50"/>
      <c r="AE453" s="50"/>
    </row>
    <row r="454" spans="1:31" ht="15.75" thickBot="1" x14ac:dyDescent="0.3">
      <c r="A454" s="480"/>
      <c r="C454" s="130"/>
      <c r="G454" s="138"/>
      <c r="H454" s="138"/>
      <c r="I454" s="138"/>
      <c r="J454" s="138"/>
      <c r="K454" s="138"/>
      <c r="L454" s="138"/>
      <c r="M454" s="138"/>
      <c r="O454" s="343"/>
      <c r="Q454" s="50"/>
      <c r="R454" s="50"/>
      <c r="S454" s="50"/>
      <c r="T454" s="50"/>
      <c r="U454" s="50"/>
      <c r="V454" s="50"/>
      <c r="W454" s="50"/>
      <c r="X454" s="50"/>
      <c r="Y454" s="50"/>
      <c r="Z454" s="50"/>
      <c r="AA454" s="50"/>
      <c r="AB454" s="50"/>
      <c r="AC454" s="50"/>
      <c r="AD454" s="50"/>
      <c r="AE454" s="50"/>
    </row>
    <row r="455" spans="1:31" ht="15.75" thickBot="1" x14ac:dyDescent="0.3">
      <c r="A455" s="480">
        <f>ROW()</f>
        <v>455</v>
      </c>
      <c r="B455" s="963" t="s">
        <v>715</v>
      </c>
      <c r="C455" s="964">
        <f>SUM(G455:M455)</f>
        <v>0</v>
      </c>
      <c r="D455" s="993"/>
      <c r="E455" s="993"/>
      <c r="F455" s="993"/>
      <c r="G455" s="964">
        <f t="shared" ref="G455:M455" si="115">G448+G444+G440+G436+G432</f>
        <v>0</v>
      </c>
      <c r="H455" s="964">
        <f t="shared" si="115"/>
        <v>0</v>
      </c>
      <c r="I455" s="964">
        <f t="shared" si="115"/>
        <v>0</v>
      </c>
      <c r="J455" s="964">
        <f t="shared" si="115"/>
        <v>0</v>
      </c>
      <c r="K455" s="964">
        <f t="shared" si="115"/>
        <v>0</v>
      </c>
      <c r="L455" s="964">
        <f t="shared" si="115"/>
        <v>0</v>
      </c>
      <c r="M455" s="964">
        <f t="shared" si="115"/>
        <v>0</v>
      </c>
      <c r="O455" s="343"/>
      <c r="Q455" s="50"/>
      <c r="R455" s="50"/>
      <c r="S455" s="50"/>
      <c r="T455" s="50"/>
      <c r="U455" s="50"/>
      <c r="V455" s="50"/>
      <c r="W455" s="50"/>
      <c r="X455" s="50"/>
      <c r="Y455" s="50"/>
      <c r="Z455" s="50"/>
      <c r="AA455" s="50"/>
      <c r="AB455" s="50"/>
      <c r="AC455" s="50"/>
      <c r="AD455" s="50"/>
      <c r="AE455" s="50"/>
    </row>
    <row r="456" spans="1:31" x14ac:dyDescent="0.25">
      <c r="A456" s="480">
        <f>ROW()</f>
        <v>456</v>
      </c>
      <c r="B456" s="31"/>
      <c r="C456" s="133"/>
      <c r="D456" s="31"/>
      <c r="E456" s="31"/>
      <c r="F456" s="31"/>
      <c r="G456" s="507"/>
      <c r="H456" s="507"/>
      <c r="I456" s="507"/>
      <c r="J456" s="507"/>
      <c r="K456" s="507"/>
      <c r="L456" s="507"/>
      <c r="M456" s="507"/>
      <c r="O456" s="343"/>
      <c r="Q456" s="50"/>
      <c r="R456" s="50"/>
      <c r="S456" s="50"/>
      <c r="T456" s="50"/>
      <c r="U456" s="50"/>
      <c r="V456" s="50"/>
      <c r="W456" s="50"/>
      <c r="X456" s="50"/>
      <c r="Y456" s="50"/>
      <c r="Z456" s="50"/>
      <c r="AA456" s="50"/>
      <c r="AB456" s="50"/>
      <c r="AC456" s="50"/>
      <c r="AD456" s="50"/>
      <c r="AE456" s="50"/>
    </row>
    <row r="457" spans="1:31" x14ac:dyDescent="0.25">
      <c r="A457" s="480">
        <f>ROW()</f>
        <v>457</v>
      </c>
      <c r="B457" s="934" t="s">
        <v>716</v>
      </c>
      <c r="C457" s="175"/>
      <c r="D457" s="127"/>
      <c r="E457" s="127"/>
      <c r="F457" s="127"/>
      <c r="G457" s="687">
        <f t="shared" ref="G457:M457" si="116">SUM(G431,G435,G439,G443,G447)</f>
        <v>0</v>
      </c>
      <c r="H457" s="687">
        <f t="shared" si="116"/>
        <v>0</v>
      </c>
      <c r="I457" s="687">
        <f t="shared" si="116"/>
        <v>0</v>
      </c>
      <c r="J457" s="687">
        <f t="shared" si="116"/>
        <v>0</v>
      </c>
      <c r="K457" s="687">
        <f t="shared" si="116"/>
        <v>0</v>
      </c>
      <c r="L457" s="687">
        <f t="shared" si="116"/>
        <v>0</v>
      </c>
      <c r="M457" s="687">
        <f t="shared" si="116"/>
        <v>0</v>
      </c>
      <c r="O457" s="343"/>
      <c r="Q457" s="50"/>
      <c r="R457" s="50"/>
      <c r="S457" s="50"/>
      <c r="T457" s="50"/>
      <c r="U457" s="50"/>
      <c r="V457" s="50"/>
      <c r="W457" s="50"/>
      <c r="X457" s="50"/>
      <c r="Y457" s="50"/>
      <c r="Z457" s="50"/>
      <c r="AA457" s="50"/>
      <c r="AB457" s="50"/>
      <c r="AC457" s="50"/>
      <c r="AD457" s="50"/>
      <c r="AE457" s="50"/>
    </row>
    <row r="458" spans="1:31" ht="15.75" thickBot="1" x14ac:dyDescent="0.3">
      <c r="A458" s="480">
        <f>ROW()</f>
        <v>458</v>
      </c>
      <c r="B458" s="31"/>
      <c r="C458" s="133"/>
      <c r="D458" s="31"/>
      <c r="E458" s="31"/>
      <c r="F458" s="31"/>
      <c r="G458" s="507"/>
      <c r="H458" s="507"/>
      <c r="I458" s="507"/>
      <c r="J458" s="507"/>
      <c r="K458" s="507"/>
      <c r="L458" s="507"/>
      <c r="M458" s="507"/>
      <c r="O458" s="343"/>
      <c r="Q458" s="50"/>
      <c r="R458" s="50"/>
      <c r="S458" s="50"/>
      <c r="T458" s="50"/>
      <c r="U458" s="50"/>
      <c r="V458" s="50"/>
      <c r="W458" s="50"/>
      <c r="X458" s="50"/>
      <c r="Y458" s="50"/>
      <c r="Z458" s="50"/>
      <c r="AA458" s="50"/>
      <c r="AB458" s="50"/>
      <c r="AC458" s="50"/>
      <c r="AD458" s="50"/>
      <c r="AE458" s="50"/>
    </row>
    <row r="459" spans="1:31" ht="15.75" thickBot="1" x14ac:dyDescent="0.3">
      <c r="A459" s="480">
        <f>ROW()</f>
        <v>459</v>
      </c>
      <c r="B459" s="963" t="s">
        <v>717</v>
      </c>
      <c r="C459" s="964">
        <f>SUM(G459:M459)</f>
        <v>153720</v>
      </c>
      <c r="D459" s="965"/>
      <c r="E459" s="965"/>
      <c r="F459" s="965"/>
      <c r="G459" s="964">
        <f t="shared" ref="G459:M459" si="117">G23*$C$66*12</f>
        <v>21960</v>
      </c>
      <c r="H459" s="964">
        <f t="shared" si="117"/>
        <v>21960</v>
      </c>
      <c r="I459" s="964">
        <f t="shared" si="117"/>
        <v>21960</v>
      </c>
      <c r="J459" s="964">
        <f t="shared" si="117"/>
        <v>21960</v>
      </c>
      <c r="K459" s="964">
        <f t="shared" si="117"/>
        <v>21960</v>
      </c>
      <c r="L459" s="964">
        <f t="shared" si="117"/>
        <v>21960</v>
      </c>
      <c r="M459" s="964">
        <f t="shared" si="117"/>
        <v>21960</v>
      </c>
      <c r="O459" s="343"/>
      <c r="Q459" s="50"/>
      <c r="R459" s="50"/>
      <c r="S459" s="50"/>
      <c r="T459" s="50"/>
      <c r="U459" s="50"/>
      <c r="V459" s="50"/>
      <c r="W459" s="50"/>
      <c r="X459" s="50"/>
      <c r="Y459" s="50"/>
      <c r="Z459" s="50"/>
      <c r="AA459" s="50"/>
      <c r="AB459" s="50"/>
      <c r="AC459" s="50"/>
      <c r="AD459" s="50"/>
      <c r="AE459" s="50"/>
    </row>
    <row r="460" spans="1:31" ht="15.75" thickBot="1" x14ac:dyDescent="0.3">
      <c r="A460" s="480">
        <f>ROW()</f>
        <v>460</v>
      </c>
      <c r="O460" s="343"/>
      <c r="Q460" s="50"/>
      <c r="R460" s="50"/>
      <c r="S460" s="50"/>
      <c r="T460" s="50"/>
      <c r="U460" s="50"/>
      <c r="V460" s="50"/>
      <c r="W460" s="50"/>
      <c r="X460" s="50"/>
      <c r="Y460" s="50"/>
      <c r="Z460" s="50"/>
      <c r="AA460" s="50"/>
      <c r="AB460" s="50"/>
      <c r="AC460" s="50"/>
      <c r="AD460" s="50"/>
      <c r="AE460" s="50"/>
    </row>
    <row r="461" spans="1:31" ht="15.75" thickBot="1" x14ac:dyDescent="0.3">
      <c r="A461" s="480">
        <f>ROW()</f>
        <v>461</v>
      </c>
      <c r="B461" s="444" t="s">
        <v>718</v>
      </c>
      <c r="C461" s="445">
        <f>SUM(G461:M461)</f>
        <v>115359120.8211727</v>
      </c>
      <c r="D461" s="446"/>
      <c r="E461" s="446"/>
      <c r="F461" s="446"/>
      <c r="G461" s="445">
        <f>Staff!G400+Staff!G425+Staff!G455+Staff!G459</f>
        <v>16479874.40302467</v>
      </c>
      <c r="H461" s="445">
        <f>Staff!H400+Staff!H425+Staff!H455+Staff!H459</f>
        <v>16479874.40302467</v>
      </c>
      <c r="I461" s="445">
        <f>Staff!I400+Staff!I425+Staff!I455+Staff!I459</f>
        <v>16479874.40302467</v>
      </c>
      <c r="J461" s="445">
        <f>Staff!J400+Staff!J425+Staff!J455+Staff!J459</f>
        <v>16479874.40302467</v>
      </c>
      <c r="K461" s="445">
        <f>Staff!K400+Staff!K425+Staff!K455+Staff!K459</f>
        <v>16479874.40302467</v>
      </c>
      <c r="L461" s="445">
        <f>Staff!L400+Staff!L425+Staff!L455+Staff!L459</f>
        <v>16479874.40302467</v>
      </c>
      <c r="M461" s="445">
        <f>Staff!M400+Staff!M425+Staff!M455+Staff!M459</f>
        <v>16479874.40302467</v>
      </c>
      <c r="O461" s="343"/>
      <c r="Q461" s="50"/>
      <c r="R461" s="50"/>
      <c r="S461" s="50"/>
      <c r="T461" s="50"/>
      <c r="U461" s="50"/>
      <c r="V461" s="50"/>
      <c r="W461" s="50"/>
      <c r="X461" s="50"/>
      <c r="Y461" s="50"/>
      <c r="Z461" s="50"/>
      <c r="AA461" s="50"/>
      <c r="AB461" s="50"/>
      <c r="AC461" s="50"/>
      <c r="AD461" s="50"/>
      <c r="AE461" s="50"/>
    </row>
    <row r="464" spans="1:31" x14ac:dyDescent="0.25">
      <c r="B464" s="31" t="s">
        <v>719</v>
      </c>
    </row>
    <row r="465" spans="2:7" x14ac:dyDescent="0.25">
      <c r="C465" s="503" t="s">
        <v>720</v>
      </c>
      <c r="D465" s="503" t="s">
        <v>721</v>
      </c>
      <c r="E465" s="503" t="s">
        <v>722</v>
      </c>
      <c r="F465" s="503" t="s">
        <v>723</v>
      </c>
      <c r="G465" s="503" t="s">
        <v>724</v>
      </c>
    </row>
    <row r="466" spans="2:7" x14ac:dyDescent="0.25">
      <c r="B466" s="33" t="s">
        <v>725</v>
      </c>
      <c r="C466" s="1530">
        <v>0</v>
      </c>
      <c r="D466" s="1530">
        <v>0</v>
      </c>
      <c r="E466" s="1530">
        <v>0</v>
      </c>
      <c r="F466" s="1530">
        <v>0</v>
      </c>
      <c r="G466" s="1530">
        <v>0</v>
      </c>
    </row>
    <row r="467" spans="2:7" x14ac:dyDescent="0.25">
      <c r="B467" s="33" t="s">
        <v>726</v>
      </c>
      <c r="C467" s="1530">
        <v>0</v>
      </c>
      <c r="D467" s="1530">
        <v>0</v>
      </c>
      <c r="E467" s="1530">
        <v>0</v>
      </c>
      <c r="F467" s="1530">
        <v>0</v>
      </c>
      <c r="G467" s="1530">
        <v>0</v>
      </c>
    </row>
    <row r="468" spans="2:7" x14ac:dyDescent="0.25">
      <c r="B468" s="33" t="s">
        <v>727</v>
      </c>
      <c r="C468" s="1531">
        <f>+C466*C467</f>
        <v>0</v>
      </c>
      <c r="D468" s="1531">
        <f>+D466*D467</f>
        <v>0</v>
      </c>
      <c r="E468" s="1531">
        <f>+E466*E467</f>
        <v>0</v>
      </c>
      <c r="F468" s="1531">
        <f>+F466*F467</f>
        <v>0</v>
      </c>
      <c r="G468" s="1531">
        <f>+G466*G467</f>
        <v>0</v>
      </c>
    </row>
    <row r="469" spans="2:7" x14ac:dyDescent="0.25">
      <c r="C469" s="1375"/>
      <c r="D469" s="1375"/>
      <c r="E469" s="1375"/>
      <c r="F469" s="1375"/>
      <c r="G469" s="1375"/>
    </row>
    <row r="470" spans="2:7" x14ac:dyDescent="0.25">
      <c r="B470" s="33" t="s">
        <v>728</v>
      </c>
      <c r="C470" s="1375">
        <v>2080</v>
      </c>
      <c r="D470" s="1375">
        <v>2080</v>
      </c>
      <c r="E470" s="1375">
        <v>2080</v>
      </c>
      <c r="F470" s="1375">
        <v>2080</v>
      </c>
      <c r="G470" s="1375">
        <v>2080</v>
      </c>
    </row>
    <row r="471" spans="2:7" x14ac:dyDescent="0.25">
      <c r="B471" s="125" t="s">
        <v>729</v>
      </c>
      <c r="C471" s="1632">
        <f>+C468/C470</f>
        <v>0</v>
      </c>
      <c r="D471" s="1532">
        <f>+D468/D470</f>
        <v>0</v>
      </c>
      <c r="E471" s="1532">
        <f>+E468/E470</f>
        <v>0</v>
      </c>
      <c r="F471" s="1532">
        <f>+F468/F470</f>
        <v>0</v>
      </c>
      <c r="G471" s="1532">
        <f>+G468/G470</f>
        <v>0</v>
      </c>
    </row>
    <row r="472" spans="2:7" x14ac:dyDescent="0.25">
      <c r="C472" s="1375"/>
      <c r="D472" s="1375"/>
      <c r="E472" s="1375"/>
      <c r="F472" s="1375"/>
      <c r="G472" s="1375"/>
    </row>
    <row r="473" spans="2:7" x14ac:dyDescent="0.25">
      <c r="B473" s="33" t="s">
        <v>730</v>
      </c>
      <c r="C473" s="1530">
        <v>0</v>
      </c>
      <c r="D473" s="1530">
        <v>0</v>
      </c>
      <c r="E473" s="1530">
        <v>0</v>
      </c>
      <c r="F473" s="1530">
        <v>0</v>
      </c>
      <c r="G473" s="1530">
        <v>0</v>
      </c>
    </row>
    <row r="474" spans="2:7" x14ac:dyDescent="0.25">
      <c r="B474" s="33" t="s">
        <v>731</v>
      </c>
      <c r="C474" s="1530">
        <v>0</v>
      </c>
      <c r="D474" s="1530">
        <v>0</v>
      </c>
      <c r="E474" s="1530">
        <v>0</v>
      </c>
      <c r="F474" s="1530">
        <v>0</v>
      </c>
      <c r="G474" s="1530">
        <v>0</v>
      </c>
    </row>
    <row r="475" spans="2:7" x14ac:dyDescent="0.25">
      <c r="B475" s="33" t="s">
        <v>732</v>
      </c>
      <c r="C475" s="1534">
        <f>+C473*C474</f>
        <v>0</v>
      </c>
      <c r="D475" s="1534">
        <f>+D473*D474</f>
        <v>0</v>
      </c>
      <c r="E475" s="1534">
        <f>+E473*E474</f>
        <v>0</v>
      </c>
      <c r="F475" s="1534">
        <f>+F473*F474</f>
        <v>0</v>
      </c>
      <c r="G475" s="1534">
        <f>+G473*G474</f>
        <v>0</v>
      </c>
    </row>
    <row r="476" spans="2:7" x14ac:dyDescent="0.25">
      <c r="B476" s="125" t="s">
        <v>733</v>
      </c>
      <c r="C476" s="1533">
        <f>IFERROR(C468/C475,0)</f>
        <v>0</v>
      </c>
      <c r="D476" s="1533">
        <f t="shared" ref="D476:G476" si="118">IFERROR(D468/D475,0)</f>
        <v>0</v>
      </c>
      <c r="E476" s="1533">
        <f t="shared" si="118"/>
        <v>0</v>
      </c>
      <c r="F476" s="1533">
        <f t="shared" si="118"/>
        <v>0</v>
      </c>
      <c r="G476" s="1533">
        <f t="shared" si="118"/>
        <v>0</v>
      </c>
    </row>
  </sheetData>
  <sheetProtection algorithmName="SHA-512" hashValue="nfHpM/dLw4K7YPCvw4qOhBR/IAxK+VU4IQYCY2CiTuGfKvTFP3M4nzNBV2Lbgqel0mEpYHQu5wFpX5AgIk/DUg==" saltValue="GERKd+p1zK2UKR+2z4Dttw==" spinCount="100000" sheet="1" objects="1" scenarios="1"/>
  <mergeCells count="14">
    <mergeCell ref="E59:M59"/>
    <mergeCell ref="E54:M54"/>
    <mergeCell ref="E55:M55"/>
    <mergeCell ref="E56:M56"/>
    <mergeCell ref="E57:M57"/>
    <mergeCell ref="E58:M58"/>
    <mergeCell ref="E66:M66"/>
    <mergeCell ref="E67:M67"/>
    <mergeCell ref="E60:M60"/>
    <mergeCell ref="E61:M61"/>
    <mergeCell ref="E62:M62"/>
    <mergeCell ref="E63:M63"/>
    <mergeCell ref="E64:M64"/>
    <mergeCell ref="E65:M65"/>
  </mergeCells>
  <conditionalFormatting sqref="D1">
    <cfRule type="expression" dxfId="42" priority="13" stopIfTrue="1">
      <formula>MOD(ROW(),2)=0</formula>
    </cfRule>
  </conditionalFormatting>
  <conditionalFormatting sqref="G17:M23">
    <cfRule type="cellIs" dxfId="41" priority="15" stopIfTrue="1" operator="equal">
      <formula>0</formula>
    </cfRule>
  </conditionalFormatting>
  <conditionalFormatting sqref="G25:M25">
    <cfRule type="cellIs" dxfId="40" priority="42" stopIfTrue="1" operator="equal">
      <formula>0</formula>
    </cfRule>
  </conditionalFormatting>
  <conditionalFormatting sqref="G27:M27">
    <cfRule type="cellIs" dxfId="39" priority="41" stopIfTrue="1" operator="equal">
      <formula>0</formula>
    </cfRule>
  </conditionalFormatting>
  <conditionalFormatting sqref="G30:M32 G34:M35">
    <cfRule type="cellIs" dxfId="38" priority="38" stopIfTrue="1" operator="equal">
      <formula>0</formula>
    </cfRule>
  </conditionalFormatting>
  <conditionalFormatting sqref="G37:M40">
    <cfRule type="cellIs" dxfId="37" priority="14" stopIfTrue="1" operator="equal">
      <formula>0</formula>
    </cfRule>
  </conditionalFormatting>
  <conditionalFormatting sqref="G42:M47">
    <cfRule type="cellIs" dxfId="36" priority="37" stopIfTrue="1" operator="equal">
      <formula>0</formula>
    </cfRule>
  </conditionalFormatting>
  <conditionalFormatting sqref="G86:M86">
    <cfRule type="cellIs" dxfId="35" priority="31" stopIfTrue="1" operator="equal">
      <formula>0</formula>
    </cfRule>
  </conditionalFormatting>
  <conditionalFormatting sqref="G94:M94">
    <cfRule type="cellIs" dxfId="34" priority="32" stopIfTrue="1" operator="equal">
      <formula>0</formula>
    </cfRule>
  </conditionalFormatting>
  <conditionalFormatting sqref="G106:M106">
    <cfRule type="cellIs" dxfId="33" priority="33" stopIfTrue="1" operator="equal">
      <formula>0</formula>
    </cfRule>
  </conditionalFormatting>
  <conditionalFormatting sqref="G120:M120">
    <cfRule type="cellIs" dxfId="32" priority="34" stopIfTrue="1" operator="equal">
      <formula>0</formula>
    </cfRule>
  </conditionalFormatting>
  <conditionalFormatting sqref="G134:M134">
    <cfRule type="cellIs" dxfId="31" priority="35" stopIfTrue="1" operator="equal">
      <formula>0</formula>
    </cfRule>
  </conditionalFormatting>
  <conditionalFormatting sqref="G136:M137">
    <cfRule type="cellIs" dxfId="30" priority="36" stopIfTrue="1" operator="equal">
      <formula>0</formula>
    </cfRule>
  </conditionalFormatting>
  <hyperlinks>
    <hyperlink ref="D1" location="HypLink1" display="HypLink1" xr:uid="{F704437E-DC3D-4C4E-8D8C-65242210DB0E}"/>
    <hyperlink ref="D2" r:id="rId1" display="You may wish to compare staff compensation with what is shown on the Transparent Nevada website." xr:uid="{C0C3C9F6-6F7B-4F93-BB1B-CB02F5691547}"/>
  </hyperlinks>
  <pageMargins left="0.25" right="0.25" top="0.5" bottom="0.45" header="0.25" footer="0.25"/>
  <pageSetup scale="55" fitToHeight="4" orientation="landscape" r:id="rId2"/>
  <headerFooter>
    <oddHeader xml:space="preserve">&amp;L &amp;C &amp;R </oddHeader>
    <oddFooter>&amp;L&amp;7&amp;D  at &amp;T Mike 702.854.0691&amp;C&amp;7&amp;F  &amp;A&amp;R&amp;7Page &amp;P of &amp;N</oddFooter>
  </headerFooter>
  <rowBreaks count="1" manualBreakCount="1">
    <brk id="48" max="12" man="1"/>
  </rowBreak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00"/>
  </sheetPr>
  <dimension ref="A1:Z104"/>
  <sheetViews>
    <sheetView workbookViewId="0">
      <selection activeCell="E67" sqref="E67"/>
    </sheetView>
  </sheetViews>
  <sheetFormatPr defaultColWidth="8.7109375" defaultRowHeight="15" outlineLevelRow="1" x14ac:dyDescent="0.25"/>
  <cols>
    <col min="1" max="1" width="6.28515625" style="33" customWidth="1"/>
    <col min="2" max="2" width="40.42578125" style="33" customWidth="1"/>
    <col min="3" max="3" width="19.28515625" style="33" customWidth="1"/>
    <col min="4" max="4" width="11.42578125" style="33" customWidth="1"/>
    <col min="5" max="5" width="17.7109375" style="33" customWidth="1"/>
    <col min="6" max="6" width="15.28515625" style="33" bestFit="1" customWidth="1"/>
    <col min="7" max="10" width="16" style="33" bestFit="1" customWidth="1"/>
    <col min="11" max="11" width="13.7109375" style="33" bestFit="1" customWidth="1"/>
    <col min="12" max="12" width="15.7109375" style="33" bestFit="1" customWidth="1"/>
    <col min="13" max="13" width="7.28515625" style="33" customWidth="1"/>
    <col min="14" max="14" width="59.7109375" style="307" customWidth="1"/>
    <col min="15" max="15" width="8.7109375" style="33"/>
    <col min="16" max="16" width="9.42578125" style="33" customWidth="1"/>
    <col min="17" max="16384" width="8.7109375" style="33"/>
  </cols>
  <sheetData>
    <row r="1" spans="1:26" ht="15.75" x14ac:dyDescent="0.25">
      <c r="A1" s="112" t="s">
        <v>122</v>
      </c>
      <c r="B1" s="321"/>
      <c r="D1" s="408" t="s">
        <v>3</v>
      </c>
      <c r="G1" s="1651" t="s">
        <v>734</v>
      </c>
      <c r="H1" s="1651"/>
      <c r="I1" s="1651"/>
      <c r="J1" s="63"/>
      <c r="K1" s="63"/>
      <c r="Z1" s="7"/>
    </row>
    <row r="2" spans="1:26" ht="15.75" x14ac:dyDescent="0.25">
      <c r="A2" s="37" t="str">
        <f>SchoolName</f>
        <v>Odyssey Charter School</v>
      </c>
      <c r="B2" s="38"/>
      <c r="G2" s="1786" t="str">
        <f>+Cover!C18</f>
        <v>Test</v>
      </c>
      <c r="H2" s="1786"/>
      <c r="I2" s="1786"/>
      <c r="J2" s="1786"/>
      <c r="K2" s="1786"/>
      <c r="Z2" s="7"/>
    </row>
    <row r="3" spans="1:26" x14ac:dyDescent="0.25">
      <c r="A3" s="39" t="s">
        <v>2</v>
      </c>
      <c r="G3" s="1787" t="str">
        <f>+Cover!C19</f>
        <v>Site 2</v>
      </c>
      <c r="H3" s="1787"/>
      <c r="I3" s="1787"/>
      <c r="J3" s="1787"/>
      <c r="K3" s="1787"/>
      <c r="Z3" s="7"/>
    </row>
    <row r="4" spans="1:26" x14ac:dyDescent="0.25">
      <c r="A4" s="30" t="str">
        <f ca="1">CELL("filename")</f>
        <v>\\lvraiders\users\sguthrie\Documents\Charter\Change of Sponsorship\[240126-SPCSA-Odyssey Charter School Application Workbook-AS-IS-Original Version.xlsx]Instructions</v>
      </c>
      <c r="Z4" s="7"/>
    </row>
    <row r="5" spans="1:26" ht="15.75" thickBot="1" x14ac:dyDescent="0.3">
      <c r="Z5" s="7"/>
    </row>
    <row r="6" spans="1:26" s="31" customFormat="1" ht="14.25" outlineLevel="1" x14ac:dyDescent="0.2">
      <c r="B6" s="1525" t="s">
        <v>735</v>
      </c>
      <c r="C6" s="1529"/>
      <c r="D6" s="1528"/>
      <c r="F6" s="1639">
        <f>' Enrol &amp; Rev'!F9</f>
        <v>0</v>
      </c>
      <c r="G6" s="718">
        <f>' Enrol &amp; Rev'!G9</f>
        <v>1</v>
      </c>
      <c r="H6" s="718">
        <f>' Enrol &amp; Rev'!H9</f>
        <v>2</v>
      </c>
      <c r="I6" s="718">
        <f>' Enrol &amp; Rev'!I9</f>
        <v>3</v>
      </c>
      <c r="J6" s="718">
        <f>' Enrol &amp; Rev'!J9</f>
        <v>4</v>
      </c>
      <c r="K6" s="718">
        <f>' Enrol &amp; Rev'!K9</f>
        <v>5</v>
      </c>
      <c r="L6" s="1188">
        <f>' Enrol &amp; Rev'!L9</f>
        <v>6</v>
      </c>
      <c r="N6" s="1365" t="s">
        <v>103</v>
      </c>
      <c r="Z6" s="7"/>
    </row>
    <row r="7" spans="1:26" ht="15.75" outlineLevel="1" thickBot="1" x14ac:dyDescent="0.3">
      <c r="B7" s="1526" t="s">
        <v>736</v>
      </c>
      <c r="C7" s="194" t="s">
        <v>737</v>
      </c>
      <c r="D7" s="1527"/>
      <c r="F7" s="719">
        <f>+G7-1</f>
        <v>2024</v>
      </c>
      <c r="G7" s="720">
        <f>' Enrol &amp; Rev'!G10</f>
        <v>2025</v>
      </c>
      <c r="H7" s="720">
        <f>' Enrol &amp; Rev'!H10</f>
        <v>2026</v>
      </c>
      <c r="I7" s="720">
        <f>' Enrol &amp; Rev'!I10</f>
        <v>2027</v>
      </c>
      <c r="J7" s="720">
        <f>' Enrol &amp; Rev'!J10</f>
        <v>2028</v>
      </c>
      <c r="K7" s="720">
        <f>' Enrol &amp; Rev'!K10</f>
        <v>2029</v>
      </c>
      <c r="L7" s="721">
        <f>' Enrol &amp; Rev'!L10</f>
        <v>2030</v>
      </c>
      <c r="M7" s="41"/>
      <c r="N7" s="462"/>
    </row>
    <row r="8" spans="1:26" outlineLevel="1" x14ac:dyDescent="0.25">
      <c r="C8" s="31"/>
      <c r="F8" s="722">
        <f>+G8-1</f>
        <v>2025</v>
      </c>
      <c r="G8" s="723">
        <f>' Enrol &amp; Rev'!G11</f>
        <v>2026</v>
      </c>
      <c r="H8" s="723">
        <f>' Enrol &amp; Rev'!H11</f>
        <v>2027</v>
      </c>
      <c r="I8" s="723">
        <f>' Enrol &amp; Rev'!I11</f>
        <v>2028</v>
      </c>
      <c r="J8" s="723">
        <f>' Enrol &amp; Rev'!J11</f>
        <v>2029</v>
      </c>
      <c r="K8" s="723">
        <f>' Enrol &amp; Rev'!K11</f>
        <v>2030</v>
      </c>
      <c r="L8" s="724">
        <f>' Enrol &amp; Rev'!L11</f>
        <v>2031</v>
      </c>
      <c r="M8" s="41"/>
      <c r="N8" s="343"/>
    </row>
    <row r="9" spans="1:26" outlineLevel="1" x14ac:dyDescent="0.25">
      <c r="A9" s="346">
        <f>ROW()</f>
        <v>9</v>
      </c>
      <c r="B9" s="235" t="s">
        <v>738</v>
      </c>
      <c r="C9" s="236"/>
      <c r="D9" s="236"/>
      <c r="E9" s="63"/>
      <c r="F9" s="1656" t="s">
        <v>584</v>
      </c>
      <c r="G9" s="645">
        <f>' Enrol &amp; Rev'!G36</f>
        <v>2320.02</v>
      </c>
      <c r="H9" s="645">
        <f>' Enrol &amp; Rev'!H36</f>
        <v>2320.02</v>
      </c>
      <c r="I9" s="645">
        <f>' Enrol &amp; Rev'!I36</f>
        <v>2320.02</v>
      </c>
      <c r="J9" s="645">
        <f>' Enrol &amp; Rev'!J36</f>
        <v>2320.02</v>
      </c>
      <c r="K9" s="645">
        <f>' Enrol &amp; Rev'!K36</f>
        <v>2320.02</v>
      </c>
      <c r="L9" s="1207">
        <f>' Enrol &amp; Rev'!L36</f>
        <v>2320.02</v>
      </c>
      <c r="M9" s="41"/>
      <c r="N9" s="343"/>
    </row>
    <row r="10" spans="1:26" outlineLevel="1" x14ac:dyDescent="0.25">
      <c r="A10" s="346">
        <f>ROW()</f>
        <v>10</v>
      </c>
      <c r="B10" s="33" t="s">
        <v>739</v>
      </c>
      <c r="C10" s="31"/>
      <c r="G10" s="510">
        <f>IFERROR(+G11/' Enrol &amp; Rev'!G36,0)</f>
        <v>20.441203093076783</v>
      </c>
      <c r="H10" s="510">
        <f>IFERROR(+H11/' Enrol &amp; Rev'!H36,0)</f>
        <v>20.441203093076783</v>
      </c>
      <c r="I10" s="510">
        <f>IFERROR(+I11/' Enrol &amp; Rev'!I36,0)</f>
        <v>20.441203093076783</v>
      </c>
      <c r="J10" s="510">
        <f>IFERROR(+J11/' Enrol &amp; Rev'!J36,0)</f>
        <v>20.441203093076783</v>
      </c>
      <c r="K10" s="510">
        <f>IFERROR(+K11/' Enrol &amp; Rev'!K36,0)</f>
        <v>20.441203093076783</v>
      </c>
      <c r="L10" s="510">
        <f>IFERROR(+L11/' Enrol &amp; Rev'!L36,0)</f>
        <v>20.441203093076783</v>
      </c>
      <c r="M10" s="41"/>
      <c r="N10" s="343"/>
    </row>
    <row r="11" spans="1:26" outlineLevel="1" x14ac:dyDescent="0.25">
      <c r="A11" s="346">
        <f>ROW()</f>
        <v>11</v>
      </c>
      <c r="B11" s="33" t="s">
        <v>740</v>
      </c>
      <c r="F11" s="511">
        <v>47424</v>
      </c>
      <c r="G11" s="511">
        <v>47424</v>
      </c>
      <c r="H11" s="511">
        <v>47424</v>
      </c>
      <c r="I11" s="511">
        <v>47424</v>
      </c>
      <c r="J11" s="511">
        <v>47424</v>
      </c>
      <c r="K11" s="511">
        <v>47424</v>
      </c>
      <c r="L11" s="511">
        <v>47424</v>
      </c>
      <c r="M11" s="41"/>
      <c r="N11" s="343" t="s">
        <v>1555</v>
      </c>
    </row>
    <row r="12" spans="1:26" outlineLevel="1" x14ac:dyDescent="0.25">
      <c r="A12" s="346"/>
      <c r="M12" s="41"/>
      <c r="N12" s="343"/>
    </row>
    <row r="13" spans="1:26" outlineLevel="1" x14ac:dyDescent="0.25">
      <c r="A13" s="346">
        <f>ROW()</f>
        <v>13</v>
      </c>
      <c r="B13" s="33" t="s">
        <v>741</v>
      </c>
      <c r="F13" s="1322">
        <v>2.0074645748987856</v>
      </c>
      <c r="G13" s="1322">
        <f>F13</f>
        <v>2.0074645748987856</v>
      </c>
      <c r="H13" s="1322">
        <f t="shared" ref="H13:L13" si="0">G13</f>
        <v>2.0074645748987856</v>
      </c>
      <c r="I13" s="1322">
        <f t="shared" si="0"/>
        <v>2.0074645748987856</v>
      </c>
      <c r="J13" s="1322">
        <f t="shared" si="0"/>
        <v>2.0074645748987856</v>
      </c>
      <c r="K13" s="1322">
        <f t="shared" si="0"/>
        <v>2.0074645748987856</v>
      </c>
      <c r="L13" s="1322">
        <f t="shared" si="0"/>
        <v>2.0074645748987856</v>
      </c>
      <c r="M13" s="41"/>
      <c r="N13" s="343" t="s">
        <v>1558</v>
      </c>
    </row>
    <row r="14" spans="1:26" outlineLevel="1" x14ac:dyDescent="0.25">
      <c r="A14" s="346">
        <f>ROW()</f>
        <v>14</v>
      </c>
      <c r="B14" s="33" t="s">
        <v>742</v>
      </c>
      <c r="F14" s="1524">
        <f>+F13*12</f>
        <v>24.089574898785429</v>
      </c>
      <c r="G14" s="1524">
        <f>+G13*12</f>
        <v>24.089574898785429</v>
      </c>
      <c r="H14" s="1524">
        <f t="shared" ref="H14:L17" si="1">+H13*12</f>
        <v>24.089574898785429</v>
      </c>
      <c r="I14" s="1524">
        <f t="shared" si="1"/>
        <v>24.089574898785429</v>
      </c>
      <c r="J14" s="1524">
        <f t="shared" si="1"/>
        <v>24.089574898785429</v>
      </c>
      <c r="K14" s="1524">
        <f t="shared" si="1"/>
        <v>24.089574898785429</v>
      </c>
      <c r="L14" s="1524">
        <f t="shared" si="1"/>
        <v>24.089574898785429</v>
      </c>
      <c r="M14" s="41"/>
      <c r="N14" s="343"/>
    </row>
    <row r="15" spans="1:26" outlineLevel="1" x14ac:dyDescent="0.25">
      <c r="A15" s="346"/>
      <c r="F15" s="512"/>
      <c r="G15" s="512"/>
      <c r="H15" s="512"/>
      <c r="I15" s="512"/>
      <c r="J15" s="512"/>
      <c r="K15" s="512"/>
      <c r="L15" s="512"/>
      <c r="M15" s="41"/>
      <c r="N15" s="343"/>
    </row>
    <row r="16" spans="1:26" outlineLevel="1" x14ac:dyDescent="0.25">
      <c r="A16" s="346">
        <f>ROW()</f>
        <v>16</v>
      </c>
      <c r="B16" s="33" t="s">
        <v>743</v>
      </c>
      <c r="C16" s="32"/>
      <c r="F16" s="1322">
        <v>2.0074645748987856</v>
      </c>
      <c r="G16" s="1322">
        <f>F16</f>
        <v>2.0074645748987856</v>
      </c>
      <c r="H16" s="1322">
        <f t="shared" ref="H16:L16" si="2">G16</f>
        <v>2.0074645748987856</v>
      </c>
      <c r="I16" s="1322">
        <f t="shared" si="2"/>
        <v>2.0074645748987856</v>
      </c>
      <c r="J16" s="1322">
        <f t="shared" si="2"/>
        <v>2.0074645748987856</v>
      </c>
      <c r="K16" s="1322">
        <f t="shared" si="2"/>
        <v>2.0074645748987856</v>
      </c>
      <c r="L16" s="1322">
        <f t="shared" si="2"/>
        <v>2.0074645748987856</v>
      </c>
      <c r="M16" s="41"/>
      <c r="N16" s="343"/>
    </row>
    <row r="17" spans="1:14" outlineLevel="1" x14ac:dyDescent="0.25">
      <c r="A17" s="346">
        <f>ROW()</f>
        <v>17</v>
      </c>
      <c r="B17" s="33" t="s">
        <v>744</v>
      </c>
      <c r="C17" s="32"/>
      <c r="F17" s="1524">
        <f>+F16*12</f>
        <v>24.089574898785429</v>
      </c>
      <c r="G17" s="1524">
        <f>+G16*12</f>
        <v>24.089574898785429</v>
      </c>
      <c r="H17" s="1524">
        <f t="shared" si="1"/>
        <v>24.089574898785429</v>
      </c>
      <c r="I17" s="1524">
        <f t="shared" si="1"/>
        <v>24.089574898785429</v>
      </c>
      <c r="J17" s="1524">
        <f t="shared" si="1"/>
        <v>24.089574898785429</v>
      </c>
      <c r="K17" s="1524">
        <f t="shared" si="1"/>
        <v>24.089574898785429</v>
      </c>
      <c r="L17" s="1524">
        <f t="shared" si="1"/>
        <v>24.089574898785429</v>
      </c>
      <c r="M17" s="41"/>
      <c r="N17" s="343"/>
    </row>
    <row r="18" spans="1:14" outlineLevel="1" x14ac:dyDescent="0.25">
      <c r="A18" s="346">
        <f>ROW()</f>
        <v>18</v>
      </c>
      <c r="F18" s="512"/>
      <c r="G18" s="512"/>
      <c r="H18" s="512"/>
      <c r="I18" s="512"/>
      <c r="J18" s="512"/>
      <c r="K18" s="512"/>
      <c r="L18" s="512"/>
      <c r="M18" s="41"/>
      <c r="N18" s="343"/>
    </row>
    <row r="19" spans="1:14" outlineLevel="1" x14ac:dyDescent="0.25">
      <c r="A19" s="346">
        <f>ROW()</f>
        <v>19</v>
      </c>
      <c r="B19" s="43" t="s">
        <v>745</v>
      </c>
      <c r="F19" s="981"/>
      <c r="G19" s="981"/>
      <c r="H19" s="513">
        <v>0.03</v>
      </c>
      <c r="I19" s="513">
        <v>0.03</v>
      </c>
      <c r="J19" s="513">
        <v>0.03</v>
      </c>
      <c r="K19" s="513">
        <v>0.03</v>
      </c>
      <c r="L19" s="513">
        <v>0.03</v>
      </c>
      <c r="M19" s="41"/>
      <c r="N19" s="343"/>
    </row>
    <row r="20" spans="1:14" outlineLevel="1" x14ac:dyDescent="0.25">
      <c r="A20" s="346">
        <f>ROW()</f>
        <v>20</v>
      </c>
      <c r="B20" s="43" t="s">
        <v>746</v>
      </c>
      <c r="F20" s="514">
        <f t="shared" ref="F20:L20" si="3">+F21/12</f>
        <v>2.0074645748987856</v>
      </c>
      <c r="G20" s="514">
        <f t="shared" si="3"/>
        <v>2.0074645748987856</v>
      </c>
      <c r="H20" s="514">
        <f t="shared" si="3"/>
        <v>2.0676885121457493</v>
      </c>
      <c r="I20" s="514">
        <f t="shared" si="3"/>
        <v>2.1297191675101219</v>
      </c>
      <c r="J20" s="514">
        <f t="shared" si="3"/>
        <v>2.1936107425354257</v>
      </c>
      <c r="K20" s="514">
        <f t="shared" si="3"/>
        <v>2.2594190648114885</v>
      </c>
      <c r="L20" s="514">
        <f t="shared" si="3"/>
        <v>2.3272016367558335</v>
      </c>
      <c r="M20" s="41"/>
      <c r="N20" s="343"/>
    </row>
    <row r="21" spans="1:14" outlineLevel="1" x14ac:dyDescent="0.25">
      <c r="A21" s="346">
        <f>ROW()</f>
        <v>21</v>
      </c>
      <c r="B21" s="43" t="s">
        <v>747</v>
      </c>
      <c r="F21" s="512">
        <f>+F17*(1+F19)</f>
        <v>24.089574898785429</v>
      </c>
      <c r="G21" s="512">
        <f>+G17*(1+G19)</f>
        <v>24.089574898785429</v>
      </c>
      <c r="H21" s="512">
        <f>+G21*(1+H19)</f>
        <v>24.812262145748992</v>
      </c>
      <c r="I21" s="512">
        <f>+H21*(1+I19)</f>
        <v>25.556630010121463</v>
      </c>
      <c r="J21" s="512">
        <f>+I21*(1+J19)</f>
        <v>26.323328910425108</v>
      </c>
      <c r="K21" s="512">
        <f>+J21*(1+K19)</f>
        <v>27.113028777737863</v>
      </c>
      <c r="L21" s="512">
        <f>+K21*(1+L19)</f>
        <v>27.926419641070002</v>
      </c>
      <c r="M21" s="41"/>
      <c r="N21" s="343"/>
    </row>
    <row r="22" spans="1:14" outlineLevel="1" x14ac:dyDescent="0.25">
      <c r="A22" s="346">
        <f>ROW()</f>
        <v>22</v>
      </c>
      <c r="B22" s="31"/>
      <c r="G22" s="503"/>
      <c r="H22" s="503"/>
      <c r="I22" s="503"/>
      <c r="J22" s="503"/>
      <c r="K22" s="503"/>
      <c r="L22" s="503"/>
      <c r="M22" s="41"/>
      <c r="N22" s="343"/>
    </row>
    <row r="23" spans="1:14" outlineLevel="1" x14ac:dyDescent="0.25">
      <c r="A23" s="346">
        <f>ROW()</f>
        <v>23</v>
      </c>
      <c r="B23" s="914" t="s">
        <v>748</v>
      </c>
      <c r="C23" s="159"/>
      <c r="D23" s="125"/>
      <c r="E23" s="349">
        <f t="shared" ref="E23:E41" si="4">SUM(F23:L23)</f>
        <v>8532090.6936615463</v>
      </c>
      <c r="F23" s="982">
        <f t="shared" ref="F23:L23" si="5">F11*(F21)</f>
        <v>1142424.0000000002</v>
      </c>
      <c r="G23" s="350">
        <f t="shared" si="5"/>
        <v>1142424.0000000002</v>
      </c>
      <c r="H23" s="351">
        <f t="shared" si="5"/>
        <v>1176696.7200000002</v>
      </c>
      <c r="I23" s="351">
        <f t="shared" si="5"/>
        <v>1211997.6216000002</v>
      </c>
      <c r="J23" s="351">
        <f t="shared" si="5"/>
        <v>1248357.5502480003</v>
      </c>
      <c r="K23" s="351">
        <f t="shared" si="5"/>
        <v>1285808.2767554405</v>
      </c>
      <c r="L23" s="351">
        <f t="shared" si="5"/>
        <v>1324382.5250581037</v>
      </c>
      <c r="M23" s="41"/>
      <c r="N23" s="343"/>
    </row>
    <row r="24" spans="1:14" outlineLevel="1" x14ac:dyDescent="0.25">
      <c r="A24" s="346">
        <f>ROW()</f>
        <v>24</v>
      </c>
      <c r="B24" s="44"/>
      <c r="C24" s="32" t="s">
        <v>749</v>
      </c>
      <c r="E24" s="647"/>
      <c r="F24" s="647"/>
      <c r="G24" s="130"/>
      <c r="H24" s="138"/>
      <c r="I24" s="138"/>
      <c r="J24" s="138"/>
      <c r="K24" s="138"/>
      <c r="L24" s="138"/>
      <c r="M24" s="41"/>
      <c r="N24" s="343"/>
    </row>
    <row r="25" spans="1:14" outlineLevel="1" x14ac:dyDescent="0.25">
      <c r="A25" s="346">
        <f>ROW()</f>
        <v>25</v>
      </c>
      <c r="B25" s="33" t="s">
        <v>750</v>
      </c>
      <c r="C25" s="802"/>
      <c r="D25" s="1437" t="s">
        <v>751</v>
      </c>
      <c r="E25" s="1438">
        <f t="shared" si="4"/>
        <v>616000</v>
      </c>
      <c r="F25" s="280">
        <v>88000</v>
      </c>
      <c r="G25" s="652">
        <v>88000</v>
      </c>
      <c r="H25" s="652">
        <v>88000</v>
      </c>
      <c r="I25" s="652">
        <v>88000</v>
      </c>
      <c r="J25" s="652">
        <v>88000</v>
      </c>
      <c r="K25" s="652">
        <v>88000</v>
      </c>
      <c r="L25" s="652">
        <v>88000</v>
      </c>
      <c r="M25" s="41"/>
      <c r="N25" s="343"/>
    </row>
    <row r="26" spans="1:14" outlineLevel="1" x14ac:dyDescent="0.25">
      <c r="A26" s="346">
        <f>ROW()</f>
        <v>26</v>
      </c>
      <c r="B26" s="33" t="s">
        <v>752</v>
      </c>
      <c r="C26" s="803"/>
      <c r="D26" s="1437" t="s">
        <v>751</v>
      </c>
      <c r="E26" s="1438">
        <f t="shared" si="4"/>
        <v>630000</v>
      </c>
      <c r="F26" s="280">
        <v>90000</v>
      </c>
      <c r="G26" s="653">
        <v>90000</v>
      </c>
      <c r="H26" s="653">
        <v>90000</v>
      </c>
      <c r="I26" s="653">
        <v>90000</v>
      </c>
      <c r="J26" s="653">
        <v>90000</v>
      </c>
      <c r="K26" s="653">
        <v>90000</v>
      </c>
      <c r="L26" s="653">
        <v>90000</v>
      </c>
      <c r="M26" s="45"/>
      <c r="N26" s="343"/>
    </row>
    <row r="27" spans="1:14" outlineLevel="1" x14ac:dyDescent="0.25">
      <c r="A27" s="346">
        <f>ROW()</f>
        <v>27</v>
      </c>
      <c r="B27" s="33" t="s">
        <v>753</v>
      </c>
      <c r="C27" s="802">
        <f>12*0.160425101214575</f>
        <v>1.9251012145749002</v>
      </c>
      <c r="D27" s="1437" t="s">
        <v>751</v>
      </c>
      <c r="E27" s="1438">
        <f t="shared" si="4"/>
        <v>547776.00000000047</v>
      </c>
      <c r="F27" s="280"/>
      <c r="G27" s="653">
        <f t="shared" ref="G27:L27" si="6">G11*$C27</f>
        <v>91296.000000000073</v>
      </c>
      <c r="H27" s="653">
        <f t="shared" si="6"/>
        <v>91296.000000000073</v>
      </c>
      <c r="I27" s="653">
        <f t="shared" si="6"/>
        <v>91296.000000000073</v>
      </c>
      <c r="J27" s="653">
        <f t="shared" si="6"/>
        <v>91296.000000000073</v>
      </c>
      <c r="K27" s="653">
        <f t="shared" si="6"/>
        <v>91296.000000000073</v>
      </c>
      <c r="L27" s="653">
        <f t="shared" si="6"/>
        <v>91296.000000000073</v>
      </c>
      <c r="M27" s="41"/>
      <c r="N27" s="343" t="s">
        <v>1558</v>
      </c>
    </row>
    <row r="28" spans="1:14" outlineLevel="1" x14ac:dyDescent="0.25">
      <c r="A28" s="346">
        <f>ROW()</f>
        <v>28</v>
      </c>
      <c r="B28" s="33" t="s">
        <v>754</v>
      </c>
      <c r="C28" s="802"/>
      <c r="D28" s="1437" t="s">
        <v>755</v>
      </c>
      <c r="E28" s="1438">
        <f t="shared" si="4"/>
        <v>425112.08600000001</v>
      </c>
      <c r="F28" s="280">
        <v>60730.298000000003</v>
      </c>
      <c r="G28" s="653">
        <v>60730.298000000003</v>
      </c>
      <c r="H28" s="653">
        <v>60730.298000000003</v>
      </c>
      <c r="I28" s="653">
        <v>60730.298000000003</v>
      </c>
      <c r="J28" s="653">
        <v>60730.298000000003</v>
      </c>
      <c r="K28" s="653">
        <v>60730.298000000003</v>
      </c>
      <c r="L28" s="653">
        <v>60730.298000000003</v>
      </c>
      <c r="M28" s="41"/>
      <c r="N28" s="343"/>
    </row>
    <row r="29" spans="1:14" outlineLevel="1" x14ac:dyDescent="0.25">
      <c r="A29" s="346">
        <f>ROW()</f>
        <v>29</v>
      </c>
      <c r="B29" s="33" t="s">
        <v>756</v>
      </c>
      <c r="C29" s="802"/>
      <c r="D29" s="1437" t="s">
        <v>755</v>
      </c>
      <c r="E29" s="1438">
        <f t="shared" si="4"/>
        <v>0</v>
      </c>
      <c r="F29" s="280"/>
      <c r="G29" s="653">
        <f t="shared" ref="G29" si="7">+C29</f>
        <v>0</v>
      </c>
      <c r="H29" s="653">
        <f t="shared" ref="H29:L29" si="8">+G29</f>
        <v>0</v>
      </c>
      <c r="I29" s="653">
        <f t="shared" si="8"/>
        <v>0</v>
      </c>
      <c r="J29" s="653">
        <f t="shared" si="8"/>
        <v>0</v>
      </c>
      <c r="K29" s="653">
        <f t="shared" si="8"/>
        <v>0</v>
      </c>
      <c r="L29" s="653">
        <f t="shared" si="8"/>
        <v>0</v>
      </c>
      <c r="M29" s="41"/>
      <c r="N29" s="343"/>
    </row>
    <row r="30" spans="1:14" outlineLevel="1" x14ac:dyDescent="0.25">
      <c r="A30" s="346">
        <f>ROW()</f>
        <v>30</v>
      </c>
      <c r="B30" s="33" t="s">
        <v>757</v>
      </c>
      <c r="C30" s="802"/>
      <c r="D30" s="1437" t="s">
        <v>751</v>
      </c>
      <c r="E30" s="1438">
        <f t="shared" ref="E30" si="9">SUM(F30:L30)</f>
        <v>0</v>
      </c>
      <c r="F30" s="280"/>
      <c r="G30" s="653">
        <f>G$11*$C30</f>
        <v>0</v>
      </c>
      <c r="H30" s="653">
        <f t="shared" ref="H30:L32" si="10">H$11*$C30</f>
        <v>0</v>
      </c>
      <c r="I30" s="653">
        <f t="shared" si="10"/>
        <v>0</v>
      </c>
      <c r="J30" s="653">
        <f t="shared" si="10"/>
        <v>0</v>
      </c>
      <c r="K30" s="653">
        <f t="shared" si="10"/>
        <v>0</v>
      </c>
      <c r="L30" s="653">
        <f t="shared" si="10"/>
        <v>0</v>
      </c>
      <c r="M30" s="41"/>
      <c r="N30" s="343"/>
    </row>
    <row r="31" spans="1:14" outlineLevel="1" x14ac:dyDescent="0.25">
      <c r="A31" s="346">
        <f>ROW()</f>
        <v>31</v>
      </c>
      <c r="B31" s="33" t="s">
        <v>758</v>
      </c>
      <c r="C31" s="802"/>
      <c r="D31" s="1437" t="s">
        <v>751</v>
      </c>
      <c r="E31" s="1438">
        <f t="shared" ref="E31" si="11">SUM(F31:L31)</f>
        <v>810028.10000000009</v>
      </c>
      <c r="F31" s="280">
        <v>115718.3</v>
      </c>
      <c r="G31" s="653">
        <v>115718.3</v>
      </c>
      <c r="H31" s="653">
        <v>115718.3</v>
      </c>
      <c r="I31" s="653">
        <v>115718.3</v>
      </c>
      <c r="J31" s="653">
        <v>115718.3</v>
      </c>
      <c r="K31" s="653">
        <v>115718.3</v>
      </c>
      <c r="L31" s="653">
        <v>115718.3</v>
      </c>
      <c r="M31" s="41"/>
      <c r="N31" s="343"/>
    </row>
    <row r="32" spans="1:14" outlineLevel="1" x14ac:dyDescent="0.25">
      <c r="A32" s="346">
        <f>ROW()</f>
        <v>32</v>
      </c>
      <c r="B32" s="33" t="s">
        <v>759</v>
      </c>
      <c r="C32" s="802"/>
      <c r="D32" s="1437" t="s">
        <v>751</v>
      </c>
      <c r="E32" s="1438">
        <f t="shared" ref="E32" si="12">SUM(F32:L32)</f>
        <v>0</v>
      </c>
      <c r="F32" s="648"/>
      <c r="G32" s="654">
        <f>G$11*$C32</f>
        <v>0</v>
      </c>
      <c r="H32" s="654">
        <f t="shared" si="10"/>
        <v>0</v>
      </c>
      <c r="I32" s="654">
        <f t="shared" si="10"/>
        <v>0</v>
      </c>
      <c r="J32" s="654">
        <f t="shared" si="10"/>
        <v>0</v>
      </c>
      <c r="K32" s="654">
        <f t="shared" si="10"/>
        <v>0</v>
      </c>
      <c r="L32" s="654">
        <f t="shared" si="10"/>
        <v>0</v>
      </c>
      <c r="M32" s="41"/>
      <c r="N32" s="343"/>
    </row>
    <row r="33" spans="1:14" outlineLevel="1" x14ac:dyDescent="0.25">
      <c r="A33" s="346">
        <f>ROW()</f>
        <v>33</v>
      </c>
      <c r="B33" s="125" t="s">
        <v>760</v>
      </c>
      <c r="C33" s="649">
        <v>0</v>
      </c>
      <c r="D33" s="1439" t="s">
        <v>761</v>
      </c>
      <c r="E33" s="1440">
        <f t="shared" si="4"/>
        <v>2674467.5880000005</v>
      </c>
      <c r="F33" s="650"/>
      <c r="G33" s="646">
        <f>SUM(G25:G32)*((1+$C$33)^G6)</f>
        <v>445744.59800000006</v>
      </c>
      <c r="H33" s="695">
        <f t="shared" ref="H33:L33" si="13">SUM(H25:H32)*((1+$C$33)^H6)</f>
        <v>445744.59800000006</v>
      </c>
      <c r="I33" s="695">
        <f t="shared" si="13"/>
        <v>445744.59800000006</v>
      </c>
      <c r="J33" s="695">
        <f t="shared" si="13"/>
        <v>445744.59800000006</v>
      </c>
      <c r="K33" s="695">
        <f t="shared" si="13"/>
        <v>445744.59800000006</v>
      </c>
      <c r="L33" s="695">
        <f t="shared" si="13"/>
        <v>445744.59800000006</v>
      </c>
      <c r="M33" s="41"/>
      <c r="N33" s="343"/>
    </row>
    <row r="34" spans="1:14" outlineLevel="1" x14ac:dyDescent="0.25">
      <c r="A34" s="346">
        <f>ROW()</f>
        <v>34</v>
      </c>
      <c r="B34" s="31" t="s">
        <v>762</v>
      </c>
      <c r="C34" s="802">
        <v>0</v>
      </c>
      <c r="D34" s="307" t="s">
        <v>763</v>
      </c>
      <c r="E34" s="1438">
        <f t="shared" si="4"/>
        <v>0</v>
      </c>
      <c r="F34" s="280">
        <v>0</v>
      </c>
      <c r="G34" s="280">
        <f>+C34</f>
        <v>0</v>
      </c>
      <c r="H34" s="653"/>
      <c r="I34" s="653"/>
      <c r="J34" s="653"/>
      <c r="K34" s="653"/>
      <c r="L34" s="653"/>
      <c r="M34" s="41"/>
      <c r="N34" s="343"/>
    </row>
    <row r="35" spans="1:14" outlineLevel="1" x14ac:dyDescent="0.25">
      <c r="A35" s="346">
        <f>ROW()</f>
        <v>35</v>
      </c>
      <c r="B35" s="1441" t="s">
        <v>764</v>
      </c>
      <c r="C35" s="506"/>
      <c r="D35" s="307"/>
      <c r="E35" s="1438">
        <f t="shared" si="4"/>
        <v>0</v>
      </c>
      <c r="F35" s="1266"/>
      <c r="G35" s="1266"/>
      <c r="H35" s="1267"/>
      <c r="I35" s="1267"/>
      <c r="J35" s="1267"/>
      <c r="K35" s="1267"/>
      <c r="L35" s="1267"/>
      <c r="M35" s="41"/>
      <c r="N35" s="343"/>
    </row>
    <row r="36" spans="1:14" outlineLevel="1" x14ac:dyDescent="0.25">
      <c r="A36" s="346">
        <f>ROW()</f>
        <v>36</v>
      </c>
      <c r="B36" s="97" t="s">
        <v>765</v>
      </c>
      <c r="C36" s="506"/>
      <c r="D36" s="307"/>
      <c r="E36" s="1438"/>
      <c r="F36" s="280"/>
      <c r="G36" s="280"/>
      <c r="H36" s="653"/>
      <c r="I36" s="653"/>
      <c r="J36" s="653"/>
      <c r="K36" s="653"/>
      <c r="L36" s="653"/>
      <c r="M36" s="41"/>
      <c r="N36" s="343"/>
    </row>
    <row r="37" spans="1:14" outlineLevel="1" x14ac:dyDescent="0.25">
      <c r="A37" s="346">
        <f>ROW()</f>
        <v>37</v>
      </c>
      <c r="B37" s="97" t="s">
        <v>766</v>
      </c>
      <c r="C37" s="506"/>
      <c r="D37" s="307"/>
      <c r="E37" s="1438"/>
      <c r="F37" s="280"/>
      <c r="G37" s="280"/>
      <c r="H37" s="653"/>
      <c r="I37" s="653"/>
      <c r="J37" s="653"/>
      <c r="K37" s="653"/>
      <c r="L37" s="653"/>
      <c r="M37" s="41"/>
      <c r="N37" s="343"/>
    </row>
    <row r="38" spans="1:14" outlineLevel="1" x14ac:dyDescent="0.25">
      <c r="A38" s="346">
        <f>ROW()</f>
        <v>38</v>
      </c>
      <c r="B38" s="97"/>
      <c r="C38" s="506"/>
      <c r="D38" s="307"/>
      <c r="E38" s="1438"/>
      <c r="F38" s="280"/>
      <c r="G38" s="280"/>
      <c r="H38" s="653"/>
      <c r="I38" s="653"/>
      <c r="J38" s="653"/>
      <c r="K38" s="653"/>
      <c r="L38" s="653"/>
      <c r="M38" s="41"/>
      <c r="N38" s="343"/>
    </row>
    <row r="39" spans="1:14" outlineLevel="1" x14ac:dyDescent="0.25">
      <c r="A39" s="346">
        <f>ROW()</f>
        <v>39</v>
      </c>
      <c r="B39" s="97" t="s">
        <v>767</v>
      </c>
      <c r="C39" s="506"/>
      <c r="D39" s="307"/>
      <c r="E39" s="1438"/>
      <c r="F39" s="280"/>
      <c r="G39" s="280"/>
      <c r="H39" s="653"/>
      <c r="I39" s="653"/>
      <c r="J39" s="653"/>
      <c r="K39" s="653"/>
      <c r="L39" s="653"/>
      <c r="M39" s="41"/>
      <c r="N39" s="343"/>
    </row>
    <row r="40" spans="1:14" outlineLevel="1" x14ac:dyDescent="0.25">
      <c r="A40" s="346">
        <f>ROW()</f>
        <v>40</v>
      </c>
      <c r="B40" s="97" t="s">
        <v>768</v>
      </c>
      <c r="C40" s="307"/>
      <c r="D40" s="307"/>
      <c r="E40" s="1438">
        <f t="shared" si="4"/>
        <v>0</v>
      </c>
      <c r="F40" s="281">
        <f>F35/15</f>
        <v>0</v>
      </c>
      <c r="G40" s="281">
        <f t="shared" ref="G40:L40" si="14">F40+(G35/15)</f>
        <v>0</v>
      </c>
      <c r="H40" s="282">
        <f t="shared" si="14"/>
        <v>0</v>
      </c>
      <c r="I40" s="282">
        <f t="shared" si="14"/>
        <v>0</v>
      </c>
      <c r="J40" s="282">
        <f t="shared" si="14"/>
        <v>0</v>
      </c>
      <c r="K40" s="282">
        <f t="shared" si="14"/>
        <v>0</v>
      </c>
      <c r="L40" s="282">
        <f t="shared" si="14"/>
        <v>0</v>
      </c>
      <c r="M40" s="41"/>
      <c r="N40" s="343"/>
    </row>
    <row r="41" spans="1:14" outlineLevel="1" x14ac:dyDescent="0.25">
      <c r="A41" s="346">
        <f>ROW()</f>
        <v>41</v>
      </c>
      <c r="B41" s="127" t="s">
        <v>769</v>
      </c>
      <c r="C41" s="125"/>
      <c r="D41" s="125"/>
      <c r="E41" s="651">
        <f t="shared" si="4"/>
        <v>11206558.281661544</v>
      </c>
      <c r="F41" s="1442">
        <f>SUM(F23,F33,F34,F35:F39)</f>
        <v>1142424.0000000002</v>
      </c>
      <c r="G41" s="1442">
        <f>SUM(G23,G33,G34,G35:G39)</f>
        <v>1588168.5980000002</v>
      </c>
      <c r="H41" s="1442">
        <f t="shared" ref="H41:L41" si="15">SUM(H23,H33,H34,H35:H39)</f>
        <v>1622441.3180000002</v>
      </c>
      <c r="I41" s="1442">
        <f t="shared" si="15"/>
        <v>1657742.2196000002</v>
      </c>
      <c r="J41" s="1442">
        <f t="shared" si="15"/>
        <v>1694102.1482480003</v>
      </c>
      <c r="K41" s="1442">
        <f t="shared" si="15"/>
        <v>1731552.8747554405</v>
      </c>
      <c r="L41" s="1442">
        <f t="shared" si="15"/>
        <v>1770127.1230581037</v>
      </c>
      <c r="M41" s="41"/>
      <c r="N41" s="343"/>
    </row>
    <row r="42" spans="1:14" outlineLevel="1" x14ac:dyDescent="0.25">
      <c r="A42" s="346">
        <f>ROW()</f>
        <v>42</v>
      </c>
      <c r="B42" s="31" t="s">
        <v>770</v>
      </c>
      <c r="E42" s="31"/>
      <c r="F42" s="739">
        <f t="shared" ref="F42" si="16">SUM(F23,F33)+F40</f>
        <v>1142424.0000000002</v>
      </c>
      <c r="G42" s="739">
        <f>SUM(G23,G33)+G40</f>
        <v>1588168.5980000002</v>
      </c>
      <c r="H42" s="739">
        <f t="shared" ref="H42:L42" si="17">SUM(H23,H33)+H40</f>
        <v>1622441.3180000002</v>
      </c>
      <c r="I42" s="739">
        <f t="shared" si="17"/>
        <v>1657742.2196000002</v>
      </c>
      <c r="J42" s="739">
        <f t="shared" si="17"/>
        <v>1694102.1482480003</v>
      </c>
      <c r="K42" s="739">
        <f t="shared" si="17"/>
        <v>1731552.8747554405</v>
      </c>
      <c r="L42" s="739">
        <f t="shared" si="17"/>
        <v>1770127.1230581037</v>
      </c>
      <c r="M42" s="41"/>
      <c r="N42" s="343"/>
    </row>
    <row r="43" spans="1:14" s="31" customFormat="1" outlineLevel="1" x14ac:dyDescent="0.25">
      <c r="A43" s="346">
        <f>ROW()</f>
        <v>43</v>
      </c>
      <c r="B43" s="183" t="s">
        <v>771</v>
      </c>
      <c r="F43" s="130">
        <f>+F42-F41</f>
        <v>0</v>
      </c>
      <c r="G43" s="130">
        <f>+G42-G41</f>
        <v>0</v>
      </c>
      <c r="H43" s="130">
        <f t="shared" ref="H43:L43" si="18">+H42-H41</f>
        <v>0</v>
      </c>
      <c r="I43" s="130">
        <f t="shared" si="18"/>
        <v>0</v>
      </c>
      <c r="J43" s="130">
        <f t="shared" si="18"/>
        <v>0</v>
      </c>
      <c r="K43" s="130">
        <f t="shared" si="18"/>
        <v>0</v>
      </c>
      <c r="L43" s="130">
        <f t="shared" si="18"/>
        <v>0</v>
      </c>
      <c r="M43" s="46"/>
      <c r="N43" s="343"/>
    </row>
    <row r="44" spans="1:14" s="31" customFormat="1" outlineLevel="1" x14ac:dyDescent="0.25">
      <c r="A44" s="346">
        <f>ROW()</f>
        <v>44</v>
      </c>
      <c r="F44" s="130"/>
      <c r="G44" s="130"/>
      <c r="H44" s="130"/>
      <c r="I44" s="130"/>
      <c r="J44" s="130"/>
      <c r="K44" s="130"/>
      <c r="L44" s="130"/>
      <c r="M44" s="46"/>
      <c r="N44" s="343"/>
    </row>
    <row r="45" spans="1:14" s="31" customFormat="1" outlineLevel="1" x14ac:dyDescent="0.25">
      <c r="A45" s="346">
        <f>ROW()</f>
        <v>45</v>
      </c>
      <c r="B45" s="460" t="s">
        <v>772</v>
      </c>
      <c r="C45" s="33"/>
      <c r="D45" s="33"/>
      <c r="E45" s="33"/>
      <c r="F45" s="33"/>
      <c r="G45" s="55">
        <f t="shared" ref="G45:L45" si="19">+G23/12</f>
        <v>95202.000000000015</v>
      </c>
      <c r="H45" s="55">
        <f t="shared" si="19"/>
        <v>98058.060000000012</v>
      </c>
      <c r="I45" s="55">
        <f t="shared" si="19"/>
        <v>100999.80180000002</v>
      </c>
      <c r="J45" s="55">
        <f t="shared" si="19"/>
        <v>104029.79585400003</v>
      </c>
      <c r="K45" s="55">
        <f t="shared" si="19"/>
        <v>107150.68972962005</v>
      </c>
      <c r="L45" s="55">
        <f t="shared" si="19"/>
        <v>110365.21042150864</v>
      </c>
      <c r="M45" s="46"/>
      <c r="N45" s="343"/>
    </row>
    <row r="46" spans="1:14" s="31" customFormat="1" outlineLevel="1" x14ac:dyDescent="0.25">
      <c r="A46" s="346">
        <f>ROW()</f>
        <v>46</v>
      </c>
      <c r="B46" s="44" t="s">
        <v>773</v>
      </c>
      <c r="C46" s="33"/>
      <c r="D46" s="33"/>
      <c r="E46" s="33"/>
      <c r="F46" s="33"/>
      <c r="G46" s="50">
        <f t="shared" ref="G46:L48" si="20">+G25/12</f>
        <v>7333.333333333333</v>
      </c>
      <c r="H46" s="50">
        <f t="shared" si="20"/>
        <v>7333.333333333333</v>
      </c>
      <c r="I46" s="50">
        <f t="shared" si="20"/>
        <v>7333.333333333333</v>
      </c>
      <c r="J46" s="50">
        <f t="shared" si="20"/>
        <v>7333.333333333333</v>
      </c>
      <c r="K46" s="50">
        <f t="shared" si="20"/>
        <v>7333.333333333333</v>
      </c>
      <c r="L46" s="50">
        <f t="shared" si="20"/>
        <v>7333.333333333333</v>
      </c>
      <c r="M46" s="46"/>
      <c r="N46" s="343"/>
    </row>
    <row r="47" spans="1:14" s="31" customFormat="1" outlineLevel="1" x14ac:dyDescent="0.25">
      <c r="A47" s="346">
        <f>ROW()</f>
        <v>47</v>
      </c>
      <c r="B47" s="44" t="s">
        <v>774</v>
      </c>
      <c r="C47" s="33"/>
      <c r="D47" s="33"/>
      <c r="E47" s="33"/>
      <c r="F47" s="33"/>
      <c r="G47" s="50">
        <f t="shared" si="20"/>
        <v>7500</v>
      </c>
      <c r="H47" s="50">
        <f t="shared" si="20"/>
        <v>7500</v>
      </c>
      <c r="I47" s="50">
        <f t="shared" si="20"/>
        <v>7500</v>
      </c>
      <c r="J47" s="50">
        <f t="shared" si="20"/>
        <v>7500</v>
      </c>
      <c r="K47" s="50">
        <f t="shared" si="20"/>
        <v>7500</v>
      </c>
      <c r="L47" s="50">
        <f t="shared" si="20"/>
        <v>7500</v>
      </c>
      <c r="M47" s="46"/>
      <c r="N47" s="343"/>
    </row>
    <row r="48" spans="1:14" s="31" customFormat="1" outlineLevel="1" x14ac:dyDescent="0.25">
      <c r="A48" s="346">
        <f>ROW()</f>
        <v>48</v>
      </c>
      <c r="B48" s="44" t="s">
        <v>775</v>
      </c>
      <c r="C48" s="33"/>
      <c r="D48" s="33"/>
      <c r="E48" s="33"/>
      <c r="F48" s="33"/>
      <c r="G48" s="50">
        <f t="shared" si="20"/>
        <v>7608.0000000000064</v>
      </c>
      <c r="H48" s="50">
        <f t="shared" si="20"/>
        <v>7608.0000000000064</v>
      </c>
      <c r="I48" s="50">
        <f t="shared" si="20"/>
        <v>7608.0000000000064</v>
      </c>
      <c r="J48" s="50">
        <f t="shared" si="20"/>
        <v>7608.0000000000064</v>
      </c>
      <c r="K48" s="50">
        <f t="shared" si="20"/>
        <v>7608.0000000000064</v>
      </c>
      <c r="L48" s="50">
        <f t="shared" si="20"/>
        <v>7608.0000000000064</v>
      </c>
      <c r="M48" s="46"/>
      <c r="N48" s="343"/>
    </row>
    <row r="49" spans="1:14" s="31" customFormat="1" outlineLevel="1" x14ac:dyDescent="0.25">
      <c r="A49" s="346">
        <f>ROW()</f>
        <v>49</v>
      </c>
      <c r="B49" s="44" t="s">
        <v>754</v>
      </c>
      <c r="C49" s="33"/>
      <c r="D49" s="33"/>
      <c r="E49" s="33"/>
      <c r="F49" s="33"/>
      <c r="G49" s="50">
        <f t="shared" ref="G49:L49" si="21">+G29/12</f>
        <v>0</v>
      </c>
      <c r="H49" s="50">
        <f t="shared" si="21"/>
        <v>0</v>
      </c>
      <c r="I49" s="50">
        <f t="shared" si="21"/>
        <v>0</v>
      </c>
      <c r="J49" s="50">
        <f t="shared" si="21"/>
        <v>0</v>
      </c>
      <c r="K49" s="50">
        <f t="shared" si="21"/>
        <v>0</v>
      </c>
      <c r="L49" s="50">
        <f t="shared" si="21"/>
        <v>0</v>
      </c>
      <c r="M49" s="46"/>
      <c r="N49" s="343" t="s">
        <v>1556</v>
      </c>
    </row>
    <row r="50" spans="1:14" s="31" customFormat="1" outlineLevel="1" x14ac:dyDescent="0.25">
      <c r="A50" s="346">
        <f>ROW()</f>
        <v>50</v>
      </c>
      <c r="M50" s="46"/>
      <c r="N50" s="343"/>
    </row>
    <row r="51" spans="1:14" s="31" customFormat="1" outlineLevel="1" x14ac:dyDescent="0.25">
      <c r="A51" s="346">
        <f>ROW()</f>
        <v>51</v>
      </c>
      <c r="B51" s="33" t="s">
        <v>776</v>
      </c>
      <c r="C51" s="31" t="s">
        <v>777</v>
      </c>
      <c r="G51" s="47"/>
      <c r="H51" s="47"/>
      <c r="I51" s="47"/>
      <c r="J51" s="47"/>
      <c r="K51" s="47"/>
      <c r="L51" s="47"/>
      <c r="M51" s="46"/>
      <c r="N51" s="343"/>
    </row>
    <row r="52" spans="1:14" s="31" customFormat="1" outlineLevel="1" x14ac:dyDescent="0.25">
      <c r="A52" s="346">
        <f>ROW()</f>
        <v>52</v>
      </c>
      <c r="B52" s="31" t="s">
        <v>778</v>
      </c>
      <c r="G52" s="47"/>
      <c r="H52" s="47"/>
      <c r="I52" s="47"/>
      <c r="J52" s="47"/>
      <c r="K52" s="47"/>
      <c r="L52" s="47"/>
      <c r="M52" s="46"/>
      <c r="N52" s="343"/>
    </row>
    <row r="53" spans="1:14" s="31" customFormat="1" outlineLevel="1" x14ac:dyDescent="0.25">
      <c r="A53" s="346">
        <f>ROW()</f>
        <v>53</v>
      </c>
      <c r="G53" s="47"/>
      <c r="H53" s="47"/>
      <c r="I53" s="47"/>
      <c r="J53" s="47"/>
      <c r="K53" s="47"/>
      <c r="L53" s="47"/>
      <c r="M53" s="46"/>
      <c r="N53" s="343"/>
    </row>
    <row r="54" spans="1:14" ht="15" customHeight="1" outlineLevel="1" x14ac:dyDescent="0.25">
      <c r="A54" s="346">
        <f>ROW()</f>
        <v>54</v>
      </c>
      <c r="B54" s="235" t="s">
        <v>779</v>
      </c>
      <c r="C54" s="237"/>
      <c r="D54" s="236"/>
      <c r="E54" s="31"/>
      <c r="G54" s="48"/>
      <c r="H54" s="32"/>
      <c r="I54" s="32"/>
      <c r="J54" s="32"/>
      <c r="K54" s="32"/>
      <c r="L54" s="32"/>
      <c r="M54" s="41"/>
      <c r="N54" s="343"/>
    </row>
    <row r="55" spans="1:14" ht="15" customHeight="1" outlineLevel="1" x14ac:dyDescent="0.25">
      <c r="A55" s="346">
        <f>ROW()</f>
        <v>55</v>
      </c>
      <c r="B55" s="33" t="s">
        <v>780</v>
      </c>
      <c r="C55" s="807">
        <v>2.5</v>
      </c>
      <c r="D55" s="307"/>
      <c r="E55" s="307" t="s">
        <v>781</v>
      </c>
      <c r="F55" s="307"/>
      <c r="G55" s="804">
        <v>0</v>
      </c>
      <c r="H55" s="33" t="s">
        <v>782</v>
      </c>
      <c r="M55" s="41"/>
      <c r="N55" s="343"/>
    </row>
    <row r="56" spans="1:14" ht="15" customHeight="1" outlineLevel="1" x14ac:dyDescent="0.25">
      <c r="A56" s="346">
        <f>ROW()</f>
        <v>56</v>
      </c>
      <c r="B56" s="33" t="s">
        <v>783</v>
      </c>
      <c r="C56" s="802">
        <v>0</v>
      </c>
      <c r="D56" s="307" t="s">
        <v>749</v>
      </c>
      <c r="E56" s="307" t="s">
        <v>784</v>
      </c>
      <c r="F56" s="307"/>
      <c r="G56" s="1430">
        <f>C60*(1-G55)</f>
        <v>0</v>
      </c>
      <c r="I56" s="49"/>
      <c r="J56" s="49"/>
      <c r="K56" s="49"/>
      <c r="L56" s="49"/>
      <c r="M56" s="41"/>
      <c r="N56" s="343"/>
    </row>
    <row r="57" spans="1:14" ht="15" customHeight="1" outlineLevel="1" x14ac:dyDescent="0.25">
      <c r="A57" s="346">
        <f>ROW()</f>
        <v>57</v>
      </c>
      <c r="B57" s="33" t="s">
        <v>785</v>
      </c>
      <c r="C57" s="1431">
        <f>C55*C56</f>
        <v>0</v>
      </c>
      <c r="D57" s="307"/>
      <c r="E57" s="307" t="s">
        <v>786</v>
      </c>
      <c r="F57" s="307"/>
      <c r="G57" s="806">
        <v>0</v>
      </c>
      <c r="H57" s="42"/>
      <c r="M57" s="41"/>
      <c r="N57" s="343"/>
    </row>
    <row r="58" spans="1:14" ht="15" customHeight="1" outlineLevel="1" x14ac:dyDescent="0.25">
      <c r="A58" s="346">
        <f>ROW()</f>
        <v>58</v>
      </c>
      <c r="B58" s="33" t="s">
        <v>787</v>
      </c>
      <c r="C58" s="802">
        <v>0</v>
      </c>
      <c r="D58" s="307" t="s">
        <v>749</v>
      </c>
      <c r="E58" s="307" t="s">
        <v>788</v>
      </c>
      <c r="F58" s="307"/>
      <c r="G58" s="806">
        <v>0</v>
      </c>
      <c r="H58" s="42"/>
      <c r="M58" s="41"/>
      <c r="N58" s="343"/>
    </row>
    <row r="59" spans="1:14" ht="15" customHeight="1" outlineLevel="1" x14ac:dyDescent="0.25">
      <c r="A59" s="346">
        <f>ROW()</f>
        <v>59</v>
      </c>
      <c r="B59" s="33" t="s">
        <v>789</v>
      </c>
      <c r="C59" s="1432">
        <f>C55*C58</f>
        <v>0</v>
      </c>
      <c r="D59" s="307"/>
      <c r="E59" s="307" t="s">
        <v>790</v>
      </c>
      <c r="F59" s="307"/>
      <c r="G59" s="805">
        <v>0</v>
      </c>
      <c r="M59" s="41"/>
      <c r="N59" s="343"/>
    </row>
    <row r="60" spans="1:14" ht="15" customHeight="1" outlineLevel="1" x14ac:dyDescent="0.25">
      <c r="A60" s="346">
        <f>ROW()</f>
        <v>60</v>
      </c>
      <c r="B60" s="31" t="s">
        <v>791</v>
      </c>
      <c r="C60" s="1430">
        <f>C57+C59</f>
        <v>0</v>
      </c>
      <c r="D60" s="307"/>
      <c r="E60" s="307"/>
      <c r="F60" s="307"/>
      <c r="G60" s="307"/>
      <c r="M60" s="41"/>
      <c r="N60" s="343"/>
    </row>
    <row r="61" spans="1:14" ht="15" customHeight="1" outlineLevel="1" x14ac:dyDescent="0.25">
      <c r="A61" s="346">
        <f>ROW()</f>
        <v>61</v>
      </c>
      <c r="B61" s="33" t="s">
        <v>792</v>
      </c>
      <c r="C61" s="307"/>
      <c r="D61" s="1433">
        <f>IFERROR(-PMT(G59/12,G57*12,G56,0,1),0)</f>
        <v>0</v>
      </c>
      <c r="E61" s="307"/>
      <c r="F61" s="307"/>
      <c r="G61" s="307"/>
      <c r="H61" s="42"/>
      <c r="I61" s="42"/>
      <c r="J61" s="42"/>
      <c r="K61" s="42"/>
      <c r="L61" s="42"/>
      <c r="M61" s="41"/>
      <c r="N61" s="343"/>
    </row>
    <row r="62" spans="1:14" ht="15" customHeight="1" outlineLevel="1" x14ac:dyDescent="0.25">
      <c r="A62" s="346">
        <f>ROW()</f>
        <v>62</v>
      </c>
      <c r="B62" s="33" t="s">
        <v>793</v>
      </c>
      <c r="C62" s="307"/>
      <c r="D62" s="1430">
        <f>D61*12</f>
        <v>0</v>
      </c>
      <c r="E62" s="1434"/>
      <c r="F62" s="1434"/>
      <c r="G62" s="1435">
        <f>+D62</f>
        <v>0</v>
      </c>
      <c r="H62" s="240">
        <f>IF(H7-$G$7&lt;$G$57,$D$62,0)</f>
        <v>0</v>
      </c>
      <c r="I62" s="240">
        <f>IF(I7-$G$7&lt;$G$57,$D$62,0)</f>
        <v>0</v>
      </c>
      <c r="J62" s="240">
        <f>IF(J7-$G$7&lt;$G$57,$D$62,0)</f>
        <v>0</v>
      </c>
      <c r="K62" s="240">
        <f>IF(K7-$G$7&lt;$G$57,$D$62,0)</f>
        <v>0</v>
      </c>
      <c r="L62" s="240">
        <f>IF(L7-$G$7&lt;$G$57,$D$62,0)</f>
        <v>0</v>
      </c>
      <c r="M62" s="41"/>
      <c r="N62" s="343"/>
    </row>
    <row r="63" spans="1:14" ht="15" customHeight="1" outlineLevel="1" x14ac:dyDescent="0.25">
      <c r="A63" s="346">
        <f>ROW()</f>
        <v>63</v>
      </c>
      <c r="B63" s="33" t="s">
        <v>794</v>
      </c>
      <c r="C63" s="307"/>
      <c r="D63" s="1430">
        <f>IFERROR((-PV(0.02,G57,0,((D62*G57)-G56),0))/G57,0)</f>
        <v>0</v>
      </c>
      <c r="E63" s="1434"/>
      <c r="F63" s="1434"/>
      <c r="G63" s="1436">
        <f>$D$63</f>
        <v>0</v>
      </c>
      <c r="H63" s="241">
        <f>IF(H7-$G$7&lt;$G$57,$D$63,0)</f>
        <v>0</v>
      </c>
      <c r="I63" s="241">
        <f>IF(I7-$G$7&lt;$G$57,$D$63,0)</f>
        <v>0</v>
      </c>
      <c r="J63" s="241">
        <f>IF(J7-$G$7&lt;$G$57,$D$63,0)</f>
        <v>0</v>
      </c>
      <c r="K63" s="241">
        <f>IF(K7-$G$7&lt;$G$57,$D$63,0)</f>
        <v>0</v>
      </c>
      <c r="L63" s="241">
        <f>IF(L7-$G$7&lt;$G$57,$D$63,0)</f>
        <v>0</v>
      </c>
      <c r="M63" s="41"/>
      <c r="N63" s="343"/>
    </row>
    <row r="64" spans="1:14" ht="15" customHeight="1" outlineLevel="1" x14ac:dyDescent="0.25">
      <c r="A64" s="346">
        <f>ROW()</f>
        <v>64</v>
      </c>
      <c r="B64" s="33" t="s">
        <v>795</v>
      </c>
      <c r="C64" s="307"/>
      <c r="D64" s="307"/>
      <c r="E64" s="307"/>
      <c r="F64" s="307"/>
      <c r="G64" s="1375"/>
      <c r="H64" s="51"/>
      <c r="I64" s="51"/>
      <c r="J64" s="51"/>
      <c r="K64" s="51"/>
      <c r="L64" s="51"/>
      <c r="M64" s="41"/>
      <c r="N64" s="343"/>
    </row>
    <row r="65" spans="1:14" ht="15" customHeight="1" outlineLevel="1" x14ac:dyDescent="0.25">
      <c r="A65" s="346">
        <f>ROW()</f>
        <v>65</v>
      </c>
      <c r="B65" s="33" t="s">
        <v>796</v>
      </c>
      <c r="C65" s="802">
        <v>0</v>
      </c>
      <c r="D65" s="307" t="s">
        <v>749</v>
      </c>
      <c r="E65" s="307"/>
      <c r="F65" s="307"/>
      <c r="G65" s="1388">
        <f t="shared" ref="G65:L65" si="22">$C$65*$C$55</f>
        <v>0</v>
      </c>
      <c r="H65" s="138">
        <f t="shared" si="22"/>
        <v>0</v>
      </c>
      <c r="I65" s="138">
        <f t="shared" si="22"/>
        <v>0</v>
      </c>
      <c r="J65" s="138">
        <f t="shared" si="22"/>
        <v>0</v>
      </c>
      <c r="K65" s="138">
        <f t="shared" si="22"/>
        <v>0</v>
      </c>
      <c r="L65" s="138">
        <f t="shared" si="22"/>
        <v>0</v>
      </c>
      <c r="M65" s="41"/>
      <c r="N65" s="343"/>
    </row>
    <row r="66" spans="1:14" ht="15" customHeight="1" outlineLevel="1" x14ac:dyDescent="0.25">
      <c r="A66" s="346">
        <f>ROW()</f>
        <v>66</v>
      </c>
      <c r="B66" s="33" t="s">
        <v>554</v>
      </c>
      <c r="C66" s="802">
        <v>0</v>
      </c>
      <c r="D66" s="307" t="s">
        <v>749</v>
      </c>
      <c r="E66" s="307"/>
      <c r="F66" s="307"/>
      <c r="G66" s="1388">
        <f t="shared" ref="G66:L66" si="23">$C$66*$C$55</f>
        <v>0</v>
      </c>
      <c r="H66" s="138">
        <f t="shared" si="23"/>
        <v>0</v>
      </c>
      <c r="I66" s="138">
        <f t="shared" si="23"/>
        <v>0</v>
      </c>
      <c r="J66" s="138">
        <f t="shared" si="23"/>
        <v>0</v>
      </c>
      <c r="K66" s="138">
        <f t="shared" si="23"/>
        <v>0</v>
      </c>
      <c r="L66" s="138">
        <f t="shared" si="23"/>
        <v>0</v>
      </c>
      <c r="M66" s="41"/>
      <c r="N66" s="343"/>
    </row>
    <row r="67" spans="1:14" ht="15" customHeight="1" outlineLevel="1" x14ac:dyDescent="0.25">
      <c r="A67" s="346">
        <f>ROW()</f>
        <v>67</v>
      </c>
      <c r="B67" s="33" t="s">
        <v>758</v>
      </c>
      <c r="C67" s="802">
        <v>0</v>
      </c>
      <c r="D67" s="307" t="s">
        <v>749</v>
      </c>
      <c r="E67" s="307"/>
      <c r="F67" s="307"/>
      <c r="G67" s="1388">
        <f t="shared" ref="G67:L67" si="24">$C$67*$C$55</f>
        <v>0</v>
      </c>
      <c r="H67" s="138">
        <f t="shared" si="24"/>
        <v>0</v>
      </c>
      <c r="I67" s="138">
        <f t="shared" si="24"/>
        <v>0</v>
      </c>
      <c r="J67" s="138">
        <f t="shared" si="24"/>
        <v>0</v>
      </c>
      <c r="K67" s="138">
        <f t="shared" si="24"/>
        <v>0</v>
      </c>
      <c r="L67" s="138">
        <f t="shared" si="24"/>
        <v>0</v>
      </c>
      <c r="M67" s="41"/>
      <c r="N67" s="343"/>
    </row>
    <row r="68" spans="1:14" ht="15" customHeight="1" outlineLevel="1" x14ac:dyDescent="0.25">
      <c r="A68" s="346">
        <f>ROW()</f>
        <v>68</v>
      </c>
      <c r="B68" s="33" t="s">
        <v>754</v>
      </c>
      <c r="C68" s="802">
        <v>0</v>
      </c>
      <c r="D68" s="307" t="s">
        <v>605</v>
      </c>
      <c r="E68" s="307"/>
      <c r="F68" s="307"/>
      <c r="G68" s="1388">
        <f t="shared" ref="G68:L68" si="25">$C$68</f>
        <v>0</v>
      </c>
      <c r="H68" s="138">
        <f t="shared" si="25"/>
        <v>0</v>
      </c>
      <c r="I68" s="138">
        <f t="shared" si="25"/>
        <v>0</v>
      </c>
      <c r="J68" s="138">
        <f t="shared" si="25"/>
        <v>0</v>
      </c>
      <c r="K68" s="138">
        <f t="shared" si="25"/>
        <v>0</v>
      </c>
      <c r="L68" s="138">
        <f t="shared" si="25"/>
        <v>0</v>
      </c>
      <c r="M68" s="41"/>
      <c r="N68" s="343"/>
    </row>
    <row r="69" spans="1:14" ht="15" customHeight="1" outlineLevel="1" x14ac:dyDescent="0.25">
      <c r="A69" s="346">
        <f>ROW()</f>
        <v>69</v>
      </c>
      <c r="B69" s="33" t="s">
        <v>797</v>
      </c>
      <c r="G69" s="138">
        <f>C57*G55</f>
        <v>0</v>
      </c>
      <c r="H69" s="138"/>
      <c r="I69" s="138"/>
      <c r="J69" s="138"/>
      <c r="K69" s="138"/>
      <c r="L69" s="138"/>
      <c r="M69" s="41"/>
      <c r="N69" s="343"/>
    </row>
    <row r="70" spans="1:14" ht="15" customHeight="1" outlineLevel="1" x14ac:dyDescent="0.25">
      <c r="A70" s="346">
        <f>ROW()</f>
        <v>70</v>
      </c>
      <c r="B70" s="33" t="s">
        <v>798</v>
      </c>
      <c r="G70" s="138"/>
      <c r="H70" s="138"/>
      <c r="I70" s="138"/>
      <c r="J70" s="138"/>
      <c r="K70" s="138"/>
      <c r="L70" s="138"/>
      <c r="M70" s="41"/>
      <c r="N70" s="343"/>
    </row>
    <row r="71" spans="1:14" ht="15" customHeight="1" outlineLevel="1" x14ac:dyDescent="0.25">
      <c r="A71" s="346">
        <f>ROW()</f>
        <v>71</v>
      </c>
      <c r="B71" s="127" t="s">
        <v>799</v>
      </c>
      <c r="C71" s="127"/>
      <c r="D71" s="127"/>
      <c r="E71" s="127"/>
      <c r="F71" s="1208"/>
      <c r="G71" s="634">
        <f t="shared" ref="G71:L71" si="26">SUM(G62:G70)-G63</f>
        <v>0</v>
      </c>
      <c r="H71" s="634">
        <f t="shared" si="26"/>
        <v>0</v>
      </c>
      <c r="I71" s="634">
        <f t="shared" si="26"/>
        <v>0</v>
      </c>
      <c r="J71" s="634">
        <f t="shared" si="26"/>
        <v>0</v>
      </c>
      <c r="K71" s="634">
        <f t="shared" si="26"/>
        <v>0</v>
      </c>
      <c r="L71" s="634">
        <f t="shared" si="26"/>
        <v>0</v>
      </c>
      <c r="M71" s="41"/>
      <c r="N71" s="343"/>
    </row>
    <row r="72" spans="1:14" ht="15" customHeight="1" outlineLevel="1" x14ac:dyDescent="0.25">
      <c r="A72" s="346">
        <f>ROW()</f>
        <v>72</v>
      </c>
      <c r="B72" s="31" t="s">
        <v>800</v>
      </c>
      <c r="C72" s="31"/>
      <c r="D72" s="31"/>
      <c r="E72" s="31"/>
      <c r="F72" s="155"/>
      <c r="G72" s="507">
        <f t="shared" ref="G72:L72" si="27">(($C$57+$C$59)/50)+G65+G66+G67+G68</f>
        <v>0</v>
      </c>
      <c r="H72" s="507">
        <f t="shared" si="27"/>
        <v>0</v>
      </c>
      <c r="I72" s="507">
        <f t="shared" si="27"/>
        <v>0</v>
      </c>
      <c r="J72" s="507">
        <f t="shared" si="27"/>
        <v>0</v>
      </c>
      <c r="K72" s="507">
        <f t="shared" si="27"/>
        <v>0</v>
      </c>
      <c r="L72" s="507">
        <f t="shared" si="27"/>
        <v>0</v>
      </c>
      <c r="M72" s="41"/>
      <c r="N72" s="343"/>
    </row>
    <row r="73" spans="1:14" outlineLevel="1" x14ac:dyDescent="0.25">
      <c r="A73" s="346">
        <f>ROW()</f>
        <v>73</v>
      </c>
      <c r="G73" s="503"/>
      <c r="H73" s="508"/>
      <c r="I73" s="508"/>
      <c r="J73" s="508"/>
      <c r="K73" s="508"/>
      <c r="L73" s="508"/>
      <c r="M73" s="41"/>
      <c r="N73" s="343"/>
    </row>
    <row r="74" spans="1:14" outlineLevel="1" x14ac:dyDescent="0.25">
      <c r="A74" s="346">
        <f>ROW()</f>
        <v>74</v>
      </c>
      <c r="B74" s="523" t="s">
        <v>801</v>
      </c>
      <c r="C74" s="524"/>
      <c r="D74" s="524"/>
      <c r="E74" s="525">
        <f>SUM(F74:L74)</f>
        <v>11206558.281661544</v>
      </c>
      <c r="F74" s="526">
        <f t="shared" ref="F74:L75" si="28">IF($C$7="Lease",F41,F71)</f>
        <v>1142424.0000000002</v>
      </c>
      <c r="G74" s="526">
        <f t="shared" si="28"/>
        <v>1588168.5980000002</v>
      </c>
      <c r="H74" s="526">
        <f t="shared" si="28"/>
        <v>1622441.3180000002</v>
      </c>
      <c r="I74" s="526">
        <f t="shared" si="28"/>
        <v>1657742.2196000002</v>
      </c>
      <c r="J74" s="526">
        <f t="shared" si="28"/>
        <v>1694102.1482480003</v>
      </c>
      <c r="K74" s="526">
        <f t="shared" si="28"/>
        <v>1731552.8747554405</v>
      </c>
      <c r="L74" s="526">
        <f t="shared" si="28"/>
        <v>1770127.1230581037</v>
      </c>
      <c r="M74" s="41"/>
      <c r="N74" s="343"/>
    </row>
    <row r="75" spans="1:14" outlineLevel="1" x14ac:dyDescent="0.25">
      <c r="A75" s="346">
        <f>ROW()</f>
        <v>75</v>
      </c>
      <c r="B75" s="518" t="s">
        <v>802</v>
      </c>
      <c r="C75" s="519"/>
      <c r="D75" s="519"/>
      <c r="E75" s="520">
        <f>SUM(F75:L75)</f>
        <v>11206558.281661544</v>
      </c>
      <c r="F75" s="522">
        <f t="shared" si="28"/>
        <v>1142424.0000000002</v>
      </c>
      <c r="G75" s="522">
        <f t="shared" si="28"/>
        <v>1588168.5980000002</v>
      </c>
      <c r="H75" s="521">
        <f t="shared" si="28"/>
        <v>1622441.3180000002</v>
      </c>
      <c r="I75" s="521">
        <f t="shared" si="28"/>
        <v>1657742.2196000002</v>
      </c>
      <c r="J75" s="521">
        <f t="shared" si="28"/>
        <v>1694102.1482480003</v>
      </c>
      <c r="K75" s="521">
        <f t="shared" si="28"/>
        <v>1731552.8747554405</v>
      </c>
      <c r="L75" s="521">
        <f t="shared" si="28"/>
        <v>1770127.1230581037</v>
      </c>
      <c r="M75" s="41"/>
      <c r="N75" s="343"/>
    </row>
    <row r="76" spans="1:14" x14ac:dyDescent="0.25">
      <c r="A76" s="346">
        <f>ROW()</f>
        <v>76</v>
      </c>
      <c r="B76" s="523" t="str">
        <f>IF(C7="Lease",$B$42,B75)</f>
        <v>Total lease book expense (shown on Summary tab)</v>
      </c>
      <c r="C76" s="524"/>
      <c r="D76" s="524"/>
      <c r="E76" s="728">
        <f>SUM(F76:L76)</f>
        <v>11206558.281661544</v>
      </c>
      <c r="F76" s="526">
        <f t="shared" ref="F76:L76" si="29">IF($C$7="Lease",F42,F72)</f>
        <v>1142424.0000000002</v>
      </c>
      <c r="G76" s="526">
        <f t="shared" si="29"/>
        <v>1588168.5980000002</v>
      </c>
      <c r="H76" s="526">
        <f t="shared" si="29"/>
        <v>1622441.3180000002</v>
      </c>
      <c r="I76" s="526">
        <f t="shared" si="29"/>
        <v>1657742.2196000002</v>
      </c>
      <c r="J76" s="526">
        <f t="shared" si="29"/>
        <v>1694102.1482480003</v>
      </c>
      <c r="K76" s="526">
        <f t="shared" si="29"/>
        <v>1731552.8747554405</v>
      </c>
      <c r="L76" s="526">
        <f t="shared" si="29"/>
        <v>1770127.1230581037</v>
      </c>
      <c r="M76" s="41"/>
      <c r="N76" s="343"/>
    </row>
    <row r="77" spans="1:14" x14ac:dyDescent="0.25">
      <c r="A77" s="346">
        <f>ROW()</f>
        <v>77</v>
      </c>
      <c r="B77" s="33" t="s">
        <v>803</v>
      </c>
      <c r="E77" s="503"/>
      <c r="F77" s="509">
        <f t="shared" ref="F77:L77" si="30">+F76-F74</f>
        <v>0</v>
      </c>
      <c r="G77" s="509">
        <f t="shared" si="30"/>
        <v>0</v>
      </c>
      <c r="H77" s="509">
        <f t="shared" si="30"/>
        <v>0</v>
      </c>
      <c r="I77" s="509">
        <f t="shared" si="30"/>
        <v>0</v>
      </c>
      <c r="J77" s="509">
        <f t="shared" si="30"/>
        <v>0</v>
      </c>
      <c r="K77" s="509">
        <f t="shared" si="30"/>
        <v>0</v>
      </c>
      <c r="L77" s="509">
        <f t="shared" si="30"/>
        <v>0</v>
      </c>
      <c r="N77" s="343"/>
    </row>
    <row r="78" spans="1:14" x14ac:dyDescent="0.25">
      <c r="A78" s="346">
        <f>ROW()</f>
        <v>78</v>
      </c>
      <c r="F78" s="179"/>
      <c r="G78" s="179"/>
      <c r="H78" s="179"/>
      <c r="I78" s="179"/>
      <c r="J78" s="179"/>
      <c r="K78" s="179"/>
      <c r="L78" s="179"/>
      <c r="N78" s="343"/>
    </row>
    <row r="79" spans="1:14" x14ac:dyDescent="0.25">
      <c r="A79" s="346">
        <f>ROW()</f>
        <v>79</v>
      </c>
      <c r="F79" s="57">
        <f>Levers!C6</f>
        <v>0</v>
      </c>
      <c r="G79" s="516">
        <f>Levers!D6</f>
        <v>1</v>
      </c>
      <c r="H79" s="516">
        <f>Levers!E6</f>
        <v>2</v>
      </c>
      <c r="I79" s="516">
        <f>Levers!F6</f>
        <v>3</v>
      </c>
      <c r="J79" s="516">
        <f>Levers!G6</f>
        <v>4</v>
      </c>
      <c r="K79" s="516">
        <f>Levers!H6</f>
        <v>5</v>
      </c>
      <c r="L79" s="516">
        <f>Levers!I6</f>
        <v>6</v>
      </c>
      <c r="N79" s="343"/>
    </row>
    <row r="80" spans="1:14" ht="15.75" x14ac:dyDescent="0.25">
      <c r="A80" s="346">
        <f>ROW()</f>
        <v>80</v>
      </c>
      <c r="F80" s="729">
        <f>Levers!C7</f>
        <v>2024</v>
      </c>
      <c r="G80" s="730">
        <f>Levers!D7</f>
        <v>2025</v>
      </c>
      <c r="H80" s="731">
        <f>Levers!E7</f>
        <v>2026</v>
      </c>
      <c r="I80" s="731">
        <f>Levers!F7</f>
        <v>2027</v>
      </c>
      <c r="J80" s="731">
        <f>Levers!G7</f>
        <v>2028</v>
      </c>
      <c r="K80" s="731">
        <f>Levers!H7</f>
        <v>2029</v>
      </c>
      <c r="L80" s="732">
        <f>Levers!I7</f>
        <v>2030</v>
      </c>
      <c r="N80" s="343"/>
    </row>
    <row r="81" spans="1:14" ht="15.75" x14ac:dyDescent="0.25">
      <c r="A81" s="346">
        <f>ROW()</f>
        <v>81</v>
      </c>
      <c r="B81" s="292"/>
      <c r="E81" s="515" t="str">
        <f>Levers!B8</f>
        <v>Totals</v>
      </c>
      <c r="F81" s="733">
        <f>Levers!C8</f>
        <v>2025</v>
      </c>
      <c r="G81" s="734">
        <f>Levers!D8</f>
        <v>2026</v>
      </c>
      <c r="H81" s="735">
        <f>Levers!E8</f>
        <v>2027</v>
      </c>
      <c r="I81" s="735">
        <f>Levers!F8</f>
        <v>2028</v>
      </c>
      <c r="J81" s="735">
        <f>Levers!G8</f>
        <v>2029</v>
      </c>
      <c r="K81" s="735">
        <f>Levers!H8</f>
        <v>2030</v>
      </c>
      <c r="L81" s="736">
        <f>Levers!I8</f>
        <v>2031</v>
      </c>
      <c r="N81" s="343"/>
    </row>
    <row r="82" spans="1:14" ht="15.75" x14ac:dyDescent="0.25">
      <c r="A82" s="346">
        <f>ROW()</f>
        <v>82</v>
      </c>
      <c r="B82" s="482" t="str">
        <f>Levers!A9</f>
        <v>Total Enrollment</v>
      </c>
      <c r="E82" s="737">
        <f>Levers!B9</f>
        <v>13920.12</v>
      </c>
      <c r="F82" s="738" t="str">
        <f>Levers!C9</f>
        <v xml:space="preserve"> </v>
      </c>
      <c r="G82" s="737">
        <f>Levers!D9</f>
        <v>2320.02</v>
      </c>
      <c r="H82" s="737">
        <f>Levers!E9</f>
        <v>2320.02</v>
      </c>
      <c r="I82" s="737">
        <f>Levers!F9</f>
        <v>2320.02</v>
      </c>
      <c r="J82" s="737">
        <f>Levers!G9</f>
        <v>2320.02</v>
      </c>
      <c r="K82" s="737">
        <f>Levers!H9</f>
        <v>2320.02</v>
      </c>
      <c r="L82" s="737">
        <f>Levers!I9</f>
        <v>2320.02</v>
      </c>
      <c r="N82" s="343"/>
    </row>
    <row r="83" spans="1:14" ht="15.75" x14ac:dyDescent="0.25">
      <c r="A83" s="346">
        <f>ROW()</f>
        <v>83</v>
      </c>
      <c r="B83" s="483" t="str">
        <f>Levers!A10</f>
        <v>Total Revenue</v>
      </c>
      <c r="E83" s="465">
        <f>Levers!B10</f>
        <v>165268520.73033231</v>
      </c>
      <c r="F83" s="465">
        <f>Levers!C10</f>
        <v>3345500</v>
      </c>
      <c r="G83" s="465">
        <f>Levers!D10</f>
        <v>26987576.88896</v>
      </c>
      <c r="H83" s="465">
        <f>Levers!E10</f>
        <v>26987088.768274467</v>
      </c>
      <c r="I83" s="465">
        <f>Levers!F10</f>
        <v>26987088.768274467</v>
      </c>
      <c r="J83" s="465">
        <f>Levers!G10</f>
        <v>26987088.768274467</v>
      </c>
      <c r="K83" s="465">
        <f>Levers!H10</f>
        <v>26987088.768274467</v>
      </c>
      <c r="L83" s="465">
        <f>Levers!I10</f>
        <v>26987088.768274467</v>
      </c>
      <c r="N83" s="343"/>
    </row>
    <row r="84" spans="1:14" ht="15.75" x14ac:dyDescent="0.25">
      <c r="A84" s="346">
        <f>ROW()</f>
        <v>84</v>
      </c>
      <c r="B84" s="483" t="str">
        <f>Levers!A11</f>
        <v>Rev per student</v>
      </c>
      <c r="E84" s="465">
        <f>Levers!B11</f>
        <v>11872.636207901391</v>
      </c>
      <c r="F84" s="465"/>
      <c r="G84" s="465">
        <f>Levers!D11</f>
        <v>11632.475965276162</v>
      </c>
      <c r="H84" s="465">
        <f>Levers!E11</f>
        <v>11632.2655702427</v>
      </c>
      <c r="I84" s="465">
        <f>Levers!F11</f>
        <v>11632.2655702427</v>
      </c>
      <c r="J84" s="465">
        <f>Levers!G11</f>
        <v>11632.2655702427</v>
      </c>
      <c r="K84" s="465">
        <f>Levers!H11</f>
        <v>11632.2655702427</v>
      </c>
      <c r="L84" s="465">
        <f>Levers!I11</f>
        <v>11632.2655702427</v>
      </c>
      <c r="N84" s="343"/>
    </row>
    <row r="85" spans="1:14" ht="15.75" x14ac:dyDescent="0.25">
      <c r="A85" s="346">
        <f>ROW()</f>
        <v>85</v>
      </c>
      <c r="B85" s="483" t="str">
        <f>Levers!A20</f>
        <v>Total Facilities</v>
      </c>
      <c r="E85" s="465">
        <f>Levers!B20</f>
        <v>11206558.281661544</v>
      </c>
      <c r="F85" s="465">
        <f>Levers!C20</f>
        <v>1142424.0000000002</v>
      </c>
      <c r="G85" s="465">
        <f>Levers!D20</f>
        <v>1588168.5980000002</v>
      </c>
      <c r="H85" s="465">
        <f>Levers!E20</f>
        <v>1622441.3180000002</v>
      </c>
      <c r="I85" s="465">
        <f>Levers!F20</f>
        <v>1657742.2196000002</v>
      </c>
      <c r="J85" s="465">
        <f>Levers!G20</f>
        <v>1694102.1482480003</v>
      </c>
      <c r="K85" s="465">
        <f>Levers!H20</f>
        <v>1731552.8747554405</v>
      </c>
      <c r="L85" s="465">
        <f>Levers!I20</f>
        <v>1770127.1230581037</v>
      </c>
      <c r="N85" s="343"/>
    </row>
    <row r="86" spans="1:14" ht="15.75" x14ac:dyDescent="0.25">
      <c r="A86" s="346">
        <f>ROW()</f>
        <v>86</v>
      </c>
      <c r="B86" s="483" t="str">
        <f>Levers!A21</f>
        <v>Facilities per Student</v>
      </c>
      <c r="E86" s="465">
        <f>Levers!B21</f>
        <v>805.06190188457742</v>
      </c>
      <c r="F86" s="465"/>
      <c r="G86" s="465">
        <f>Levers!D21</f>
        <v>684.54952888337175</v>
      </c>
      <c r="H86" s="465">
        <f>Levers!E21</f>
        <v>699.32212567133047</v>
      </c>
      <c r="I86" s="465">
        <f>Levers!F21</f>
        <v>714.53790036292799</v>
      </c>
      <c r="J86" s="465">
        <f>Levers!G21</f>
        <v>730.21014829527348</v>
      </c>
      <c r="K86" s="465">
        <f>Levers!H21</f>
        <v>746.35256366558929</v>
      </c>
      <c r="L86" s="465">
        <f>Levers!I21</f>
        <v>762.97925149701462</v>
      </c>
      <c r="N86" s="343"/>
    </row>
    <row r="87" spans="1:14" ht="15.75" x14ac:dyDescent="0.25">
      <c r="A87" s="346">
        <f>ROW()</f>
        <v>87</v>
      </c>
      <c r="B87" s="483" t="str">
        <f>Levers!A22</f>
        <v>Net Surplus after Facilities</v>
      </c>
      <c r="E87" s="465">
        <f>Levers!B22</f>
        <v>154061962.44867077</v>
      </c>
      <c r="F87" s="465">
        <f>Levers!C22</f>
        <v>2203076</v>
      </c>
      <c r="G87" s="465">
        <f>Levers!D22</f>
        <v>25399408.290959999</v>
      </c>
      <c r="H87" s="465">
        <f>Levers!E22</f>
        <v>25364647.450274467</v>
      </c>
      <c r="I87" s="465">
        <f>Levers!F22</f>
        <v>25329346.548674468</v>
      </c>
      <c r="J87" s="465">
        <f>Levers!G22</f>
        <v>25292986.620026466</v>
      </c>
      <c r="K87" s="465">
        <f>Levers!H22</f>
        <v>25255535.893519025</v>
      </c>
      <c r="L87" s="465">
        <f>Levers!I22</f>
        <v>25216961.645216364</v>
      </c>
      <c r="N87" s="343"/>
    </row>
    <row r="88" spans="1:14" x14ac:dyDescent="0.25">
      <c r="A88" s="346">
        <f>ROW()</f>
        <v>88</v>
      </c>
      <c r="B88" s="33" t="str">
        <f>Levers!A23</f>
        <v>Net Surplus after Facilities per Student</v>
      </c>
      <c r="E88" s="466">
        <f>Levers!B23</f>
        <v>11067.574306016813</v>
      </c>
      <c r="F88" s="466"/>
      <c r="G88" s="466">
        <f>Levers!D23</f>
        <v>10947.926436392789</v>
      </c>
      <c r="H88" s="466">
        <f>Levers!E23</f>
        <v>10932.943444571369</v>
      </c>
      <c r="I88" s="466">
        <f>Levers!F23</f>
        <v>10917.727669879772</v>
      </c>
      <c r="J88" s="466">
        <f>Levers!G23</f>
        <v>10902.055421947425</v>
      </c>
      <c r="K88" s="466">
        <f>Levers!H23</f>
        <v>10885.91300657711</v>
      </c>
      <c r="L88" s="466">
        <f>Levers!I23</f>
        <v>10869.286318745686</v>
      </c>
      <c r="N88" s="343"/>
    </row>
    <row r="89" spans="1:14" x14ac:dyDescent="0.25">
      <c r="A89" s="346">
        <f>ROW()</f>
        <v>89</v>
      </c>
      <c r="B89" s="33" t="s">
        <v>597</v>
      </c>
      <c r="E89" s="466">
        <f>Levers!B38</f>
        <v>-15495261.666420124</v>
      </c>
      <c r="F89" s="466">
        <f>Levers!C38</f>
        <v>-20352722.721774668</v>
      </c>
      <c r="G89" s="466">
        <f>Levers!D38</f>
        <v>1450817.99962283</v>
      </c>
      <c r="H89" s="466">
        <f>Levers!E38</f>
        <v>1204748.8206879236</v>
      </c>
      <c r="I89" s="466">
        <f>Levers!F38</f>
        <v>950756.07545906678</v>
      </c>
      <c r="J89" s="466">
        <f>Levers!G38</f>
        <v>689160.52553670504</v>
      </c>
      <c r="K89" s="466">
        <f>Levers!H38</f>
        <v>419734.42633329995</v>
      </c>
      <c r="L89" s="466">
        <f>Levers!I38</f>
        <v>142243.20771475136</v>
      </c>
      <c r="N89" s="343"/>
    </row>
    <row r="90" spans="1:14" x14ac:dyDescent="0.25">
      <c r="A90" s="346">
        <f>ROW()</f>
        <v>90</v>
      </c>
      <c r="B90" s="43" t="s">
        <v>598</v>
      </c>
      <c r="E90" s="466">
        <f>Levers!B39</f>
        <v>-1113.1557534288586</v>
      </c>
      <c r="F90" s="466"/>
      <c r="G90" s="466">
        <f>Levers!D39</f>
        <v>625.34719512022741</v>
      </c>
      <c r="H90" s="466">
        <f>Levers!E39</f>
        <v>519.28380819472397</v>
      </c>
      <c r="I90" s="466">
        <f>Levers!F39</f>
        <v>409.80512041235284</v>
      </c>
      <c r="J90" s="466">
        <f>Levers!G39</f>
        <v>297.04938989177037</v>
      </c>
      <c r="K90" s="466">
        <f>Levers!H39</f>
        <v>180.91845170873526</v>
      </c>
      <c r="L90" s="466">
        <f>Levers!I39</f>
        <v>61.311198918436638</v>
      </c>
      <c r="N90" s="343"/>
    </row>
    <row r="91" spans="1:14" x14ac:dyDescent="0.25">
      <c r="A91" s="346">
        <f>ROW()</f>
        <v>91</v>
      </c>
      <c r="N91" s="343"/>
    </row>
    <row r="92" spans="1:14" x14ac:dyDescent="0.25">
      <c r="A92" s="346">
        <f>ROW()</f>
        <v>92</v>
      </c>
      <c r="B92" s="63" t="s">
        <v>804</v>
      </c>
      <c r="C92" s="63"/>
      <c r="D92" s="63"/>
      <c r="E92" s="63"/>
      <c r="F92" s="63" t="s">
        <v>805</v>
      </c>
      <c r="G92" s="517" t="s">
        <v>806</v>
      </c>
      <c r="H92" s="517" t="s">
        <v>807</v>
      </c>
      <c r="I92" s="517" t="s">
        <v>808</v>
      </c>
      <c r="J92" s="517" t="s">
        <v>809</v>
      </c>
      <c r="K92" s="517" t="s">
        <v>810</v>
      </c>
      <c r="L92" s="517" t="s">
        <v>811</v>
      </c>
      <c r="N92" s="343"/>
    </row>
    <row r="93" spans="1:14" x14ac:dyDescent="0.25">
      <c r="A93" s="346">
        <f>ROW()</f>
        <v>93</v>
      </c>
      <c r="B93" s="33" t="s">
        <v>812</v>
      </c>
      <c r="G93" s="50">
        <f t="shared" ref="G93:L93" si="31">IF($C$7="lease",G11,$C$55)</f>
        <v>47424</v>
      </c>
      <c r="H93" s="50">
        <f t="shared" si="31"/>
        <v>47424</v>
      </c>
      <c r="I93" s="50">
        <f t="shared" si="31"/>
        <v>47424</v>
      </c>
      <c r="J93" s="50">
        <f t="shared" si="31"/>
        <v>47424</v>
      </c>
      <c r="K93" s="50">
        <f t="shared" si="31"/>
        <v>47424</v>
      </c>
      <c r="L93" s="50">
        <f t="shared" si="31"/>
        <v>47424</v>
      </c>
      <c r="N93" s="343"/>
    </row>
    <row r="94" spans="1:14" x14ac:dyDescent="0.25">
      <c r="A94" s="346">
        <f>ROW()</f>
        <v>94</v>
      </c>
      <c r="B94" s="12" t="s">
        <v>552</v>
      </c>
      <c r="G94" s="50">
        <f t="shared" ref="G94:L94" si="32">IF($C$7="lease",G23,G62)</f>
        <v>1142424.0000000002</v>
      </c>
      <c r="H94" s="50">
        <f t="shared" si="32"/>
        <v>1176696.7200000002</v>
      </c>
      <c r="I94" s="50">
        <f t="shared" si="32"/>
        <v>1211997.6216000002</v>
      </c>
      <c r="J94" s="50">
        <f t="shared" si="32"/>
        <v>1248357.5502480003</v>
      </c>
      <c r="K94" s="50">
        <f t="shared" si="32"/>
        <v>1285808.2767554405</v>
      </c>
      <c r="L94" s="50">
        <f t="shared" si="32"/>
        <v>1324382.5250581037</v>
      </c>
      <c r="N94" s="343"/>
    </row>
    <row r="95" spans="1:14" x14ac:dyDescent="0.25">
      <c r="A95" s="346">
        <f>ROW()</f>
        <v>95</v>
      </c>
      <c r="B95" s="12" t="s">
        <v>553</v>
      </c>
      <c r="G95" s="50">
        <f t="shared" ref="G95:L97" si="33">IF($C$7="lease",G25,G65)</f>
        <v>88000</v>
      </c>
      <c r="H95" s="50">
        <f t="shared" si="33"/>
        <v>88000</v>
      </c>
      <c r="I95" s="50">
        <f t="shared" si="33"/>
        <v>88000</v>
      </c>
      <c r="J95" s="50">
        <f t="shared" si="33"/>
        <v>88000</v>
      </c>
      <c r="K95" s="50">
        <f t="shared" si="33"/>
        <v>88000</v>
      </c>
      <c r="L95" s="50">
        <f t="shared" si="33"/>
        <v>88000</v>
      </c>
      <c r="N95" s="343"/>
    </row>
    <row r="96" spans="1:14" x14ac:dyDescent="0.25">
      <c r="A96" s="346">
        <f>ROW()</f>
        <v>96</v>
      </c>
      <c r="B96" s="12" t="s">
        <v>554</v>
      </c>
      <c r="G96" s="50">
        <f t="shared" si="33"/>
        <v>90000</v>
      </c>
      <c r="H96" s="50">
        <f t="shared" si="33"/>
        <v>90000</v>
      </c>
      <c r="I96" s="50">
        <f t="shared" si="33"/>
        <v>90000</v>
      </c>
      <c r="J96" s="50">
        <f t="shared" si="33"/>
        <v>90000</v>
      </c>
      <c r="K96" s="50">
        <f t="shared" si="33"/>
        <v>90000</v>
      </c>
      <c r="L96" s="50">
        <f t="shared" si="33"/>
        <v>90000</v>
      </c>
      <c r="N96" s="343"/>
    </row>
    <row r="97" spans="1:14" x14ac:dyDescent="0.25">
      <c r="A97" s="346">
        <f>ROW()</f>
        <v>97</v>
      </c>
      <c r="B97" s="116" t="s">
        <v>555</v>
      </c>
      <c r="G97" s="50">
        <f t="shared" si="33"/>
        <v>91296.000000000073</v>
      </c>
      <c r="H97" s="50">
        <f t="shared" si="33"/>
        <v>91296.000000000073</v>
      </c>
      <c r="I97" s="50">
        <f t="shared" si="33"/>
        <v>91296.000000000073</v>
      </c>
      <c r="J97" s="50">
        <f t="shared" si="33"/>
        <v>91296.000000000073</v>
      </c>
      <c r="K97" s="50">
        <f t="shared" si="33"/>
        <v>91296.000000000073</v>
      </c>
      <c r="L97" s="50">
        <f t="shared" si="33"/>
        <v>91296.000000000073</v>
      </c>
      <c r="N97" s="343"/>
    </row>
    <row r="98" spans="1:14" x14ac:dyDescent="0.25">
      <c r="A98" s="346">
        <f>ROW()</f>
        <v>98</v>
      </c>
      <c r="B98" s="116" t="s">
        <v>556</v>
      </c>
      <c r="G98" s="50">
        <f t="shared" ref="G98:L98" si="34">IF($C$7="lease",G29,G68)</f>
        <v>0</v>
      </c>
      <c r="H98" s="50">
        <f t="shared" si="34"/>
        <v>0</v>
      </c>
      <c r="I98" s="50">
        <f t="shared" si="34"/>
        <v>0</v>
      </c>
      <c r="J98" s="50">
        <f t="shared" si="34"/>
        <v>0</v>
      </c>
      <c r="K98" s="50">
        <f t="shared" si="34"/>
        <v>0</v>
      </c>
      <c r="L98" s="50">
        <f t="shared" si="34"/>
        <v>0</v>
      </c>
      <c r="N98" s="343"/>
    </row>
    <row r="99" spans="1:14" x14ac:dyDescent="0.25">
      <c r="A99" s="346">
        <f>ROW()</f>
        <v>99</v>
      </c>
      <c r="B99" s="116" t="s">
        <v>557</v>
      </c>
      <c r="G99" s="50">
        <f t="shared" ref="G99:L99" si="35">IF($C$7="lease",G35,0)</f>
        <v>0</v>
      </c>
      <c r="H99" s="50">
        <f t="shared" si="35"/>
        <v>0</v>
      </c>
      <c r="I99" s="50">
        <f t="shared" si="35"/>
        <v>0</v>
      </c>
      <c r="J99" s="50">
        <f t="shared" si="35"/>
        <v>0</v>
      </c>
      <c r="K99" s="50">
        <f t="shared" si="35"/>
        <v>0</v>
      </c>
      <c r="L99" s="50">
        <f t="shared" si="35"/>
        <v>0</v>
      </c>
      <c r="N99" s="343"/>
    </row>
    <row r="100" spans="1:14" x14ac:dyDescent="0.25">
      <c r="A100" s="346">
        <f>ROW()</f>
        <v>100</v>
      </c>
      <c r="B100" s="116" t="s">
        <v>521</v>
      </c>
      <c r="G100" s="50">
        <f t="shared" ref="G100:L100" si="36">IF($C$7="lease",G34,0)</f>
        <v>0</v>
      </c>
      <c r="H100" s="50">
        <f t="shared" si="36"/>
        <v>0</v>
      </c>
      <c r="I100" s="50">
        <f t="shared" si="36"/>
        <v>0</v>
      </c>
      <c r="J100" s="50">
        <f t="shared" si="36"/>
        <v>0</v>
      </c>
      <c r="K100" s="50">
        <f t="shared" si="36"/>
        <v>0</v>
      </c>
      <c r="L100" s="50">
        <f t="shared" si="36"/>
        <v>0</v>
      </c>
      <c r="N100" s="343"/>
    </row>
    <row r="101" spans="1:14" x14ac:dyDescent="0.25">
      <c r="A101" s="346"/>
      <c r="B101" s="116"/>
      <c r="N101" s="343"/>
    </row>
    <row r="103" spans="1:14" x14ac:dyDescent="0.25">
      <c r="M103"/>
    </row>
    <row r="104" spans="1:14" x14ac:dyDescent="0.25">
      <c r="M104" s="2"/>
    </row>
  </sheetData>
  <sheetProtection algorithmName="SHA-512" hashValue="inZQY/K6yKbxCQPuEvUiXTVGxL15ITuNtHDyZzLAG557Al/IsCk5vit5i424HzizjySwDHrYdPi7DyeYSCsSUg==" saltValue="QW4tLV4bGhsKK4Qv4nuBHg==" spinCount="100000" sheet="1" objects="1" scenarios="1"/>
  <mergeCells count="2">
    <mergeCell ref="G2:K2"/>
    <mergeCell ref="G3:K3"/>
  </mergeCells>
  <conditionalFormatting sqref="D1">
    <cfRule type="expression" dxfId="29" priority="3" stopIfTrue="1">
      <formula>MOD(ROW(),2)=0</formula>
    </cfRule>
  </conditionalFormatting>
  <conditionalFormatting sqref="F71:F72">
    <cfRule type="cellIs" dxfId="28" priority="8" stopIfTrue="1" operator="equal">
      <formula>0</formula>
    </cfRule>
  </conditionalFormatting>
  <conditionalFormatting sqref="G57">
    <cfRule type="expression" dxfId="27"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Z1:Z6">
    <cfRule type="cellIs" dxfId="26" priority="2" stopIfTrue="1" operator="equal">
      <formula>0</formula>
    </cfRule>
  </conditionalFormatting>
  <hyperlinks>
    <hyperlink ref="D1" location="HypLink1" display="HypLink1" xr:uid="{BFB53349-EB52-4EAC-873C-1948591BA618}"/>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3" max="11"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7996-F215-40F2-8028-B50CD1B7968C}">
  <sheetPr codeName="Sheet18">
    <tabColor rgb="FFFFFF00"/>
    <pageSetUpPr fitToPage="1"/>
  </sheetPr>
  <dimension ref="A1:R200"/>
  <sheetViews>
    <sheetView topLeftCell="A12" workbookViewId="0">
      <selection activeCell="R16" sqref="R16"/>
    </sheetView>
  </sheetViews>
  <sheetFormatPr defaultColWidth="8.7109375" defaultRowHeight="15" x14ac:dyDescent="0.25"/>
  <cols>
    <col min="1" max="1" width="8.28515625" style="33" customWidth="1"/>
    <col min="2" max="2" width="47.7109375" style="33" customWidth="1"/>
    <col min="3" max="3" width="17.7109375" style="33" customWidth="1"/>
    <col min="4" max="4" width="9" style="33" customWidth="1"/>
    <col min="5" max="5" width="8.7109375" style="33" customWidth="1"/>
    <col min="6" max="6" width="15.28515625" style="33" customWidth="1"/>
    <col min="7" max="7" width="16.28515625" style="33" customWidth="1"/>
    <col min="8" max="9" width="21" style="33" customWidth="1"/>
    <col min="10" max="12" width="17" style="33" customWidth="1"/>
    <col min="13" max="16" width="1.28515625" style="33" customWidth="1"/>
    <col min="17" max="17" width="0.42578125" style="33" customWidth="1"/>
    <col min="18" max="18" width="88.7109375" style="307" customWidth="1"/>
    <col min="19" max="19" width="10.7109375" style="33" customWidth="1"/>
    <col min="20" max="20" width="3.7109375" style="33" customWidth="1"/>
    <col min="21" max="21" width="6.28515625" style="33" customWidth="1"/>
    <col min="22" max="22" width="6" style="33" customWidth="1"/>
    <col min="23" max="23" width="5.28515625" style="33" customWidth="1"/>
    <col min="24" max="24" width="6.5703125" style="33" customWidth="1"/>
    <col min="25" max="25" width="17.28515625" style="33" customWidth="1"/>
    <col min="26" max="16384" width="8.7109375" style="33"/>
  </cols>
  <sheetData>
    <row r="1" spans="1:18" ht="18" x14ac:dyDescent="0.25">
      <c r="A1" s="123" t="s">
        <v>813</v>
      </c>
      <c r="B1" s="35"/>
      <c r="D1" s="408" t="s">
        <v>3</v>
      </c>
      <c r="P1" s="36"/>
    </row>
    <row r="2" spans="1:18" ht="15.75" x14ac:dyDescent="0.25">
      <c r="A2" s="114" t="str">
        <f>SchoolName</f>
        <v>Odyssey Charter School</v>
      </c>
      <c r="B2" s="38"/>
    </row>
    <row r="3" spans="1:18" x14ac:dyDescent="0.25">
      <c r="A3" s="39" t="s">
        <v>80</v>
      </c>
      <c r="K3" s="31"/>
    </row>
    <row r="4" spans="1:18" x14ac:dyDescent="0.25">
      <c r="A4" s="40" t="s">
        <v>81</v>
      </c>
    </row>
    <row r="5" spans="1:18" x14ac:dyDescent="0.25">
      <c r="A5" s="30" t="str">
        <f ca="1">CELL("filename")</f>
        <v>\\lvraiders\users\sguthrie\Documents\Charter\Change of Sponsorship\[240126-SPCSA-Odyssey Charter School Application Workbook-AS-IS-Original Version.xlsx]Instructions</v>
      </c>
    </row>
    <row r="6" spans="1:18" ht="15.75" x14ac:dyDescent="0.25">
      <c r="A6" s="64"/>
      <c r="D6" s="65" t="s">
        <v>341</v>
      </c>
      <c r="E6" s="65"/>
      <c r="G6" s="260">
        <f>Cover!E11</f>
        <v>2025</v>
      </c>
      <c r="J6" s="65"/>
    </row>
    <row r="7" spans="1:18" x14ac:dyDescent="0.25">
      <c r="A7" s="64"/>
      <c r="D7" s="32" t="s">
        <v>342</v>
      </c>
      <c r="E7" s="32"/>
      <c r="G7" s="32">
        <f>+G6+1</f>
        <v>2026</v>
      </c>
      <c r="J7" s="32"/>
    </row>
    <row r="8" spans="1:18" x14ac:dyDescent="0.25">
      <c r="A8" s="64"/>
      <c r="F8" s="32"/>
      <c r="G8" s="31"/>
    </row>
    <row r="9" spans="1:18" x14ac:dyDescent="0.25">
      <c r="A9" s="64"/>
      <c r="B9" s="31"/>
      <c r="F9" s="1639">
        <v>0</v>
      </c>
      <c r="G9" s="718">
        <v>1</v>
      </c>
      <c r="H9" s="718">
        <f>1+G9</f>
        <v>2</v>
      </c>
      <c r="I9" s="718">
        <f t="shared" ref="I9:L9" si="0">1+H9</f>
        <v>3</v>
      </c>
      <c r="J9" s="718">
        <f t="shared" si="0"/>
        <v>4</v>
      </c>
      <c r="K9" s="718">
        <f t="shared" si="0"/>
        <v>5</v>
      </c>
      <c r="L9" s="1188">
        <f t="shared" si="0"/>
        <v>6</v>
      </c>
    </row>
    <row r="10" spans="1:18" x14ac:dyDescent="0.25">
      <c r="A10" s="64"/>
      <c r="D10" s="1788" t="s">
        <v>814</v>
      </c>
      <c r="E10" s="1789"/>
      <c r="F10" s="719">
        <f>+G10-1</f>
        <v>2024</v>
      </c>
      <c r="G10" s="720">
        <f>+G6</f>
        <v>2025</v>
      </c>
      <c r="H10" s="720">
        <f>+G11</f>
        <v>2026</v>
      </c>
      <c r="I10" s="720">
        <f>+H11</f>
        <v>2027</v>
      </c>
      <c r="J10" s="720">
        <f>+I11</f>
        <v>2028</v>
      </c>
      <c r="K10" s="720">
        <f>+J11</f>
        <v>2029</v>
      </c>
      <c r="L10" s="721">
        <f>+K11</f>
        <v>2030</v>
      </c>
    </row>
    <row r="11" spans="1:18" ht="15.75" x14ac:dyDescent="0.25">
      <c r="A11" s="64"/>
      <c r="B11" s="67"/>
      <c r="C11" s="594" t="s">
        <v>343</v>
      </c>
      <c r="D11" s="595"/>
      <c r="E11" s="595"/>
      <c r="F11" s="722">
        <f>+G11-1</f>
        <v>2025</v>
      </c>
      <c r="G11" s="723">
        <f t="shared" ref="G11:L11" si="1">+G10+1</f>
        <v>2026</v>
      </c>
      <c r="H11" s="723">
        <f t="shared" si="1"/>
        <v>2027</v>
      </c>
      <c r="I11" s="723">
        <f t="shared" si="1"/>
        <v>2028</v>
      </c>
      <c r="J11" s="723">
        <f t="shared" si="1"/>
        <v>2029</v>
      </c>
      <c r="K11" s="723">
        <f t="shared" si="1"/>
        <v>2030</v>
      </c>
      <c r="L11" s="724">
        <f t="shared" si="1"/>
        <v>2031</v>
      </c>
    </row>
    <row r="12" spans="1:18" ht="15.75" x14ac:dyDescent="0.25">
      <c r="A12" s="64"/>
      <c r="B12" s="183" t="s">
        <v>815</v>
      </c>
      <c r="D12" s="283"/>
      <c r="E12" s="283"/>
      <c r="F12" s="1204"/>
      <c r="G12" s="1205"/>
      <c r="H12" s="1205"/>
      <c r="I12" s="1205"/>
      <c r="J12" s="1205"/>
      <c r="K12" s="1205"/>
      <c r="L12" s="1205"/>
    </row>
    <row r="13" spans="1:18" ht="15.75" x14ac:dyDescent="0.25">
      <c r="A13" s="346">
        <f>ROW()</f>
        <v>13</v>
      </c>
      <c r="B13" s="434" t="s">
        <v>275</v>
      </c>
      <c r="C13" s="62"/>
      <c r="D13" s="62"/>
      <c r="E13" s="62"/>
      <c r="F13" s="576"/>
      <c r="G13" s="577"/>
      <c r="H13" s="577"/>
      <c r="I13" s="577"/>
      <c r="J13" s="577"/>
      <c r="K13" s="577"/>
      <c r="L13" s="577"/>
      <c r="R13" s="1365" t="s">
        <v>103</v>
      </c>
    </row>
    <row r="14" spans="1:18" ht="15.75" x14ac:dyDescent="0.25">
      <c r="A14" s="346">
        <f>ROW()</f>
        <v>14</v>
      </c>
      <c r="B14" s="31" t="s">
        <v>296</v>
      </c>
      <c r="F14" s="578"/>
      <c r="G14" s="610"/>
      <c r="H14" s="610"/>
      <c r="I14" s="610"/>
      <c r="J14" s="610"/>
      <c r="K14" s="610"/>
      <c r="L14" s="610"/>
      <c r="R14" s="462"/>
    </row>
    <row r="15" spans="1:18" x14ac:dyDescent="0.25">
      <c r="A15" s="346">
        <f>ROW()</f>
        <v>15</v>
      </c>
      <c r="B15" s="143" t="s">
        <v>297</v>
      </c>
      <c r="C15" s="125"/>
      <c r="D15" s="125"/>
      <c r="E15" s="125"/>
      <c r="F15" s="611">
        <f>' Enrol &amp; Rev'!F17</f>
        <v>0</v>
      </c>
      <c r="G15" s="1517">
        <f>' Enrol &amp; Rev'!G17</f>
        <v>13</v>
      </c>
      <c r="H15" s="1517">
        <f>' Enrol &amp; Rev'!H17</f>
        <v>13</v>
      </c>
      <c r="I15" s="1517">
        <f>' Enrol &amp; Rev'!I17</f>
        <v>13</v>
      </c>
      <c r="J15" s="1517">
        <f>' Enrol &amp; Rev'!J17</f>
        <v>13</v>
      </c>
      <c r="K15" s="1517">
        <f>' Enrol &amp; Rev'!K17</f>
        <v>13</v>
      </c>
      <c r="L15" s="1517">
        <f>' Enrol &amp; Rev'!L17</f>
        <v>13</v>
      </c>
      <c r="R15" s="343" t="s">
        <v>816</v>
      </c>
    </row>
    <row r="16" spans="1:18" x14ac:dyDescent="0.25">
      <c r="A16" s="346">
        <f>ROW()</f>
        <v>16</v>
      </c>
      <c r="B16" s="69" t="s">
        <v>298</v>
      </c>
      <c r="F16" s="660">
        <f>' Enrol &amp; Rev'!F19</f>
        <v>0</v>
      </c>
      <c r="G16" s="661">
        <f>' Enrol &amp; Rev'!G19</f>
        <v>0</v>
      </c>
      <c r="H16" s="661">
        <f>' Enrol &amp; Rev'!H19</f>
        <v>0</v>
      </c>
      <c r="I16" s="661">
        <f>' Enrol &amp; Rev'!I19</f>
        <v>0</v>
      </c>
      <c r="J16" s="661">
        <f>' Enrol &amp; Rev'!J19</f>
        <v>0</v>
      </c>
      <c r="K16" s="661">
        <f>' Enrol &amp; Rev'!K19</f>
        <v>0</v>
      </c>
      <c r="L16" s="661">
        <f>' Enrol &amp; Rev'!L19</f>
        <v>0</v>
      </c>
      <c r="R16" s="343" t="s">
        <v>1577</v>
      </c>
    </row>
    <row r="17" spans="1:18" hidden="1" x14ac:dyDescent="0.25">
      <c r="A17" s="346">
        <f>ROW()</f>
        <v>17</v>
      </c>
      <c r="B17" s="41"/>
      <c r="C17" s="306"/>
      <c r="D17" s="306"/>
      <c r="E17" s="306"/>
      <c r="F17" s="589"/>
      <c r="G17" s="589"/>
      <c r="H17" s="589"/>
      <c r="I17" s="589"/>
      <c r="J17" s="589"/>
      <c r="K17" s="589"/>
      <c r="L17" s="589"/>
      <c r="R17" s="343"/>
    </row>
    <row r="18" spans="1:18" hidden="1" x14ac:dyDescent="0.25">
      <c r="A18" s="346">
        <f>ROW()</f>
        <v>18</v>
      </c>
      <c r="B18" s="1206" t="s">
        <v>299</v>
      </c>
      <c r="C18" s="365"/>
      <c r="D18" s="365"/>
      <c r="E18" s="365"/>
      <c r="F18" s="579">
        <f>' Enrol &amp; Rev'!F23</f>
        <v>48.12</v>
      </c>
      <c r="G18" s="579">
        <f>' Enrol &amp; Rev'!G23</f>
        <v>48.12</v>
      </c>
      <c r="H18" s="579">
        <f>' Enrol &amp; Rev'!H23</f>
        <v>48.12</v>
      </c>
      <c r="I18" s="579">
        <f>' Enrol &amp; Rev'!I23</f>
        <v>48.12</v>
      </c>
      <c r="J18" s="579">
        <f>' Enrol &amp; Rev'!J23</f>
        <v>48.12</v>
      </c>
      <c r="K18" s="579">
        <f>' Enrol &amp; Rev'!K23</f>
        <v>48.12</v>
      </c>
      <c r="L18" s="579">
        <f>' Enrol &amp; Rev'!L23</f>
        <v>48.12</v>
      </c>
      <c r="R18" s="343"/>
    </row>
    <row r="19" spans="1:18" hidden="1" x14ac:dyDescent="0.25">
      <c r="A19" s="346">
        <f>ROW()</f>
        <v>19</v>
      </c>
      <c r="B19" s="366" t="s">
        <v>300</v>
      </c>
      <c r="C19" s="365"/>
      <c r="D19" s="365"/>
      <c r="E19" s="365"/>
      <c r="F19" s="580">
        <f>' Enrol &amp; Rev'!F24</f>
        <v>43.88</v>
      </c>
      <c r="G19" s="580">
        <f>' Enrol &amp; Rev'!G24</f>
        <v>43.88</v>
      </c>
      <c r="H19" s="580">
        <f>' Enrol &amp; Rev'!H24</f>
        <v>43.88</v>
      </c>
      <c r="I19" s="580">
        <f>' Enrol &amp; Rev'!I24</f>
        <v>43.88</v>
      </c>
      <c r="J19" s="580">
        <f>' Enrol &amp; Rev'!J24</f>
        <v>43.88</v>
      </c>
      <c r="K19" s="580">
        <f>' Enrol &amp; Rev'!K24</f>
        <v>43.88</v>
      </c>
      <c r="L19" s="580">
        <f>' Enrol &amp; Rev'!L24</f>
        <v>43.88</v>
      </c>
      <c r="R19" s="343"/>
    </row>
    <row r="20" spans="1:18" hidden="1" x14ac:dyDescent="0.25">
      <c r="A20" s="346">
        <f>ROW()</f>
        <v>20</v>
      </c>
      <c r="B20" s="366" t="s">
        <v>301</v>
      </c>
      <c r="C20" s="365"/>
      <c r="D20" s="365"/>
      <c r="E20" s="365"/>
      <c r="F20" s="580">
        <f>' Enrol &amp; Rev'!F25</f>
        <v>53.08</v>
      </c>
      <c r="G20" s="581">
        <f>' Enrol &amp; Rev'!G25</f>
        <v>53.08</v>
      </c>
      <c r="H20" s="581">
        <f>' Enrol &amp; Rev'!H25</f>
        <v>53.08</v>
      </c>
      <c r="I20" s="581">
        <f>' Enrol &amp; Rev'!I25</f>
        <v>53.08</v>
      </c>
      <c r="J20" s="581">
        <f>' Enrol &amp; Rev'!J25</f>
        <v>53.08</v>
      </c>
      <c r="K20" s="581">
        <f>' Enrol &amp; Rev'!K25</f>
        <v>53.08</v>
      </c>
      <c r="L20" s="581">
        <f>' Enrol &amp; Rev'!L25</f>
        <v>53.08</v>
      </c>
      <c r="R20" s="343"/>
    </row>
    <row r="21" spans="1:18" hidden="1" x14ac:dyDescent="0.25">
      <c r="A21" s="346">
        <f>ROW()</f>
        <v>21</v>
      </c>
      <c r="B21" s="366" t="s">
        <v>302</v>
      </c>
      <c r="C21" s="365"/>
      <c r="D21" s="365"/>
      <c r="E21" s="365"/>
      <c r="F21" s="582">
        <f>' Enrol &amp; Rev'!F26</f>
        <v>60.61</v>
      </c>
      <c r="G21" s="583">
        <f>' Enrol &amp; Rev'!G26</f>
        <v>60.61</v>
      </c>
      <c r="H21" s="583">
        <f>' Enrol &amp; Rev'!H26</f>
        <v>60.61</v>
      </c>
      <c r="I21" s="583">
        <f>' Enrol &amp; Rev'!I26</f>
        <v>60.61</v>
      </c>
      <c r="J21" s="583">
        <f>' Enrol &amp; Rev'!J26</f>
        <v>60.61</v>
      </c>
      <c r="K21" s="583">
        <f>' Enrol &amp; Rev'!K26</f>
        <v>60.61</v>
      </c>
      <c r="L21" s="583">
        <f>' Enrol &amp; Rev'!L26</f>
        <v>60.61</v>
      </c>
      <c r="R21" s="343"/>
    </row>
    <row r="22" spans="1:18" hidden="1" x14ac:dyDescent="0.25">
      <c r="A22" s="346">
        <f>ROW()</f>
        <v>22</v>
      </c>
      <c r="B22" s="366" t="s">
        <v>303</v>
      </c>
      <c r="C22" s="365"/>
      <c r="D22" s="365"/>
      <c r="E22" s="365"/>
      <c r="F22" s="582">
        <f>' Enrol &amp; Rev'!F27</f>
        <v>72.260000000000005</v>
      </c>
      <c r="G22" s="583">
        <f>' Enrol &amp; Rev'!G27</f>
        <v>72.260000000000005</v>
      </c>
      <c r="H22" s="583">
        <f>' Enrol &amp; Rev'!H27</f>
        <v>72.260000000000005</v>
      </c>
      <c r="I22" s="583">
        <f>' Enrol &amp; Rev'!I27</f>
        <v>72.260000000000005</v>
      </c>
      <c r="J22" s="583">
        <f>' Enrol &amp; Rev'!J27</f>
        <v>72.260000000000005</v>
      </c>
      <c r="K22" s="583">
        <f>' Enrol &amp; Rev'!K27</f>
        <v>72.260000000000005</v>
      </c>
      <c r="L22" s="583">
        <f>' Enrol &amp; Rev'!L27</f>
        <v>72.260000000000005</v>
      </c>
    </row>
    <row r="23" spans="1:18" hidden="1" x14ac:dyDescent="0.25">
      <c r="A23" s="346">
        <f>ROW()</f>
        <v>23</v>
      </c>
      <c r="B23" s="366" t="s">
        <v>304</v>
      </c>
      <c r="C23" s="365"/>
      <c r="D23" s="365"/>
      <c r="E23" s="365"/>
      <c r="F23" s="582">
        <f>' Enrol &amp; Rev'!F28</f>
        <v>75.150000000000006</v>
      </c>
      <c r="G23" s="582">
        <f>' Enrol &amp; Rev'!G28</f>
        <v>75.150000000000006</v>
      </c>
      <c r="H23" s="582">
        <f>' Enrol &amp; Rev'!H28</f>
        <v>75.150000000000006</v>
      </c>
      <c r="I23" s="582">
        <f>' Enrol &amp; Rev'!I28</f>
        <v>75.150000000000006</v>
      </c>
      <c r="J23" s="582">
        <f>' Enrol &amp; Rev'!J28</f>
        <v>75.150000000000006</v>
      </c>
      <c r="K23" s="582">
        <f>' Enrol &amp; Rev'!K28</f>
        <v>75.150000000000006</v>
      </c>
      <c r="L23" s="582">
        <f>' Enrol &amp; Rev'!L28</f>
        <v>75.150000000000006</v>
      </c>
    </row>
    <row r="24" spans="1:18" hidden="1" x14ac:dyDescent="0.25">
      <c r="A24" s="346">
        <f>ROW()</f>
        <v>24</v>
      </c>
      <c r="B24" s="366" t="s">
        <v>305</v>
      </c>
      <c r="C24" s="365"/>
      <c r="D24" s="365"/>
      <c r="E24" s="365"/>
      <c r="F24" s="582">
        <f>' Enrol &amp; Rev'!F29</f>
        <v>164.84</v>
      </c>
      <c r="G24" s="582">
        <f>' Enrol &amp; Rev'!G29</f>
        <v>164.84</v>
      </c>
      <c r="H24" s="584">
        <f>' Enrol &amp; Rev'!H29</f>
        <v>164.84</v>
      </c>
      <c r="I24" s="584">
        <f>' Enrol &amp; Rev'!I29</f>
        <v>164.84</v>
      </c>
      <c r="J24" s="584">
        <f>' Enrol &amp; Rev'!J29</f>
        <v>164.84</v>
      </c>
      <c r="K24" s="584">
        <f>' Enrol &amp; Rev'!K29</f>
        <v>164.84</v>
      </c>
      <c r="L24" s="584">
        <f>' Enrol &amp; Rev'!L29</f>
        <v>164.84</v>
      </c>
    </row>
    <row r="25" spans="1:18" hidden="1" x14ac:dyDescent="0.25">
      <c r="A25" s="346">
        <f>ROW()</f>
        <v>25</v>
      </c>
      <c r="B25" s="366" t="s">
        <v>306</v>
      </c>
      <c r="C25" s="365"/>
      <c r="D25" s="365"/>
      <c r="E25" s="365"/>
      <c r="F25" s="582">
        <f>' Enrol &amp; Rev'!F30</f>
        <v>218.49</v>
      </c>
      <c r="G25" s="582">
        <f>' Enrol &amp; Rev'!G30</f>
        <v>218.49</v>
      </c>
      <c r="H25" s="584">
        <f>' Enrol &amp; Rev'!H30</f>
        <v>218.49</v>
      </c>
      <c r="I25" s="584">
        <f>' Enrol &amp; Rev'!I30</f>
        <v>218.49</v>
      </c>
      <c r="J25" s="584">
        <f>' Enrol &amp; Rev'!J30</f>
        <v>218.49</v>
      </c>
      <c r="K25" s="584">
        <f>' Enrol &amp; Rev'!K30</f>
        <v>218.49</v>
      </c>
      <c r="L25" s="584">
        <f>' Enrol &amp; Rev'!L30</f>
        <v>218.49</v>
      </c>
    </row>
    <row r="26" spans="1:18" hidden="1" x14ac:dyDescent="0.25">
      <c r="A26" s="346">
        <f>ROW()</f>
        <v>26</v>
      </c>
      <c r="B26" s="366" t="s">
        <v>307</v>
      </c>
      <c r="C26" s="365"/>
      <c r="D26" s="365"/>
      <c r="E26" s="365"/>
      <c r="F26" s="582">
        <f>' Enrol &amp; Rev'!F31</f>
        <v>220.76</v>
      </c>
      <c r="G26" s="582">
        <f>' Enrol &amp; Rev'!G31</f>
        <v>220.76</v>
      </c>
      <c r="H26" s="584">
        <f>' Enrol &amp; Rev'!H31</f>
        <v>220.76</v>
      </c>
      <c r="I26" s="584">
        <f>' Enrol &amp; Rev'!I31</f>
        <v>220.76</v>
      </c>
      <c r="J26" s="584">
        <f>' Enrol &amp; Rev'!J31</f>
        <v>220.76</v>
      </c>
      <c r="K26" s="584">
        <f>' Enrol &amp; Rev'!K31</f>
        <v>220.76</v>
      </c>
      <c r="L26" s="584">
        <f>' Enrol &amp; Rev'!L31</f>
        <v>220.76</v>
      </c>
    </row>
    <row r="27" spans="1:18" hidden="1" x14ac:dyDescent="0.25">
      <c r="A27" s="346">
        <f>ROW()</f>
        <v>27</v>
      </c>
      <c r="B27" s="366" t="s">
        <v>308</v>
      </c>
      <c r="C27" s="365"/>
      <c r="D27" s="365"/>
      <c r="E27" s="365"/>
      <c r="F27" s="582">
        <f>' Enrol &amp; Rev'!F32</f>
        <v>273.95999999999998</v>
      </c>
      <c r="G27" s="582">
        <f>' Enrol &amp; Rev'!G32</f>
        <v>273.95999999999998</v>
      </c>
      <c r="H27" s="584">
        <f>' Enrol &amp; Rev'!H32</f>
        <v>273.95999999999998</v>
      </c>
      <c r="I27" s="584">
        <f>' Enrol &amp; Rev'!I32</f>
        <v>273.95999999999998</v>
      </c>
      <c r="J27" s="584">
        <f>' Enrol &amp; Rev'!J32</f>
        <v>273.95999999999998</v>
      </c>
      <c r="K27" s="584">
        <f>' Enrol &amp; Rev'!K32</f>
        <v>273.95999999999998</v>
      </c>
      <c r="L27" s="584">
        <f>' Enrol &amp; Rev'!L32</f>
        <v>273.95999999999998</v>
      </c>
    </row>
    <row r="28" spans="1:18" hidden="1" x14ac:dyDescent="0.25">
      <c r="A28" s="346">
        <f>ROW()</f>
        <v>28</v>
      </c>
      <c r="B28" s="366" t="s">
        <v>309</v>
      </c>
      <c r="C28" s="365"/>
      <c r="D28" s="365"/>
      <c r="E28" s="365"/>
      <c r="F28" s="582">
        <f>' Enrol &amp; Rev'!F33</f>
        <v>302.51</v>
      </c>
      <c r="G28" s="582">
        <f>' Enrol &amp; Rev'!G33</f>
        <v>302.51</v>
      </c>
      <c r="H28" s="584">
        <f>' Enrol &amp; Rev'!H33</f>
        <v>302.51</v>
      </c>
      <c r="I28" s="584">
        <f>' Enrol &amp; Rev'!I33</f>
        <v>302.51</v>
      </c>
      <c r="J28" s="584">
        <f>' Enrol &amp; Rev'!J33</f>
        <v>302.51</v>
      </c>
      <c r="K28" s="584">
        <f>' Enrol &amp; Rev'!K33</f>
        <v>302.51</v>
      </c>
      <c r="L28" s="584">
        <f>' Enrol &amp; Rev'!L33</f>
        <v>302.51</v>
      </c>
    </row>
    <row r="29" spans="1:18" hidden="1" x14ac:dyDescent="0.25">
      <c r="A29" s="346">
        <f>ROW()</f>
        <v>29</v>
      </c>
      <c r="B29" s="366" t="s">
        <v>310</v>
      </c>
      <c r="C29" s="365"/>
      <c r="D29" s="365"/>
      <c r="E29" s="365"/>
      <c r="F29" s="582">
        <f>' Enrol &amp; Rev'!F34</f>
        <v>390.51</v>
      </c>
      <c r="G29" s="582">
        <f>' Enrol &amp; Rev'!G34</f>
        <v>390.51</v>
      </c>
      <c r="H29" s="584">
        <f>' Enrol &amp; Rev'!H34</f>
        <v>390.51</v>
      </c>
      <c r="I29" s="584">
        <f>' Enrol &amp; Rev'!I34</f>
        <v>390.51</v>
      </c>
      <c r="J29" s="584">
        <f>' Enrol &amp; Rev'!J34</f>
        <v>390.51</v>
      </c>
      <c r="K29" s="584">
        <f>' Enrol &amp; Rev'!K34</f>
        <v>390.51</v>
      </c>
      <c r="L29" s="584">
        <f>' Enrol &amp; Rev'!L34</f>
        <v>390.51</v>
      </c>
    </row>
    <row r="30" spans="1:18" hidden="1" x14ac:dyDescent="0.25">
      <c r="A30" s="346">
        <f>ROW()</f>
        <v>30</v>
      </c>
      <c r="B30" s="366" t="s">
        <v>311</v>
      </c>
      <c r="C30" s="365"/>
      <c r="D30" s="365"/>
      <c r="E30" s="365"/>
      <c r="F30" s="585">
        <f>' Enrol &amp; Rev'!F35</f>
        <v>395.85</v>
      </c>
      <c r="G30" s="585">
        <f>' Enrol &amp; Rev'!G35</f>
        <v>395.85</v>
      </c>
      <c r="H30" s="586">
        <f>' Enrol &amp; Rev'!H35</f>
        <v>395.85</v>
      </c>
      <c r="I30" s="586">
        <f>' Enrol &amp; Rev'!I35</f>
        <v>395.85</v>
      </c>
      <c r="J30" s="586">
        <f>' Enrol &amp; Rev'!J35</f>
        <v>395.85</v>
      </c>
      <c r="K30" s="586">
        <f>' Enrol &amp; Rev'!K35</f>
        <v>395.85</v>
      </c>
      <c r="L30" s="586">
        <f>' Enrol &amp; Rev'!L35</f>
        <v>395.85</v>
      </c>
    </row>
    <row r="31" spans="1:18" ht="15.75" x14ac:dyDescent="0.25">
      <c r="A31" s="346">
        <f>ROW()</f>
        <v>31</v>
      </c>
      <c r="B31" s="612" t="s">
        <v>312</v>
      </c>
      <c r="C31" s="463"/>
      <c r="D31" s="463"/>
      <c r="E31" s="463"/>
      <c r="F31" s="448"/>
      <c r="G31" s="1516">
        <f t="shared" ref="G31:L31" si="2">SUM(G18:G30)</f>
        <v>2320.02</v>
      </c>
      <c r="H31" s="1516">
        <f t="shared" si="2"/>
        <v>2320.02</v>
      </c>
      <c r="I31" s="1516">
        <f t="shared" si="2"/>
        <v>2320.02</v>
      </c>
      <c r="J31" s="1516">
        <f t="shared" si="2"/>
        <v>2320.02</v>
      </c>
      <c r="K31" s="1516">
        <f t="shared" si="2"/>
        <v>2320.02</v>
      </c>
      <c r="L31" s="1516">
        <f t="shared" si="2"/>
        <v>2320.02</v>
      </c>
      <c r="R31" s="343"/>
    </row>
    <row r="32" spans="1:18" x14ac:dyDescent="0.25">
      <c r="A32" s="346">
        <f>ROW()</f>
        <v>32</v>
      </c>
      <c r="B32" s="72" t="s">
        <v>817</v>
      </c>
      <c r="C32" s="72"/>
      <c r="D32" s="72"/>
      <c r="E32" s="72"/>
      <c r="F32" s="449"/>
      <c r="G32" s="1546">
        <f>IFERROR(G31/G16,0)</f>
        <v>0</v>
      </c>
      <c r="H32" s="1546">
        <f t="shared" ref="H32:L32" si="3">IFERROR(H31/H16,0)</f>
        <v>0</v>
      </c>
      <c r="I32" s="1546">
        <f t="shared" si="3"/>
        <v>0</v>
      </c>
      <c r="J32" s="1546">
        <f t="shared" si="3"/>
        <v>0</v>
      </c>
      <c r="K32" s="1546">
        <f t="shared" si="3"/>
        <v>0</v>
      </c>
      <c r="L32" s="1546">
        <f t="shared" si="3"/>
        <v>0</v>
      </c>
      <c r="R32" s="343"/>
    </row>
    <row r="33" spans="1:18" x14ac:dyDescent="0.25">
      <c r="A33" s="346">
        <f>ROW()</f>
        <v>33</v>
      </c>
      <c r="B33" s="441" t="s">
        <v>355</v>
      </c>
      <c r="C33" s="72"/>
      <c r="D33" s="72"/>
      <c r="E33" s="72"/>
      <c r="F33" s="1543">
        <f>' Enrol &amp; Rev'!F44</f>
        <v>0</v>
      </c>
      <c r="G33" s="1548">
        <f>' Enrol &amp; Rev'!G44</f>
        <v>1</v>
      </c>
      <c r="H33" s="1548">
        <f>' Enrol &amp; Rev'!H44</f>
        <v>1</v>
      </c>
      <c r="I33" s="1548">
        <f>' Enrol &amp; Rev'!I44</f>
        <v>1</v>
      </c>
      <c r="J33" s="1548">
        <f>' Enrol &amp; Rev'!J44</f>
        <v>1</v>
      </c>
      <c r="K33" s="1548">
        <f>' Enrol &amp; Rev'!K44</f>
        <v>1</v>
      </c>
      <c r="L33" s="1548">
        <f>' Enrol &amp; Rev'!L44</f>
        <v>1</v>
      </c>
      <c r="R33" s="343"/>
    </row>
    <row r="34" spans="1:18" x14ac:dyDescent="0.25">
      <c r="A34" s="346">
        <f>ROW()</f>
        <v>34</v>
      </c>
      <c r="B34" s="441" t="s">
        <v>818</v>
      </c>
      <c r="C34" s="72"/>
      <c r="D34" s="72"/>
      <c r="E34" s="72"/>
      <c r="F34" s="450"/>
      <c r="G34" s="587">
        <f t="shared" ref="G34:L34" si="4">+G31*(1-G33)</f>
        <v>0</v>
      </c>
      <c r="H34" s="587">
        <f t="shared" si="4"/>
        <v>0</v>
      </c>
      <c r="I34" s="587">
        <f t="shared" si="4"/>
        <v>0</v>
      </c>
      <c r="J34" s="587">
        <f t="shared" si="4"/>
        <v>0</v>
      </c>
      <c r="K34" s="587">
        <f t="shared" si="4"/>
        <v>0</v>
      </c>
      <c r="L34" s="587">
        <f t="shared" si="4"/>
        <v>0</v>
      </c>
      <c r="R34" s="343"/>
    </row>
    <row r="35" spans="1:18" x14ac:dyDescent="0.25">
      <c r="A35" s="346">
        <f>ROW()</f>
        <v>35</v>
      </c>
      <c r="B35" s="441"/>
      <c r="C35" s="72"/>
      <c r="D35" s="72"/>
      <c r="E35" s="72"/>
      <c r="F35" s="450"/>
      <c r="G35" s="587"/>
      <c r="H35" s="587"/>
      <c r="I35" s="587"/>
      <c r="J35" s="587"/>
      <c r="K35" s="587"/>
      <c r="L35" s="587"/>
      <c r="R35" s="343"/>
    </row>
    <row r="36" spans="1:18" x14ac:dyDescent="0.25">
      <c r="A36" s="346">
        <f>ROW()</f>
        <v>36</v>
      </c>
      <c r="B36" s="72" t="s">
        <v>819</v>
      </c>
      <c r="C36" s="72"/>
      <c r="D36" s="72"/>
      <c r="E36" s="72"/>
      <c r="F36" s="1543">
        <f>' Enrol &amp; Rev'!F92</f>
        <v>0</v>
      </c>
      <c r="G36" s="1548">
        <f>' Enrol &amp; Rev'!G92</f>
        <v>0</v>
      </c>
      <c r="H36" s="1548">
        <f>' Enrol &amp; Rev'!H92</f>
        <v>0</v>
      </c>
      <c r="I36" s="1548">
        <f>' Enrol &amp; Rev'!I92</f>
        <v>0</v>
      </c>
      <c r="J36" s="1548">
        <f>' Enrol &amp; Rev'!J92</f>
        <v>0</v>
      </c>
      <c r="K36" s="1548">
        <f>' Enrol &amp; Rev'!K92</f>
        <v>0</v>
      </c>
      <c r="L36" s="1548">
        <f>' Enrol &amp; Rev'!L92</f>
        <v>0</v>
      </c>
      <c r="R36" s="343"/>
    </row>
    <row r="37" spans="1:18" x14ac:dyDescent="0.25">
      <c r="A37" s="346">
        <f>ROW()</f>
        <v>37</v>
      </c>
      <c r="B37" s="72" t="s">
        <v>820</v>
      </c>
      <c r="C37" s="72"/>
      <c r="D37" s="72"/>
      <c r="E37" s="72"/>
      <c r="F37" s="1544"/>
      <c r="G37" s="588">
        <f t="shared" ref="G37:L37" si="5">+G$31*G36</f>
        <v>0</v>
      </c>
      <c r="H37" s="588">
        <f t="shared" si="5"/>
        <v>0</v>
      </c>
      <c r="I37" s="588">
        <f t="shared" si="5"/>
        <v>0</v>
      </c>
      <c r="J37" s="588">
        <f t="shared" si="5"/>
        <v>0</v>
      </c>
      <c r="K37" s="588">
        <f t="shared" si="5"/>
        <v>0</v>
      </c>
      <c r="L37" s="588">
        <f t="shared" si="5"/>
        <v>0</v>
      </c>
      <c r="R37" s="343"/>
    </row>
    <row r="38" spans="1:18" x14ac:dyDescent="0.25">
      <c r="A38" s="346">
        <f>ROW()</f>
        <v>38</v>
      </c>
      <c r="B38" s="72" t="s">
        <v>394</v>
      </c>
      <c r="C38" s="72"/>
      <c r="D38" s="72"/>
      <c r="E38" s="72"/>
      <c r="F38" s="1543">
        <f>' Enrol &amp; Rev'!F93</f>
        <v>0</v>
      </c>
      <c r="G38" s="1548">
        <f>' Enrol &amp; Rev'!G93</f>
        <v>9.8000000000000004E-2</v>
      </c>
      <c r="H38" s="1548">
        <f>' Enrol &amp; Rev'!H93</f>
        <v>9.8000000000000004E-2</v>
      </c>
      <c r="I38" s="1548">
        <f>' Enrol &amp; Rev'!I93</f>
        <v>9.8000000000000004E-2</v>
      </c>
      <c r="J38" s="1548">
        <f>' Enrol &amp; Rev'!J93</f>
        <v>9.8000000000000004E-2</v>
      </c>
      <c r="K38" s="1548">
        <f>' Enrol &amp; Rev'!K93</f>
        <v>9.8000000000000004E-2</v>
      </c>
      <c r="L38" s="1548">
        <f>' Enrol &amp; Rev'!L93</f>
        <v>9.8000000000000004E-2</v>
      </c>
      <c r="R38" s="343"/>
    </row>
    <row r="39" spans="1:18" x14ac:dyDescent="0.25">
      <c r="A39" s="346">
        <f>ROW()</f>
        <v>39</v>
      </c>
      <c r="B39" s="72" t="s">
        <v>821</v>
      </c>
      <c r="C39" s="72"/>
      <c r="D39" s="72"/>
      <c r="E39" s="72"/>
      <c r="F39" s="1544"/>
      <c r="G39" s="588">
        <f t="shared" ref="G39:L39" si="6">+G$31*G38</f>
        <v>227.36196000000001</v>
      </c>
      <c r="H39" s="588">
        <f t="shared" si="6"/>
        <v>227.36196000000001</v>
      </c>
      <c r="I39" s="588">
        <f t="shared" si="6"/>
        <v>227.36196000000001</v>
      </c>
      <c r="J39" s="588">
        <f t="shared" si="6"/>
        <v>227.36196000000001</v>
      </c>
      <c r="K39" s="588">
        <f t="shared" si="6"/>
        <v>227.36196000000001</v>
      </c>
      <c r="L39" s="588">
        <f t="shared" si="6"/>
        <v>227.36196000000001</v>
      </c>
      <c r="R39" s="343"/>
    </row>
    <row r="40" spans="1:18" x14ac:dyDescent="0.25">
      <c r="A40" s="346">
        <f>ROW()</f>
        <v>40</v>
      </c>
      <c r="B40" s="72" t="s">
        <v>395</v>
      </c>
      <c r="C40" s="72"/>
      <c r="D40" s="72"/>
      <c r="E40" s="72"/>
      <c r="F40" s="1543">
        <f>' Enrol &amp; Rev'!F94</f>
        <v>0</v>
      </c>
      <c r="G40" s="1548">
        <f>' Enrol &amp; Rev'!G94</f>
        <v>0.13700000000000001</v>
      </c>
      <c r="H40" s="1548">
        <f>' Enrol &amp; Rev'!H94</f>
        <v>0.13700000000000001</v>
      </c>
      <c r="I40" s="1548">
        <f>' Enrol &amp; Rev'!I94</f>
        <v>0.13700000000000001</v>
      </c>
      <c r="J40" s="1548">
        <f>' Enrol &amp; Rev'!J94</f>
        <v>0.13700000000000001</v>
      </c>
      <c r="K40" s="1548">
        <f>' Enrol &amp; Rev'!K94</f>
        <v>0.13700000000000001</v>
      </c>
      <c r="L40" s="1548">
        <f>' Enrol &amp; Rev'!L94</f>
        <v>0.13700000000000001</v>
      </c>
      <c r="R40" s="343"/>
    </row>
    <row r="41" spans="1:18" x14ac:dyDescent="0.25">
      <c r="A41" s="346">
        <f>ROW()</f>
        <v>41</v>
      </c>
      <c r="B41" s="72" t="s">
        <v>396</v>
      </c>
      <c r="C41" s="72"/>
      <c r="D41" s="72"/>
      <c r="E41" s="72"/>
      <c r="F41" s="1544"/>
      <c r="G41" s="588">
        <f t="shared" ref="G41:L41" si="7">+G$31*G40</f>
        <v>317.84274000000005</v>
      </c>
      <c r="H41" s="588">
        <f t="shared" si="7"/>
        <v>317.84274000000005</v>
      </c>
      <c r="I41" s="588">
        <f t="shared" si="7"/>
        <v>317.84274000000005</v>
      </c>
      <c r="J41" s="588">
        <f t="shared" si="7"/>
        <v>317.84274000000005</v>
      </c>
      <c r="K41" s="588">
        <f t="shared" si="7"/>
        <v>317.84274000000005</v>
      </c>
      <c r="L41" s="588">
        <f t="shared" si="7"/>
        <v>317.84274000000005</v>
      </c>
      <c r="R41" s="343"/>
    </row>
    <row r="42" spans="1:18" x14ac:dyDescent="0.25">
      <c r="A42" s="346">
        <f>ROW()</f>
        <v>42</v>
      </c>
      <c r="B42" s="72"/>
      <c r="C42" s="72"/>
      <c r="D42" s="72"/>
      <c r="E42" s="72"/>
      <c r="F42" s="1545"/>
      <c r="G42" s="1549"/>
      <c r="H42" s="1549"/>
      <c r="I42" s="1549"/>
      <c r="J42" s="1549"/>
      <c r="K42" s="1549"/>
      <c r="L42" s="1549"/>
      <c r="R42" s="343"/>
    </row>
    <row r="43" spans="1:18" x14ac:dyDescent="0.25">
      <c r="A43" s="346">
        <f>ROW()</f>
        <v>43</v>
      </c>
      <c r="B43" s="72"/>
      <c r="C43" s="72"/>
      <c r="D43" s="72"/>
      <c r="E43" s="72"/>
      <c r="F43" s="451"/>
      <c r="G43" s="1547"/>
      <c r="H43" s="1547"/>
      <c r="I43" s="1547"/>
      <c r="J43" s="1547"/>
      <c r="K43" s="1547"/>
      <c r="L43" s="1547"/>
      <c r="R43" s="343"/>
    </row>
    <row r="44" spans="1:18" x14ac:dyDescent="0.25">
      <c r="A44" s="346">
        <f>ROW()</f>
        <v>44</v>
      </c>
      <c r="B44" s="519"/>
      <c r="C44" s="519"/>
      <c r="D44" s="519"/>
      <c r="E44" s="519"/>
      <c r="F44" s="520"/>
      <c r="G44" s="613"/>
      <c r="H44" s="613"/>
      <c r="I44" s="613"/>
      <c r="J44" s="614"/>
      <c r="K44" s="614"/>
      <c r="L44" s="614"/>
      <c r="M44" s="76"/>
      <c r="N44" s="76"/>
      <c r="O44" s="76"/>
      <c r="P44" s="76"/>
      <c r="Q44" s="76"/>
      <c r="R44" s="343"/>
    </row>
    <row r="45" spans="1:18" ht="15.75" x14ac:dyDescent="0.25">
      <c r="A45" s="346">
        <f>ROW()</f>
        <v>45</v>
      </c>
      <c r="B45" s="523" t="s">
        <v>180</v>
      </c>
      <c r="C45" s="463">
        <f t="shared" ref="C45" si="8">SUM(G45:L45)</f>
        <v>161923020.73033231</v>
      </c>
      <c r="D45" s="463"/>
      <c r="E45" s="463"/>
      <c r="F45" s="615">
        <f>' Enrol &amp; Rev'!F145</f>
        <v>3345500</v>
      </c>
      <c r="G45" s="616">
        <f>' Enrol &amp; Rev'!G145</f>
        <v>26987576.88896</v>
      </c>
      <c r="H45" s="616">
        <f>' Enrol &amp; Rev'!H145</f>
        <v>26987088.768274467</v>
      </c>
      <c r="I45" s="616">
        <f>' Enrol &amp; Rev'!I145</f>
        <v>26987088.768274467</v>
      </c>
      <c r="J45" s="616">
        <f>' Enrol &amp; Rev'!J145</f>
        <v>26987088.768274467</v>
      </c>
      <c r="K45" s="616">
        <f>' Enrol &amp; Rev'!K145</f>
        <v>26987088.768274467</v>
      </c>
      <c r="L45" s="616">
        <f>' Enrol &amp; Rev'!L145</f>
        <v>26987088.768274467</v>
      </c>
      <c r="R45" s="343"/>
    </row>
    <row r="46" spans="1:18" ht="15.75" x14ac:dyDescent="0.25">
      <c r="A46" s="346">
        <f>ROW()</f>
        <v>46</v>
      </c>
      <c r="B46" s="72" t="s">
        <v>822</v>
      </c>
      <c r="C46" s="440"/>
      <c r="D46" s="440"/>
      <c r="E46" s="440"/>
      <c r="F46" s="448"/>
      <c r="G46" s="447">
        <f t="shared" ref="G46:L46" si="9">IFERROR(G45/G31,0)</f>
        <v>11632.475965276162</v>
      </c>
      <c r="H46" s="447">
        <f t="shared" si="9"/>
        <v>11632.2655702427</v>
      </c>
      <c r="I46" s="447">
        <f t="shared" si="9"/>
        <v>11632.2655702427</v>
      </c>
      <c r="J46" s="447">
        <f t="shared" si="9"/>
        <v>11632.2655702427</v>
      </c>
      <c r="K46" s="447">
        <f t="shared" si="9"/>
        <v>11632.2655702427</v>
      </c>
      <c r="L46" s="447">
        <f t="shared" si="9"/>
        <v>11632.2655702427</v>
      </c>
      <c r="R46" s="343"/>
    </row>
    <row r="47" spans="1:18" ht="15.75" x14ac:dyDescent="0.25">
      <c r="A47" s="346">
        <f>ROW()</f>
        <v>47</v>
      </c>
      <c r="B47" s="72" t="s">
        <v>823</v>
      </c>
      <c r="C47" s="440">
        <f>SUM(G47:L47)</f>
        <v>45425192.925426193</v>
      </c>
      <c r="D47" s="440"/>
      <c r="E47" s="440"/>
      <c r="F47" s="448">
        <f>Levers!C16</f>
        <v>5712924.3187499996</v>
      </c>
      <c r="G47" s="447">
        <f>Levers!D16</f>
        <v>7023492.0483125001</v>
      </c>
      <c r="H47" s="447">
        <f>Levers!E16</f>
        <v>7233135.909761874</v>
      </c>
      <c r="I47" s="447">
        <f>Levers!F16</f>
        <v>7450129.9870547308</v>
      </c>
      <c r="J47" s="447">
        <f>Levers!G16</f>
        <v>7673633.8866663724</v>
      </c>
      <c r="K47" s="447">
        <f>Levers!H16</f>
        <v>7903842.9032663628</v>
      </c>
      <c r="L47" s="447">
        <f>Levers!I16</f>
        <v>8140958.1903643543</v>
      </c>
      <c r="R47" s="343"/>
    </row>
    <row r="48" spans="1:18" ht="15.75" x14ac:dyDescent="0.25">
      <c r="A48" s="346">
        <f>ROW()</f>
        <v>48</v>
      </c>
      <c r="B48" s="72" t="s">
        <v>824</v>
      </c>
      <c r="C48" s="440">
        <f>Levers!$B$17</f>
        <v>3673.6836495788966</v>
      </c>
      <c r="D48" s="440"/>
      <c r="E48" s="440"/>
      <c r="F48" s="448"/>
      <c r="G48" s="447">
        <f>Levers!D17</f>
        <v>3027.3411644350049</v>
      </c>
      <c r="H48" s="447">
        <f>Levers!E17</f>
        <v>3117.7041188273697</v>
      </c>
      <c r="I48" s="447">
        <f>Levers!F17</f>
        <v>3211.2352423921911</v>
      </c>
      <c r="J48" s="447">
        <f>Levers!G17</f>
        <v>3307.5722996639565</v>
      </c>
      <c r="K48" s="447">
        <f>Levers!H17</f>
        <v>3406.799468653875</v>
      </c>
      <c r="L48" s="447">
        <f>Levers!I17</f>
        <v>3509.0034527134912</v>
      </c>
      <c r="R48" s="343"/>
    </row>
    <row r="49" spans="1:18" ht="15.75" x14ac:dyDescent="0.25">
      <c r="A49" s="346">
        <f>ROW()</f>
        <v>49</v>
      </c>
      <c r="B49" s="72" t="s">
        <v>825</v>
      </c>
      <c r="C49" s="440">
        <f>SUM(G49:L49)</f>
        <v>116497827.80490614</v>
      </c>
      <c r="D49" s="440"/>
      <c r="E49" s="440"/>
      <c r="F49" s="448">
        <f>Levers!C18</f>
        <v>-2367424.3187499996</v>
      </c>
      <c r="G49" s="447">
        <f>Levers!D18</f>
        <v>19964084.8406475</v>
      </c>
      <c r="H49" s="447">
        <f>Levers!E18</f>
        <v>19753952.858512595</v>
      </c>
      <c r="I49" s="447">
        <f>Levers!F18</f>
        <v>19536958.781219736</v>
      </c>
      <c r="J49" s="447">
        <f>Levers!G18</f>
        <v>19313454.881608095</v>
      </c>
      <c r="K49" s="447">
        <f>Levers!H18</f>
        <v>19083245.865008105</v>
      </c>
      <c r="L49" s="447">
        <f>Levers!I18</f>
        <v>18846130.577910114</v>
      </c>
      <c r="R49" s="343"/>
    </row>
    <row r="50" spans="1:18" ht="15.75" x14ac:dyDescent="0.25">
      <c r="A50" s="346">
        <f>ROW()</f>
        <v>50</v>
      </c>
      <c r="B50" s="72" t="s">
        <v>826</v>
      </c>
      <c r="C50" s="440">
        <f>Levers!$B$19</f>
        <v>8198.9525583224931</v>
      </c>
      <c r="D50" s="440"/>
      <c r="E50" s="440"/>
      <c r="F50" s="448"/>
      <c r="G50" s="447">
        <f>Levers!D19</f>
        <v>8605.1348008411569</v>
      </c>
      <c r="H50" s="447">
        <f>Levers!E19</f>
        <v>8514.5614514153312</v>
      </c>
      <c r="I50" s="447">
        <f>Levers!F19</f>
        <v>8421.0303278505089</v>
      </c>
      <c r="J50" s="447">
        <f>Levers!G19</f>
        <v>8324.6932705787422</v>
      </c>
      <c r="K50" s="447">
        <f>Levers!H19</f>
        <v>8225.466101588825</v>
      </c>
      <c r="L50" s="447">
        <f>Levers!I19</f>
        <v>8123.2621175292088</v>
      </c>
      <c r="R50" s="343"/>
    </row>
    <row r="51" spans="1:18" ht="15.75" x14ac:dyDescent="0.25">
      <c r="A51" s="346">
        <f>ROW()</f>
        <v>51</v>
      </c>
      <c r="B51" s="72" t="s">
        <v>597</v>
      </c>
      <c r="C51" s="440">
        <f>Levers!B38</f>
        <v>-15495261.666420124</v>
      </c>
      <c r="D51" s="440"/>
      <c r="E51" s="440"/>
      <c r="F51" s="448">
        <f>Levers!C38</f>
        <v>-20352722.721774668</v>
      </c>
      <c r="G51" s="447">
        <f>Levers!D38</f>
        <v>1450817.99962283</v>
      </c>
      <c r="H51" s="447">
        <f>Levers!E38</f>
        <v>1204748.8206879236</v>
      </c>
      <c r="I51" s="447">
        <f>Levers!F38</f>
        <v>950756.07545906678</v>
      </c>
      <c r="J51" s="447">
        <f>Levers!G38</f>
        <v>689160.52553670504</v>
      </c>
      <c r="K51" s="447">
        <f>Levers!H38</f>
        <v>419734.42633329995</v>
      </c>
      <c r="L51" s="447">
        <f>Levers!I38</f>
        <v>142243.20771475136</v>
      </c>
      <c r="R51" s="343"/>
    </row>
    <row r="52" spans="1:18" ht="15.75" x14ac:dyDescent="0.25">
      <c r="A52" s="346">
        <f>ROW()</f>
        <v>52</v>
      </c>
      <c r="B52" s="72" t="s">
        <v>598</v>
      </c>
      <c r="C52" s="440">
        <f>Levers!B39</f>
        <v>-1113.1557534288586</v>
      </c>
      <c r="D52" s="440"/>
      <c r="E52" s="440"/>
      <c r="F52" s="448">
        <f>Levers!C39</f>
        <v>0</v>
      </c>
      <c r="G52" s="447">
        <f>Levers!D39</f>
        <v>625.34719512022741</v>
      </c>
      <c r="H52" s="447">
        <f>Levers!E39</f>
        <v>519.28380819472397</v>
      </c>
      <c r="I52" s="447">
        <f>Levers!F39</f>
        <v>409.80512041235284</v>
      </c>
      <c r="J52" s="447">
        <f>Levers!G39</f>
        <v>297.04938989177037</v>
      </c>
      <c r="K52" s="447">
        <f>Levers!H39</f>
        <v>180.91845170873526</v>
      </c>
      <c r="L52" s="447">
        <f>Levers!I39</f>
        <v>61.311198918436638</v>
      </c>
      <c r="R52" s="343"/>
    </row>
    <row r="53" spans="1:18" x14ac:dyDescent="0.25">
      <c r="A53" s="346">
        <f>ROW()</f>
        <v>53</v>
      </c>
      <c r="B53" s="31"/>
      <c r="C53" s="31"/>
      <c r="D53" s="31"/>
      <c r="E53" s="31"/>
      <c r="F53" s="503"/>
      <c r="G53" s="503"/>
      <c r="H53" s="503"/>
      <c r="I53" s="503"/>
      <c r="J53" s="503"/>
      <c r="K53" s="503"/>
      <c r="L53" s="503"/>
      <c r="R53" s="343"/>
    </row>
    <row r="54" spans="1:18" x14ac:dyDescent="0.25">
      <c r="A54" s="346">
        <f>ROW()</f>
        <v>54</v>
      </c>
      <c r="B54" s="1651" t="s">
        <v>827</v>
      </c>
      <c r="C54" s="1651"/>
      <c r="D54" s="1651"/>
      <c r="E54" s="464"/>
      <c r="F54" s="589"/>
      <c r="G54" s="590"/>
      <c r="H54" s="590"/>
      <c r="I54" s="590"/>
      <c r="J54" s="590"/>
      <c r="K54" s="590"/>
      <c r="L54" s="590"/>
      <c r="M54" s="96"/>
      <c r="N54" s="41"/>
      <c r="O54" s="41"/>
      <c r="R54" s="343"/>
    </row>
    <row r="55" spans="1:18" x14ac:dyDescent="0.25">
      <c r="A55" s="346">
        <f>ROW()</f>
        <v>55</v>
      </c>
      <c r="B55" s="33" t="s">
        <v>574</v>
      </c>
      <c r="E55" s="46"/>
      <c r="F55" s="100">
        <f>+Staff!G17</f>
        <v>9</v>
      </c>
      <c r="G55" s="591">
        <f>+Staff!H17</f>
        <v>9</v>
      </c>
      <c r="H55" s="591">
        <f>+Staff!I17</f>
        <v>9</v>
      </c>
      <c r="I55" s="591">
        <f>+Staff!J17</f>
        <v>9</v>
      </c>
      <c r="J55" s="591">
        <f>+Staff!K17</f>
        <v>9</v>
      </c>
      <c r="K55" s="591">
        <f>+Staff!L17</f>
        <v>9</v>
      </c>
      <c r="L55" s="591">
        <f>+Staff!M17</f>
        <v>9</v>
      </c>
      <c r="M55" s="96"/>
      <c r="N55" s="41"/>
      <c r="O55" s="41"/>
      <c r="R55" s="343"/>
    </row>
    <row r="56" spans="1:18" x14ac:dyDescent="0.25">
      <c r="A56" s="346">
        <f>ROW()</f>
        <v>56</v>
      </c>
      <c r="B56" s="72" t="s">
        <v>575</v>
      </c>
      <c r="C56" s="72"/>
      <c r="D56" s="72"/>
      <c r="E56" s="1518"/>
      <c r="F56" s="447">
        <f>+Staff!G18</f>
        <v>21</v>
      </c>
      <c r="G56" s="1519">
        <f>+Staff!H18</f>
        <v>21</v>
      </c>
      <c r="H56" s="1519">
        <f>+Staff!I18</f>
        <v>21</v>
      </c>
      <c r="I56" s="1519">
        <f>+Staff!J18</f>
        <v>21</v>
      </c>
      <c r="J56" s="1519">
        <f>+Staff!K18</f>
        <v>21</v>
      </c>
      <c r="K56" s="1519">
        <f>+Staff!L18</f>
        <v>21</v>
      </c>
      <c r="L56" s="1519">
        <f>+Staff!M18</f>
        <v>21</v>
      </c>
      <c r="M56" s="96"/>
      <c r="N56" s="41"/>
      <c r="O56" s="41"/>
      <c r="R56" s="343"/>
    </row>
    <row r="57" spans="1:18" x14ac:dyDescent="0.25">
      <c r="A57" s="346">
        <f>ROW()</f>
        <v>57</v>
      </c>
      <c r="B57" s="72" t="s">
        <v>576</v>
      </c>
      <c r="C57" s="72"/>
      <c r="D57" s="72"/>
      <c r="E57" s="1518"/>
      <c r="F57" s="447">
        <f>+Staff!G19</f>
        <v>27</v>
      </c>
      <c r="G57" s="1519">
        <f>+Staff!H19</f>
        <v>27</v>
      </c>
      <c r="H57" s="1519">
        <f>+Staff!I19</f>
        <v>27</v>
      </c>
      <c r="I57" s="1519">
        <f>+Staff!J19</f>
        <v>27</v>
      </c>
      <c r="J57" s="1519">
        <f>+Staff!K19</f>
        <v>27</v>
      </c>
      <c r="K57" s="1519">
        <f>+Staff!L19</f>
        <v>27</v>
      </c>
      <c r="L57" s="1519">
        <f>+Staff!M19</f>
        <v>27</v>
      </c>
      <c r="M57" s="96"/>
      <c r="N57" s="41"/>
      <c r="O57" s="41"/>
      <c r="R57" s="343"/>
    </row>
    <row r="58" spans="1:18" x14ac:dyDescent="0.25">
      <c r="A58" s="346">
        <f>ROW()</f>
        <v>58</v>
      </c>
      <c r="B58" s="72" t="s">
        <v>577</v>
      </c>
      <c r="C58" s="72"/>
      <c r="D58" s="72"/>
      <c r="E58" s="1518"/>
      <c r="F58" s="447">
        <f>+Staff!G20</f>
        <v>4</v>
      </c>
      <c r="G58" s="1519">
        <f>+Staff!H20</f>
        <v>4</v>
      </c>
      <c r="H58" s="1519">
        <f>+Staff!I20</f>
        <v>4</v>
      </c>
      <c r="I58" s="1519">
        <f>+Staff!J20</f>
        <v>4</v>
      </c>
      <c r="J58" s="1519">
        <f>+Staff!K20</f>
        <v>4</v>
      </c>
      <c r="K58" s="1519">
        <f>+Staff!L20</f>
        <v>4</v>
      </c>
      <c r="L58" s="1519">
        <f>+Staff!M20</f>
        <v>4</v>
      </c>
      <c r="M58" s="96"/>
      <c r="N58" s="41"/>
      <c r="O58" s="41"/>
      <c r="R58" s="343"/>
    </row>
    <row r="59" spans="1:18" x14ac:dyDescent="0.25">
      <c r="A59" s="346">
        <f>ROW()</f>
        <v>59</v>
      </c>
      <c r="B59" s="72" t="s">
        <v>578</v>
      </c>
      <c r="C59" s="72"/>
      <c r="D59" s="72"/>
      <c r="E59" s="1518"/>
      <c r="F59" s="447">
        <f>+Staff!G21</f>
        <v>10</v>
      </c>
      <c r="G59" s="1519">
        <f>+Staff!H21</f>
        <v>10</v>
      </c>
      <c r="H59" s="1519">
        <f>+Staff!I21</f>
        <v>10</v>
      </c>
      <c r="I59" s="1519">
        <f>+Staff!J21</f>
        <v>10</v>
      </c>
      <c r="J59" s="1519">
        <f>+Staff!K21</f>
        <v>10</v>
      </c>
      <c r="K59" s="1519">
        <f>+Staff!L21</f>
        <v>10</v>
      </c>
      <c r="L59" s="1519">
        <f>+Staff!M21</f>
        <v>10</v>
      </c>
      <c r="M59" s="96"/>
      <c r="N59" s="41"/>
      <c r="O59" s="41"/>
      <c r="R59" s="343"/>
    </row>
    <row r="60" spans="1:18" x14ac:dyDescent="0.25">
      <c r="A60" s="346">
        <f>ROW()</f>
        <v>60</v>
      </c>
      <c r="B60" s="33" t="s">
        <v>579</v>
      </c>
      <c r="E60" s="464"/>
      <c r="F60" s="100">
        <f>+Staff!G22</f>
        <v>51</v>
      </c>
      <c r="G60" s="591">
        <f>+Staff!H22</f>
        <v>51</v>
      </c>
      <c r="H60" s="591">
        <f>+Staff!I22</f>
        <v>51</v>
      </c>
      <c r="I60" s="591">
        <f>+Staff!J22</f>
        <v>51</v>
      </c>
      <c r="J60" s="591">
        <f>+Staff!K22</f>
        <v>51</v>
      </c>
      <c r="K60" s="591">
        <f>+Staff!L22</f>
        <v>51</v>
      </c>
      <c r="L60" s="591">
        <f>+Staff!M22</f>
        <v>51</v>
      </c>
      <c r="M60" s="96"/>
      <c r="N60" s="41"/>
      <c r="O60" s="41"/>
      <c r="R60" s="343"/>
    </row>
    <row r="61" spans="1:18" x14ac:dyDescent="0.25">
      <c r="A61" s="346">
        <f>ROW()</f>
        <v>61</v>
      </c>
      <c r="B61" s="127" t="s">
        <v>828</v>
      </c>
      <c r="C61" s="127"/>
      <c r="D61" s="127"/>
      <c r="E61" s="46"/>
      <c r="F61" s="1520">
        <f>SUM(F55:F60)</f>
        <v>122</v>
      </c>
      <c r="G61" s="1520">
        <f t="shared" ref="G61:L61" si="10">SUM(G55:G60)</f>
        <v>122</v>
      </c>
      <c r="H61" s="1520">
        <f t="shared" si="10"/>
        <v>122</v>
      </c>
      <c r="I61" s="1520">
        <f t="shared" si="10"/>
        <v>122</v>
      </c>
      <c r="J61" s="1520">
        <f t="shared" si="10"/>
        <v>122</v>
      </c>
      <c r="K61" s="1520">
        <f t="shared" si="10"/>
        <v>122</v>
      </c>
      <c r="L61" s="1520">
        <f t="shared" si="10"/>
        <v>122</v>
      </c>
      <c r="M61" s="96"/>
      <c r="N61" s="41"/>
      <c r="O61" s="41"/>
      <c r="R61" s="343"/>
    </row>
    <row r="62" spans="1:18" x14ac:dyDescent="0.25">
      <c r="A62" s="346">
        <f>ROW()</f>
        <v>62</v>
      </c>
      <c r="M62" s="96"/>
      <c r="N62" s="41"/>
      <c r="O62" s="41"/>
      <c r="P62" s="98"/>
      <c r="Q62" s="98"/>
      <c r="R62" s="343"/>
    </row>
    <row r="63" spans="1:18" x14ac:dyDescent="0.25">
      <c r="A63" s="346">
        <f>ROW()</f>
        <v>63</v>
      </c>
      <c r="B63" s="56" t="s">
        <v>829</v>
      </c>
      <c r="C63" s="442"/>
      <c r="D63" s="56"/>
      <c r="E63" s="56"/>
      <c r="F63" s="443"/>
      <c r="G63" s="443"/>
      <c r="H63" s="443"/>
      <c r="I63" s="443"/>
      <c r="J63" s="443"/>
      <c r="K63" s="443"/>
      <c r="L63" s="443"/>
      <c r="R63" s="343"/>
    </row>
    <row r="64" spans="1:18" x14ac:dyDescent="0.25">
      <c r="A64" s="346">
        <f>ROW()</f>
        <v>64</v>
      </c>
      <c r="B64" s="31" t="s">
        <v>830</v>
      </c>
      <c r="C64" s="133" t="s">
        <v>831</v>
      </c>
      <c r="D64" s="32"/>
      <c r="E64" s="32"/>
      <c r="F64" s="1523" t="s">
        <v>832</v>
      </c>
      <c r="G64" s="31" t="s">
        <v>833</v>
      </c>
      <c r="R64" s="343"/>
    </row>
    <row r="65" spans="1:18" x14ac:dyDescent="0.25">
      <c r="A65" s="346">
        <f>ROW()</f>
        <v>65</v>
      </c>
      <c r="B65" s="72" t="s">
        <v>834</v>
      </c>
      <c r="C65" s="801">
        <v>0</v>
      </c>
      <c r="D65" s="97" t="s">
        <v>835</v>
      </c>
      <c r="E65" s="97"/>
      <c r="F65" s="1521">
        <v>0</v>
      </c>
      <c r="G65" s="794">
        <v>50000</v>
      </c>
      <c r="H65" s="794">
        <v>50000</v>
      </c>
      <c r="I65" s="794">
        <v>50000</v>
      </c>
      <c r="J65" s="794">
        <v>50000</v>
      </c>
      <c r="K65" s="794">
        <v>50000</v>
      </c>
      <c r="L65" s="794">
        <v>50000</v>
      </c>
      <c r="R65" s="343"/>
    </row>
    <row r="66" spans="1:18" x14ac:dyDescent="0.25">
      <c r="A66" s="346">
        <f>ROW()</f>
        <v>66</v>
      </c>
      <c r="B66" s="72" t="s">
        <v>836</v>
      </c>
      <c r="C66" s="801">
        <v>0</v>
      </c>
      <c r="D66" s="97" t="s">
        <v>837</v>
      </c>
      <c r="E66" s="97"/>
      <c r="F66" s="1522">
        <v>0</v>
      </c>
      <c r="G66" s="694">
        <v>2500</v>
      </c>
      <c r="H66" s="694">
        <v>2500</v>
      </c>
      <c r="I66" s="694">
        <v>2500</v>
      </c>
      <c r="J66" s="694">
        <v>2500</v>
      </c>
      <c r="K66" s="694">
        <v>2500</v>
      </c>
      <c r="L66" s="694">
        <v>2500</v>
      </c>
      <c r="R66" s="343"/>
    </row>
    <row r="67" spans="1:18" x14ac:dyDescent="0.25">
      <c r="A67" s="346">
        <f>ROW()</f>
        <v>67</v>
      </c>
      <c r="B67" s="72" t="s">
        <v>838</v>
      </c>
      <c r="C67" s="801">
        <v>0</v>
      </c>
      <c r="D67" s="97" t="s">
        <v>839</v>
      </c>
      <c r="E67" s="97"/>
      <c r="F67" s="1522">
        <v>0</v>
      </c>
      <c r="G67" s="694">
        <f t="shared" ref="G67:L67" si="11">$C$67</f>
        <v>0</v>
      </c>
      <c r="H67" s="694">
        <f t="shared" si="11"/>
        <v>0</v>
      </c>
      <c r="I67" s="694">
        <f t="shared" si="11"/>
        <v>0</v>
      </c>
      <c r="J67" s="694">
        <f t="shared" si="11"/>
        <v>0</v>
      </c>
      <c r="K67" s="694">
        <f t="shared" si="11"/>
        <v>0</v>
      </c>
      <c r="L67" s="694">
        <f t="shared" si="11"/>
        <v>0</v>
      </c>
      <c r="R67" s="343" t="s">
        <v>1562</v>
      </c>
    </row>
    <row r="68" spans="1:18" x14ac:dyDescent="0.25">
      <c r="A68" s="346">
        <f>ROW()</f>
        <v>68</v>
      </c>
      <c r="B68" s="72" t="s">
        <v>840</v>
      </c>
      <c r="C68" s="489"/>
      <c r="D68" s="97"/>
      <c r="E68" s="97"/>
      <c r="F68" s="1522">
        <v>0</v>
      </c>
      <c r="G68" s="100"/>
      <c r="H68" s="100"/>
      <c r="I68" s="100"/>
      <c r="J68" s="100"/>
      <c r="K68" s="100"/>
      <c r="L68" s="100"/>
      <c r="R68" s="343"/>
    </row>
    <row r="69" spans="1:18" x14ac:dyDescent="0.25">
      <c r="A69" s="346">
        <f>ROW()</f>
        <v>69</v>
      </c>
      <c r="B69" s="72" t="s">
        <v>841</v>
      </c>
      <c r="C69" s="801">
        <v>0</v>
      </c>
      <c r="D69" s="97" t="s">
        <v>416</v>
      </c>
      <c r="E69" s="97"/>
      <c r="F69" s="1522">
        <v>0</v>
      </c>
      <c r="G69" s="694"/>
      <c r="H69" s="694"/>
      <c r="I69" s="694">
        <f>$C$69*(' Enrol &amp; Rev'!I36-' Enrol &amp; Rev'!H36)</f>
        <v>0</v>
      </c>
      <c r="J69" s="694">
        <f>$C$69*(' Enrol &amp; Rev'!J36-' Enrol &amp; Rev'!I36)</f>
        <v>0</v>
      </c>
      <c r="K69" s="694">
        <f>$C$69*(' Enrol &amp; Rev'!K36-' Enrol &amp; Rev'!J36)</f>
        <v>0</v>
      </c>
      <c r="L69" s="694">
        <f>$C$69*(' Enrol &amp; Rev'!L36-' Enrol &amp; Rev'!K36)</f>
        <v>0</v>
      </c>
      <c r="R69" s="343"/>
    </row>
    <row r="70" spans="1:18" x14ac:dyDescent="0.25">
      <c r="A70" s="346">
        <f>ROW()</f>
        <v>70</v>
      </c>
      <c r="B70" s="72" t="s">
        <v>842</v>
      </c>
      <c r="C70" s="801">
        <v>0</v>
      </c>
      <c r="D70" s="97" t="s">
        <v>843</v>
      </c>
      <c r="E70" s="97"/>
      <c r="F70" s="1522">
        <v>0</v>
      </c>
      <c r="G70" s="694">
        <v>10000</v>
      </c>
      <c r="H70" s="694">
        <v>10000</v>
      </c>
      <c r="I70" s="694">
        <v>10000</v>
      </c>
      <c r="J70" s="694">
        <v>10000</v>
      </c>
      <c r="K70" s="694">
        <v>10000</v>
      </c>
      <c r="L70" s="694">
        <v>10000</v>
      </c>
      <c r="R70" s="343" t="s">
        <v>1559</v>
      </c>
    </row>
    <row r="71" spans="1:18" x14ac:dyDescent="0.25">
      <c r="A71" s="346">
        <f>ROW()</f>
        <v>71</v>
      </c>
      <c r="B71" s="72" t="s">
        <v>844</v>
      </c>
      <c r="C71" s="801">
        <v>0</v>
      </c>
      <c r="D71" s="97" t="s">
        <v>845</v>
      </c>
      <c r="E71" s="97"/>
      <c r="F71" s="1522">
        <v>0</v>
      </c>
      <c r="G71" s="694">
        <v>5000</v>
      </c>
      <c r="H71" s="694">
        <v>5000</v>
      </c>
      <c r="I71" s="694">
        <v>5000</v>
      </c>
      <c r="J71" s="694">
        <v>5000</v>
      </c>
      <c r="K71" s="694">
        <v>5000</v>
      </c>
      <c r="L71" s="694">
        <v>5000</v>
      </c>
      <c r="R71" s="343"/>
    </row>
    <row r="72" spans="1:18" x14ac:dyDescent="0.25">
      <c r="A72" s="346">
        <f>ROW()</f>
        <v>72</v>
      </c>
      <c r="B72" s="72" t="s">
        <v>846</v>
      </c>
      <c r="C72" s="234">
        <v>0</v>
      </c>
      <c r="D72" s="97" t="s">
        <v>416</v>
      </c>
      <c r="E72" s="97"/>
      <c r="F72" s="1522">
        <v>0</v>
      </c>
      <c r="G72" s="694">
        <f>$C$72*' Enrol &amp; Rev'!G36</f>
        <v>0</v>
      </c>
      <c r="H72" s="694">
        <f>$C$72*' Enrol &amp; Rev'!H36</f>
        <v>0</v>
      </c>
      <c r="I72" s="694">
        <f>$C$72*' Enrol &amp; Rev'!I36</f>
        <v>0</v>
      </c>
      <c r="J72" s="694">
        <f>$C$72*' Enrol &amp; Rev'!J36</f>
        <v>0</v>
      </c>
      <c r="K72" s="694">
        <f>$C$72*' Enrol &amp; Rev'!K36</f>
        <v>0</v>
      </c>
      <c r="L72" s="694">
        <f>$C$72*' Enrol &amp; Rev'!L36</f>
        <v>0</v>
      </c>
      <c r="R72" s="343"/>
    </row>
    <row r="73" spans="1:18" x14ac:dyDescent="0.25">
      <c r="A73" s="346">
        <f>ROW()</f>
        <v>73</v>
      </c>
      <c r="B73" s="72" t="s">
        <v>847</v>
      </c>
      <c r="C73" s="234">
        <v>0</v>
      </c>
      <c r="D73" s="97" t="s">
        <v>848</v>
      </c>
      <c r="E73" s="97"/>
      <c r="F73" s="1522">
        <v>0</v>
      </c>
      <c r="G73" s="962">
        <f>$C$73*' Enrol &amp; Rev'!G36</f>
        <v>0</v>
      </c>
      <c r="H73" s="962">
        <f>$C$73*' Enrol &amp; Rev'!H36</f>
        <v>0</v>
      </c>
      <c r="I73" s="962">
        <f>$C$73*' Enrol &amp; Rev'!I36</f>
        <v>0</v>
      </c>
      <c r="J73" s="962">
        <f>$C$73*' Enrol &amp; Rev'!J36</f>
        <v>0</v>
      </c>
      <c r="K73" s="962">
        <f>$C$73*' Enrol &amp; Rev'!K36</f>
        <v>0</v>
      </c>
      <c r="L73" s="962">
        <f>$C$73*' Enrol &amp; Rev'!L36</f>
        <v>0</v>
      </c>
      <c r="R73" s="343"/>
    </row>
    <row r="74" spans="1:18" x14ac:dyDescent="0.25">
      <c r="A74" s="346">
        <f>ROW()</f>
        <v>74</v>
      </c>
      <c r="B74" s="72" t="s">
        <v>849</v>
      </c>
      <c r="C74" s="801">
        <v>0</v>
      </c>
      <c r="D74" s="97" t="s">
        <v>850</v>
      </c>
      <c r="E74" s="97"/>
      <c r="F74" s="1522">
        <v>0</v>
      </c>
      <c r="G74" s="694">
        <f>(' Enrol &amp; Rev'!G119+' Enrol &amp; Rev'!G135)*$C$74</f>
        <v>0</v>
      </c>
      <c r="H74" s="694">
        <f>(' Enrol &amp; Rev'!H119+' Enrol &amp; Rev'!H135)*$C$74</f>
        <v>0</v>
      </c>
      <c r="I74" s="694">
        <f>(' Enrol &amp; Rev'!I119+' Enrol &amp; Rev'!I135)*$C$74</f>
        <v>0</v>
      </c>
      <c r="J74" s="694">
        <f>(' Enrol &amp; Rev'!J119+' Enrol &amp; Rev'!J135)*$C$74</f>
        <v>0</v>
      </c>
      <c r="K74" s="694">
        <f>(' Enrol &amp; Rev'!K119+' Enrol &amp; Rev'!K135)*$C$74</f>
        <v>0</v>
      </c>
      <c r="L74" s="694">
        <f>(' Enrol &amp; Rev'!L119+' Enrol &amp; Rev'!L135)*$C$74</f>
        <v>0</v>
      </c>
      <c r="R74" s="343"/>
    </row>
    <row r="75" spans="1:18" x14ac:dyDescent="0.25">
      <c r="A75" s="346">
        <f>ROW()</f>
        <v>75</v>
      </c>
      <c r="B75" s="72" t="s">
        <v>851</v>
      </c>
      <c r="C75" s="801">
        <v>0</v>
      </c>
      <c r="D75" s="97" t="s">
        <v>850</v>
      </c>
      <c r="E75" s="97"/>
      <c r="F75" s="1522">
        <v>0</v>
      </c>
      <c r="G75" s="694">
        <f>(' Enrol &amp; Rev'!G119+' Enrol &amp; Rev'!G135)*$C$75</f>
        <v>0</v>
      </c>
      <c r="H75" s="694">
        <f>(' Enrol &amp; Rev'!H119+' Enrol &amp; Rev'!H135)*$C$75</f>
        <v>0</v>
      </c>
      <c r="I75" s="694">
        <f>(' Enrol &amp; Rev'!I119+' Enrol &amp; Rev'!I135)*$C$75</f>
        <v>0</v>
      </c>
      <c r="J75" s="694">
        <f>(' Enrol &amp; Rev'!J119+' Enrol &amp; Rev'!J135)*$C$75</f>
        <v>0</v>
      </c>
      <c r="K75" s="694">
        <f>(' Enrol &amp; Rev'!K119+' Enrol &amp; Rev'!K135)*$C$75</f>
        <v>0</v>
      </c>
      <c r="L75" s="694">
        <f>(' Enrol &amp; Rev'!L119+' Enrol &amp; Rev'!L135)*$C$75</f>
        <v>0</v>
      </c>
      <c r="R75" s="343"/>
    </row>
    <row r="76" spans="1:18" x14ac:dyDescent="0.25">
      <c r="A76" s="346">
        <f>ROW()</f>
        <v>76</v>
      </c>
      <c r="B76" s="72" t="s">
        <v>852</v>
      </c>
      <c r="C76" s="801">
        <v>0</v>
      </c>
      <c r="D76" s="97" t="s">
        <v>416</v>
      </c>
      <c r="E76" s="97"/>
      <c r="F76" s="1522">
        <v>0</v>
      </c>
      <c r="G76" s="692">
        <v>350000</v>
      </c>
      <c r="H76" s="692">
        <v>350000</v>
      </c>
      <c r="I76" s="692">
        <v>350000</v>
      </c>
      <c r="J76" s="692">
        <v>350000</v>
      </c>
      <c r="K76" s="692">
        <v>350000</v>
      </c>
      <c r="L76" s="692">
        <v>350000</v>
      </c>
      <c r="R76" s="343" t="s">
        <v>1560</v>
      </c>
    </row>
    <row r="77" spans="1:18" x14ac:dyDescent="0.25">
      <c r="A77" s="346">
        <f>ROW()</f>
        <v>77</v>
      </c>
      <c r="B77" s="72" t="s">
        <v>853</v>
      </c>
      <c r="C77" s="801">
        <v>0</v>
      </c>
      <c r="D77" s="97" t="s">
        <v>416</v>
      </c>
      <c r="E77" s="97"/>
      <c r="F77" s="1522">
        <v>0</v>
      </c>
      <c r="G77" s="692">
        <v>100000</v>
      </c>
      <c r="H77" s="692">
        <v>100000</v>
      </c>
      <c r="I77" s="692">
        <v>100000</v>
      </c>
      <c r="J77" s="692">
        <v>100000</v>
      </c>
      <c r="K77" s="692">
        <v>100000</v>
      </c>
      <c r="L77" s="692">
        <v>100000</v>
      </c>
      <c r="R77" s="343"/>
    </row>
    <row r="78" spans="1:18" x14ac:dyDescent="0.25">
      <c r="A78" s="346">
        <f>ROW()</f>
        <v>78</v>
      </c>
      <c r="B78" s="72" t="s">
        <v>854</v>
      </c>
      <c r="C78" s="801">
        <v>0</v>
      </c>
      <c r="D78" s="97" t="s">
        <v>416</v>
      </c>
      <c r="E78" s="97"/>
      <c r="F78" s="1522">
        <v>0</v>
      </c>
      <c r="G78" s="692">
        <f>$C$77*' Enrol &amp; Rev'!G$36</f>
        <v>0</v>
      </c>
      <c r="H78" s="692">
        <f>$C$77*' Enrol &amp; Rev'!H$36</f>
        <v>0</v>
      </c>
      <c r="I78" s="692">
        <f>$C$77*' Enrol &amp; Rev'!I$36</f>
        <v>0</v>
      </c>
      <c r="J78" s="692">
        <f>$C$77*' Enrol &amp; Rev'!J$36</f>
        <v>0</v>
      </c>
      <c r="K78" s="692">
        <f>$C$77*' Enrol &amp; Rev'!K$36</f>
        <v>0</v>
      </c>
      <c r="L78" s="692">
        <f>$C$77*' Enrol &amp; Rev'!L$36</f>
        <v>0</v>
      </c>
      <c r="R78" s="343" t="s">
        <v>1562</v>
      </c>
    </row>
    <row r="79" spans="1:18" x14ac:dyDescent="0.25">
      <c r="A79" s="346">
        <f>ROW()</f>
        <v>79</v>
      </c>
      <c r="B79" s="72" t="s">
        <v>855</v>
      </c>
      <c r="C79" s="801">
        <v>0</v>
      </c>
      <c r="D79" s="97" t="s">
        <v>416</v>
      </c>
      <c r="E79" s="97"/>
      <c r="F79" s="1522">
        <v>0</v>
      </c>
      <c r="G79" s="692">
        <v>7500</v>
      </c>
      <c r="H79" s="692">
        <v>7500</v>
      </c>
      <c r="I79" s="692">
        <v>7500</v>
      </c>
      <c r="J79" s="692">
        <v>7500</v>
      </c>
      <c r="K79" s="692">
        <v>7500</v>
      </c>
      <c r="L79" s="692">
        <v>7500</v>
      </c>
      <c r="R79" s="343"/>
    </row>
    <row r="80" spans="1:18" x14ac:dyDescent="0.25">
      <c r="A80" s="346">
        <f>ROW()</f>
        <v>80</v>
      </c>
      <c r="B80" s="72" t="s">
        <v>856</v>
      </c>
      <c r="C80" s="801">
        <v>0</v>
      </c>
      <c r="D80" s="97" t="s">
        <v>416</v>
      </c>
      <c r="E80" s="97"/>
      <c r="F80" s="1522">
        <v>0</v>
      </c>
      <c r="G80" s="692">
        <f>$C$80*' Enrol &amp; Rev'!G36</f>
        <v>0</v>
      </c>
      <c r="H80" s="692">
        <f>$C$80*' Enrol &amp; Rev'!H36</f>
        <v>0</v>
      </c>
      <c r="I80" s="692">
        <f>$C$80*' Enrol &amp; Rev'!I36</f>
        <v>0</v>
      </c>
      <c r="J80" s="692">
        <f>$C$80*' Enrol &amp; Rev'!J36</f>
        <v>0</v>
      </c>
      <c r="K80" s="692">
        <f>$C$80*' Enrol &amp; Rev'!K36</f>
        <v>0</v>
      </c>
      <c r="L80" s="692">
        <f>$C$80*' Enrol &amp; Rev'!L36</f>
        <v>0</v>
      </c>
      <c r="R80" s="343"/>
    </row>
    <row r="81" spans="1:18" x14ac:dyDescent="0.25">
      <c r="A81" s="346">
        <f>ROW()</f>
        <v>81</v>
      </c>
      <c r="B81" s="72" t="s">
        <v>857</v>
      </c>
      <c r="C81" s="801">
        <v>0</v>
      </c>
      <c r="D81" s="97" t="s">
        <v>410</v>
      </c>
      <c r="E81" s="97"/>
      <c r="F81" s="1522">
        <v>0</v>
      </c>
      <c r="G81" s="692">
        <f>$C$81*' Enrol &amp; Rev'!G36*' Enrol &amp; Rev'!G94</f>
        <v>0</v>
      </c>
      <c r="H81" s="692">
        <f>$C$81*' Enrol &amp; Rev'!H36*' Enrol &amp; Rev'!H94</f>
        <v>0</v>
      </c>
      <c r="I81" s="692">
        <f>$C$81*' Enrol &amp; Rev'!I36*' Enrol &amp; Rev'!I94</f>
        <v>0</v>
      </c>
      <c r="J81" s="692">
        <f>$C$81*' Enrol &amp; Rev'!J36*' Enrol &amp; Rev'!J94</f>
        <v>0</v>
      </c>
      <c r="K81" s="692">
        <f>$C$81*' Enrol &amp; Rev'!K36*' Enrol &amp; Rev'!K94</f>
        <v>0</v>
      </c>
      <c r="L81" s="692">
        <f>$C$81*' Enrol &amp; Rev'!L36*' Enrol &amp; Rev'!L94</f>
        <v>0</v>
      </c>
      <c r="R81" s="343" t="s">
        <v>1565</v>
      </c>
    </row>
    <row r="82" spans="1:18" x14ac:dyDescent="0.25">
      <c r="A82" s="346">
        <f>ROW()</f>
        <v>82</v>
      </c>
      <c r="B82" s="72" t="s">
        <v>858</v>
      </c>
      <c r="C82" s="801">
        <v>0</v>
      </c>
      <c r="D82" s="97" t="s">
        <v>859</v>
      </c>
      <c r="E82" s="97"/>
      <c r="F82" s="1522">
        <v>0</v>
      </c>
      <c r="G82" s="692">
        <v>300000</v>
      </c>
      <c r="H82" s="692">
        <v>300000</v>
      </c>
      <c r="I82" s="692">
        <v>300000</v>
      </c>
      <c r="J82" s="692">
        <v>300000</v>
      </c>
      <c r="K82" s="692">
        <v>300000</v>
      </c>
      <c r="L82" s="692">
        <v>300000</v>
      </c>
      <c r="R82" s="343" t="s">
        <v>1561</v>
      </c>
    </row>
    <row r="83" spans="1:18" x14ac:dyDescent="0.25">
      <c r="A83" s="346">
        <f>ROW()</f>
        <v>83</v>
      </c>
      <c r="B83" s="72" t="s">
        <v>860</v>
      </c>
      <c r="C83" s="801">
        <v>0</v>
      </c>
      <c r="D83" s="97" t="s">
        <v>861</v>
      </c>
      <c r="E83" s="97"/>
      <c r="F83" s="1522">
        <v>0</v>
      </c>
      <c r="G83" s="692">
        <v>75000</v>
      </c>
      <c r="H83" s="692">
        <v>75000</v>
      </c>
      <c r="I83" s="692">
        <v>75000</v>
      </c>
      <c r="J83" s="692">
        <v>75000</v>
      </c>
      <c r="K83" s="692">
        <v>75000</v>
      </c>
      <c r="L83" s="692">
        <v>75000</v>
      </c>
      <c r="R83" s="343"/>
    </row>
    <row r="84" spans="1:18" x14ac:dyDescent="0.25">
      <c r="A84" s="346">
        <f>ROW()</f>
        <v>84</v>
      </c>
      <c r="B84" s="72" t="s">
        <v>862</v>
      </c>
      <c r="C84" s="801">
        <v>0</v>
      </c>
      <c r="D84" s="97" t="s">
        <v>863</v>
      </c>
      <c r="E84" s="97"/>
      <c r="F84" s="1522">
        <v>0</v>
      </c>
      <c r="G84" s="692">
        <f>$C$84*(' Enrol &amp; Rev'!G36-' Enrol &amp; Rev'!F36)</f>
        <v>0</v>
      </c>
      <c r="H84" s="692">
        <f>$C$84*(' Enrol &amp; Rev'!H36-' Enrol &amp; Rev'!G36)</f>
        <v>0</v>
      </c>
      <c r="I84" s="692">
        <f>$C$84*(' Enrol &amp; Rev'!I36-' Enrol &amp; Rev'!H36)</f>
        <v>0</v>
      </c>
      <c r="J84" s="692">
        <f>$C$84*(' Enrol &amp; Rev'!J36-' Enrol &amp; Rev'!I36)</f>
        <v>0</v>
      </c>
      <c r="K84" s="692">
        <f>$C$84*(' Enrol &amp; Rev'!K36-' Enrol &amp; Rev'!J36)</f>
        <v>0</v>
      </c>
      <c r="L84" s="692">
        <f>$C$84*(' Enrol &amp; Rev'!L36-' Enrol &amp; Rev'!K36)</f>
        <v>0</v>
      </c>
      <c r="R84" s="343"/>
    </row>
    <row r="85" spans="1:18" x14ac:dyDescent="0.25">
      <c r="A85" s="346">
        <f>ROW()</f>
        <v>85</v>
      </c>
      <c r="B85" s="72" t="s">
        <v>864</v>
      </c>
      <c r="C85" s="801">
        <v>0</v>
      </c>
      <c r="D85" s="97" t="s">
        <v>865</v>
      </c>
      <c r="E85" s="97"/>
      <c r="F85" s="1522">
        <v>0</v>
      </c>
      <c r="G85" s="692">
        <v>0</v>
      </c>
      <c r="H85" s="692">
        <v>0</v>
      </c>
      <c r="I85" s="692">
        <v>0</v>
      </c>
      <c r="J85" s="692">
        <v>0</v>
      </c>
      <c r="K85" s="692">
        <v>0</v>
      </c>
      <c r="L85" s="692">
        <v>0</v>
      </c>
      <c r="R85" s="343"/>
    </row>
    <row r="86" spans="1:18" x14ac:dyDescent="0.25">
      <c r="A86" s="346">
        <f>ROW()</f>
        <v>86</v>
      </c>
      <c r="B86" s="72" t="s">
        <v>866</v>
      </c>
      <c r="C86" s="801">
        <v>0</v>
      </c>
      <c r="D86" s="97" t="s">
        <v>867</v>
      </c>
      <c r="E86" s="97"/>
      <c r="F86" s="1522">
        <v>0</v>
      </c>
      <c r="G86" s="692">
        <v>5000</v>
      </c>
      <c r="H86" s="692">
        <v>5000</v>
      </c>
      <c r="I86" s="692">
        <v>5000</v>
      </c>
      <c r="J86" s="692">
        <v>5000</v>
      </c>
      <c r="K86" s="692">
        <v>5000</v>
      </c>
      <c r="L86" s="692">
        <v>5000</v>
      </c>
      <c r="R86" s="343"/>
    </row>
    <row r="87" spans="1:18" x14ac:dyDescent="0.25">
      <c r="A87" s="346">
        <f>ROW()</f>
        <v>87</v>
      </c>
      <c r="B87" s="72" t="s">
        <v>868</v>
      </c>
      <c r="C87" s="801">
        <v>0</v>
      </c>
      <c r="D87" s="97" t="s">
        <v>869</v>
      </c>
      <c r="E87" s="97"/>
      <c r="F87" s="1522">
        <v>0</v>
      </c>
      <c r="G87" s="692">
        <v>25000</v>
      </c>
      <c r="H87" s="692">
        <v>25000</v>
      </c>
      <c r="I87" s="692">
        <v>25000</v>
      </c>
      <c r="J87" s="692">
        <v>25000</v>
      </c>
      <c r="K87" s="692">
        <v>25000</v>
      </c>
      <c r="L87" s="692">
        <v>25000</v>
      </c>
      <c r="R87" s="343"/>
    </row>
    <row r="88" spans="1:18" x14ac:dyDescent="0.25">
      <c r="A88" s="346">
        <f>ROW()</f>
        <v>88</v>
      </c>
      <c r="B88" s="72" t="s">
        <v>870</v>
      </c>
      <c r="C88" s="801">
        <v>0</v>
      </c>
      <c r="D88" s="97" t="s">
        <v>867</v>
      </c>
      <c r="E88" s="97"/>
      <c r="F88" s="1522">
        <v>0</v>
      </c>
      <c r="G88" s="692">
        <v>31000</v>
      </c>
      <c r="H88" s="692">
        <v>31000</v>
      </c>
      <c r="I88" s="692">
        <v>31000</v>
      </c>
      <c r="J88" s="692">
        <v>31000</v>
      </c>
      <c r="K88" s="692">
        <v>31000</v>
      </c>
      <c r="L88" s="692">
        <v>31000</v>
      </c>
      <c r="R88" s="343"/>
    </row>
    <row r="89" spans="1:18" x14ac:dyDescent="0.25">
      <c r="A89" s="346">
        <f>ROW()</f>
        <v>89</v>
      </c>
      <c r="B89" s="72" t="s">
        <v>871</v>
      </c>
      <c r="C89" s="801">
        <v>0</v>
      </c>
      <c r="D89" s="97" t="s">
        <v>848</v>
      </c>
      <c r="E89" s="97"/>
      <c r="F89" s="1522">
        <v>0</v>
      </c>
      <c r="G89" s="692">
        <f>+G193</f>
        <v>0</v>
      </c>
      <c r="H89" s="692">
        <f t="shared" ref="H89:L89" si="12">+H193</f>
        <v>0</v>
      </c>
      <c r="I89" s="692">
        <f t="shared" si="12"/>
        <v>0</v>
      </c>
      <c r="J89" s="692">
        <f t="shared" si="12"/>
        <v>0</v>
      </c>
      <c r="K89" s="692">
        <f t="shared" si="12"/>
        <v>0</v>
      </c>
      <c r="L89" s="692">
        <f t="shared" si="12"/>
        <v>0</v>
      </c>
      <c r="R89" s="343"/>
    </row>
    <row r="90" spans="1:18" x14ac:dyDescent="0.25">
      <c r="A90" s="346">
        <f>ROW()</f>
        <v>90</v>
      </c>
      <c r="B90" s="72" t="s">
        <v>872</v>
      </c>
      <c r="C90" s="801">
        <v>0</v>
      </c>
      <c r="D90" s="97" t="s">
        <v>416</v>
      </c>
      <c r="E90" s="97"/>
      <c r="F90" s="1522">
        <v>0</v>
      </c>
      <c r="G90" s="692">
        <v>15000</v>
      </c>
      <c r="H90" s="692">
        <v>15000</v>
      </c>
      <c r="I90" s="692">
        <v>15000</v>
      </c>
      <c r="J90" s="692">
        <v>15000</v>
      </c>
      <c r="K90" s="692">
        <v>15000</v>
      </c>
      <c r="L90" s="692">
        <v>15000</v>
      </c>
      <c r="R90" s="343"/>
    </row>
    <row r="91" spans="1:18" x14ac:dyDescent="0.25">
      <c r="A91" s="346">
        <f>ROW()</f>
        <v>91</v>
      </c>
      <c r="B91" s="72" t="s">
        <v>873</v>
      </c>
      <c r="C91" s="801">
        <v>0</v>
      </c>
      <c r="D91" s="97" t="s">
        <v>416</v>
      </c>
      <c r="E91" s="97"/>
      <c r="F91" s="1522">
        <v>0</v>
      </c>
      <c r="G91" s="692">
        <v>8000</v>
      </c>
      <c r="H91" s="692">
        <v>8000</v>
      </c>
      <c r="I91" s="692">
        <v>8000</v>
      </c>
      <c r="J91" s="692">
        <v>8000</v>
      </c>
      <c r="K91" s="692">
        <v>8000</v>
      </c>
      <c r="L91" s="692">
        <v>8000</v>
      </c>
      <c r="R91" s="343"/>
    </row>
    <row r="92" spans="1:18" x14ac:dyDescent="0.25">
      <c r="A92" s="346">
        <f>ROW()</f>
        <v>92</v>
      </c>
      <c r="B92" s="72" t="s">
        <v>874</v>
      </c>
      <c r="C92" s="801">
        <v>0</v>
      </c>
      <c r="D92" s="97" t="s">
        <v>835</v>
      </c>
      <c r="E92" s="97"/>
      <c r="F92" s="1522">
        <v>0</v>
      </c>
      <c r="G92" s="692">
        <v>15000</v>
      </c>
      <c r="H92" s="692">
        <v>15000</v>
      </c>
      <c r="I92" s="692">
        <v>15000</v>
      </c>
      <c r="J92" s="692">
        <v>15000</v>
      </c>
      <c r="K92" s="692">
        <v>15000</v>
      </c>
      <c r="L92" s="692">
        <v>15000</v>
      </c>
      <c r="R92" s="343"/>
    </row>
    <row r="93" spans="1:18" x14ac:dyDescent="0.25">
      <c r="A93" s="346">
        <f>ROW()</f>
        <v>93</v>
      </c>
      <c r="B93" s="72" t="s">
        <v>875</v>
      </c>
      <c r="C93" s="801">
        <v>0</v>
      </c>
      <c r="D93" s="97" t="s">
        <v>835</v>
      </c>
      <c r="E93" s="97"/>
      <c r="F93" s="1522">
        <v>0</v>
      </c>
      <c r="G93" s="692">
        <v>5000</v>
      </c>
      <c r="H93" s="692">
        <v>5000</v>
      </c>
      <c r="I93" s="692">
        <v>5000</v>
      </c>
      <c r="J93" s="692">
        <v>5000</v>
      </c>
      <c r="K93" s="692">
        <v>5000</v>
      </c>
      <c r="L93" s="692">
        <v>5000</v>
      </c>
      <c r="R93" s="343"/>
    </row>
    <row r="94" spans="1:18" x14ac:dyDescent="0.25">
      <c r="A94" s="346">
        <f>ROW()</f>
        <v>94</v>
      </c>
      <c r="B94" s="72" t="s">
        <v>876</v>
      </c>
      <c r="C94" s="801">
        <v>0</v>
      </c>
      <c r="D94" s="97" t="s">
        <v>835</v>
      </c>
      <c r="E94" s="97"/>
      <c r="F94" s="1522">
        <v>0</v>
      </c>
      <c r="G94" s="692">
        <v>1000</v>
      </c>
      <c r="H94" s="692">
        <f>$C$94*Staff!I$23</f>
        <v>0</v>
      </c>
      <c r="I94" s="692">
        <f>$C$94*Staff!J$23</f>
        <v>0</v>
      </c>
      <c r="J94" s="692">
        <f>$C$94*Staff!K$23</f>
        <v>0</v>
      </c>
      <c r="K94" s="692">
        <f>$C$94*Staff!L$23</f>
        <v>0</v>
      </c>
      <c r="L94" s="692">
        <f>$C$94*Staff!M$23</f>
        <v>0</v>
      </c>
      <c r="R94" s="343"/>
    </row>
    <row r="95" spans="1:18" x14ac:dyDescent="0.25">
      <c r="A95" s="346">
        <f>ROW()</f>
        <v>95</v>
      </c>
      <c r="B95" s="72" t="s">
        <v>877</v>
      </c>
      <c r="C95" s="801">
        <v>0</v>
      </c>
      <c r="D95" s="97" t="s">
        <v>878</v>
      </c>
      <c r="E95" s="97"/>
      <c r="F95" s="1522">
        <v>0</v>
      </c>
      <c r="G95" s="692">
        <v>1000</v>
      </c>
      <c r="H95" s="692">
        <v>1000</v>
      </c>
      <c r="I95" s="692">
        <v>1000</v>
      </c>
      <c r="J95" s="692">
        <v>1000</v>
      </c>
      <c r="K95" s="692">
        <v>1000</v>
      </c>
      <c r="L95" s="692">
        <v>1000</v>
      </c>
      <c r="R95" s="343"/>
    </row>
    <row r="96" spans="1:18" x14ac:dyDescent="0.25">
      <c r="A96" s="346">
        <f>ROW()</f>
        <v>96</v>
      </c>
      <c r="B96" s="72" t="s">
        <v>879</v>
      </c>
      <c r="C96" s="801">
        <v>0</v>
      </c>
      <c r="D96" s="97" t="s">
        <v>867</v>
      </c>
      <c r="E96" s="97"/>
      <c r="F96" s="1522">
        <v>0</v>
      </c>
      <c r="G96" s="692">
        <f t="shared" ref="G96:L96" si="13">$C$96</f>
        <v>0</v>
      </c>
      <c r="H96" s="692">
        <f t="shared" si="13"/>
        <v>0</v>
      </c>
      <c r="I96" s="692">
        <f t="shared" si="13"/>
        <v>0</v>
      </c>
      <c r="J96" s="692">
        <f t="shared" si="13"/>
        <v>0</v>
      </c>
      <c r="K96" s="692">
        <f t="shared" si="13"/>
        <v>0</v>
      </c>
      <c r="L96" s="692">
        <f t="shared" si="13"/>
        <v>0</v>
      </c>
      <c r="R96" s="343"/>
    </row>
    <row r="97" spans="1:18" x14ac:dyDescent="0.25">
      <c r="A97" s="346">
        <f>ROW()</f>
        <v>97</v>
      </c>
      <c r="B97" s="72" t="s">
        <v>880</v>
      </c>
      <c r="C97" s="801">
        <v>0</v>
      </c>
      <c r="D97" s="97" t="s">
        <v>881</v>
      </c>
      <c r="E97" s="97"/>
      <c r="F97" s="1522">
        <v>0</v>
      </c>
      <c r="G97" s="692">
        <v>30000</v>
      </c>
      <c r="H97" s="692">
        <v>30000</v>
      </c>
      <c r="I97" s="692">
        <v>30000</v>
      </c>
      <c r="J97" s="692">
        <v>30000</v>
      </c>
      <c r="K97" s="692">
        <v>30000</v>
      </c>
      <c r="L97" s="692">
        <v>30000</v>
      </c>
      <c r="R97" s="343"/>
    </row>
    <row r="98" spans="1:18" x14ac:dyDescent="0.25">
      <c r="A98" s="346">
        <f>ROW()</f>
        <v>98</v>
      </c>
      <c r="B98" s="72" t="s">
        <v>882</v>
      </c>
      <c r="C98" s="801">
        <v>0</v>
      </c>
      <c r="D98" s="97" t="s">
        <v>881</v>
      </c>
      <c r="E98" s="97"/>
      <c r="F98" s="1522">
        <v>0</v>
      </c>
      <c r="G98" s="692">
        <v>0</v>
      </c>
      <c r="H98" s="692">
        <f>$C$98*' Enrol &amp; Rev'!H17</f>
        <v>0</v>
      </c>
      <c r="I98" s="692">
        <f>$C$98*' Enrol &amp; Rev'!I17</f>
        <v>0</v>
      </c>
      <c r="J98" s="692">
        <f>$C$98*' Enrol &amp; Rev'!J17</f>
        <v>0</v>
      </c>
      <c r="K98" s="692">
        <f>$C$98*' Enrol &amp; Rev'!K17</f>
        <v>0</v>
      </c>
      <c r="L98" s="692">
        <f>$C$98*' Enrol &amp; Rev'!L17</f>
        <v>0</v>
      </c>
      <c r="R98" s="343"/>
    </row>
    <row r="99" spans="1:18" x14ac:dyDescent="0.25">
      <c r="A99" s="346">
        <f>ROW()</f>
        <v>99</v>
      </c>
      <c r="B99" s="72" t="s">
        <v>883</v>
      </c>
      <c r="C99" s="234">
        <v>0</v>
      </c>
      <c r="D99" s="97" t="s">
        <v>605</v>
      </c>
      <c r="E99" s="97"/>
      <c r="F99" s="1522">
        <v>0</v>
      </c>
      <c r="G99" s="692">
        <f t="shared" ref="G99:L100" si="14">+$C99</f>
        <v>0</v>
      </c>
      <c r="H99" s="692">
        <f t="shared" si="14"/>
        <v>0</v>
      </c>
      <c r="I99" s="692">
        <f t="shared" si="14"/>
        <v>0</v>
      </c>
      <c r="J99" s="692">
        <f t="shared" si="14"/>
        <v>0</v>
      </c>
      <c r="K99" s="692">
        <f t="shared" si="14"/>
        <v>0</v>
      </c>
      <c r="L99" s="692">
        <f t="shared" si="14"/>
        <v>0</v>
      </c>
      <c r="R99" s="343"/>
    </row>
    <row r="100" spans="1:18" x14ac:dyDescent="0.25">
      <c r="A100" s="346">
        <f>ROW()</f>
        <v>100</v>
      </c>
      <c r="B100" s="72" t="s">
        <v>884</v>
      </c>
      <c r="C100" s="234">
        <v>0</v>
      </c>
      <c r="D100" s="97" t="s">
        <v>605</v>
      </c>
      <c r="E100" s="97"/>
      <c r="F100" s="1522">
        <v>0</v>
      </c>
      <c r="G100" s="692">
        <f t="shared" si="14"/>
        <v>0</v>
      </c>
      <c r="H100" s="692">
        <f t="shared" si="14"/>
        <v>0</v>
      </c>
      <c r="I100" s="692">
        <f t="shared" si="14"/>
        <v>0</v>
      </c>
      <c r="J100" s="692">
        <f t="shared" si="14"/>
        <v>0</v>
      </c>
      <c r="K100" s="692">
        <f t="shared" si="14"/>
        <v>0</v>
      </c>
      <c r="L100" s="692">
        <f t="shared" si="14"/>
        <v>0</v>
      </c>
      <c r="R100" s="343"/>
    </row>
    <row r="101" spans="1:18" x14ac:dyDescent="0.25">
      <c r="A101" s="346">
        <f>ROW()</f>
        <v>101</v>
      </c>
      <c r="B101" s="72" t="s">
        <v>885</v>
      </c>
      <c r="C101" s="234">
        <v>0</v>
      </c>
      <c r="D101" s="97" t="s">
        <v>605</v>
      </c>
      <c r="E101" s="97"/>
      <c r="F101" s="1522">
        <v>0</v>
      </c>
      <c r="G101" s="692">
        <v>0</v>
      </c>
      <c r="H101" s="692">
        <v>0</v>
      </c>
      <c r="I101" s="692">
        <v>0</v>
      </c>
      <c r="J101" s="692">
        <v>0</v>
      </c>
      <c r="K101" s="692">
        <v>0</v>
      </c>
      <c r="L101" s="692">
        <v>0</v>
      </c>
      <c r="R101" s="343"/>
    </row>
    <row r="102" spans="1:18" x14ac:dyDescent="0.25">
      <c r="A102" s="346">
        <f>ROW()</f>
        <v>102</v>
      </c>
      <c r="B102" s="72" t="s">
        <v>886</v>
      </c>
      <c r="C102" s="801">
        <v>0</v>
      </c>
      <c r="D102" s="97" t="s">
        <v>867</v>
      </c>
      <c r="E102" s="97"/>
      <c r="F102" s="1522">
        <v>0</v>
      </c>
      <c r="G102" s="692">
        <v>25000</v>
      </c>
      <c r="H102" s="692">
        <v>25000</v>
      </c>
      <c r="I102" s="692">
        <v>25000</v>
      </c>
      <c r="J102" s="692">
        <v>25000</v>
      </c>
      <c r="K102" s="692">
        <v>25000</v>
      </c>
      <c r="L102" s="692">
        <v>25000</v>
      </c>
      <c r="R102" s="343"/>
    </row>
    <row r="103" spans="1:18" x14ac:dyDescent="0.25">
      <c r="A103" s="346">
        <f>ROW()</f>
        <v>103</v>
      </c>
      <c r="B103" s="72" t="s">
        <v>887</v>
      </c>
      <c r="C103" s="234" t="s">
        <v>888</v>
      </c>
      <c r="D103" s="97" t="s">
        <v>889</v>
      </c>
      <c r="E103" s="97"/>
      <c r="F103" s="1522">
        <v>0</v>
      </c>
      <c r="G103" s="692">
        <v>0</v>
      </c>
      <c r="H103" s="692">
        <f>IF($C$103="yes",Staff!$C$73*Staff!$C$72*Staff!$C$71,0)</f>
        <v>0</v>
      </c>
      <c r="I103" s="692">
        <f>IF($C$103="yes",Staff!$C$73*Staff!$C$72*Staff!$C$71,0)</f>
        <v>0</v>
      </c>
      <c r="J103" s="692">
        <f>IF($C$103="yes",Staff!$C$73*Staff!$C$72*Staff!$C$71,0)</f>
        <v>0</v>
      </c>
      <c r="K103" s="692">
        <f>IF($C$103="yes",Staff!$C$73*Staff!$C$72*Staff!$C$71,0)</f>
        <v>0</v>
      </c>
      <c r="L103" s="692">
        <f>IF($C$103="yes",Staff!$C$73*Staff!$C$72*Staff!$C$71,0)</f>
        <v>0</v>
      </c>
      <c r="R103" s="343"/>
    </row>
    <row r="104" spans="1:18" x14ac:dyDescent="0.25">
      <c r="A104" s="346">
        <f>ROW()</f>
        <v>104</v>
      </c>
      <c r="C104" s="130"/>
      <c r="D104" s="58"/>
      <c r="E104" s="58"/>
      <c r="F104" s="310"/>
      <c r="G104" s="310"/>
      <c r="H104" s="310"/>
      <c r="I104" s="310"/>
      <c r="J104" s="310"/>
      <c r="K104" s="310"/>
      <c r="L104" s="310"/>
      <c r="R104" s="343"/>
    </row>
    <row r="105" spans="1:18" ht="15.75" thickBot="1" x14ac:dyDescent="0.3">
      <c r="A105" s="346">
        <f>ROW()</f>
        <v>105</v>
      </c>
      <c r="B105" s="966" t="s">
        <v>890</v>
      </c>
      <c r="C105" s="967"/>
      <c r="D105" s="966"/>
      <c r="E105" s="966"/>
      <c r="F105" s="968">
        <f t="shared" ref="F105:L105" si="15">SUM(F65:F104)</f>
        <v>0</v>
      </c>
      <c r="G105" s="968">
        <f t="shared" si="15"/>
        <v>1061000</v>
      </c>
      <c r="H105" s="968">
        <f t="shared" si="15"/>
        <v>1060000</v>
      </c>
      <c r="I105" s="968">
        <f t="shared" si="15"/>
        <v>1060000</v>
      </c>
      <c r="J105" s="968">
        <f t="shared" si="15"/>
        <v>1060000</v>
      </c>
      <c r="K105" s="968">
        <f t="shared" si="15"/>
        <v>1060000</v>
      </c>
      <c r="L105" s="968">
        <f t="shared" si="15"/>
        <v>1060000</v>
      </c>
      <c r="R105" s="343"/>
    </row>
    <row r="106" spans="1:18" ht="15.75" thickTop="1" x14ac:dyDescent="0.25">
      <c r="A106" s="346">
        <f>ROW()</f>
        <v>106</v>
      </c>
      <c r="B106" s="80" t="s">
        <v>416</v>
      </c>
      <c r="C106" s="134"/>
      <c r="D106" s="80"/>
      <c r="E106" s="80"/>
      <c r="F106" s="593">
        <f>IFERROR(F105/' Enrol &amp; Rev'!F36,0)</f>
        <v>0</v>
      </c>
      <c r="G106" s="593">
        <f>IFERROR(G105/' Enrol &amp; Rev'!G36,0)</f>
        <v>457.3236437616917</v>
      </c>
      <c r="H106" s="593">
        <f>IFERROR(H105/' Enrol &amp; Rev'!H36,0)</f>
        <v>456.89261299471559</v>
      </c>
      <c r="I106" s="593">
        <f>IFERROR(I105/' Enrol &amp; Rev'!I36,0)</f>
        <v>456.89261299471559</v>
      </c>
      <c r="J106" s="593">
        <f>IFERROR(J105/' Enrol &amp; Rev'!J36,0)</f>
        <v>456.89261299471559</v>
      </c>
      <c r="K106" s="593">
        <f>IFERROR(K105/' Enrol &amp; Rev'!K36,0)</f>
        <v>456.89261299471559</v>
      </c>
      <c r="L106" s="593">
        <f>IFERROR(L105/' Enrol &amp; Rev'!L36,0)</f>
        <v>456.89261299471559</v>
      </c>
      <c r="M106" s="80"/>
      <c r="N106" s="80"/>
      <c r="O106" s="80"/>
      <c r="P106" s="80"/>
      <c r="Q106" s="80"/>
      <c r="R106" s="343"/>
    </row>
    <row r="107" spans="1:18" x14ac:dyDescent="0.25">
      <c r="A107" s="346">
        <f>ROW()</f>
        <v>107</v>
      </c>
      <c r="B107" s="31"/>
      <c r="C107" s="133"/>
      <c r="D107" s="31"/>
      <c r="E107" s="80"/>
      <c r="F107" s="130"/>
      <c r="G107" s="575"/>
      <c r="H107" s="575"/>
      <c r="I107" s="575"/>
      <c r="J107" s="575"/>
      <c r="K107" s="575"/>
      <c r="L107" s="575"/>
      <c r="M107" s="59"/>
      <c r="R107" s="343"/>
    </row>
    <row r="108" spans="1:18" x14ac:dyDescent="0.25">
      <c r="A108" s="346">
        <f>ROW()</f>
        <v>108</v>
      </c>
      <c r="B108" s="31" t="s">
        <v>891</v>
      </c>
      <c r="C108" s="133"/>
      <c r="D108" s="31"/>
      <c r="E108" s="80"/>
      <c r="F108" s="575"/>
      <c r="G108" s="575"/>
      <c r="H108" s="575"/>
      <c r="I108" s="575"/>
      <c r="J108" s="575"/>
      <c r="K108" s="575"/>
      <c r="L108" s="575"/>
      <c r="R108" s="343"/>
    </row>
    <row r="109" spans="1:18" x14ac:dyDescent="0.25">
      <c r="A109" s="346">
        <f>ROW()</f>
        <v>109</v>
      </c>
      <c r="B109" s="33" t="s">
        <v>452</v>
      </c>
      <c r="C109" s="133"/>
      <c r="D109" s="31"/>
      <c r="E109" s="80"/>
      <c r="F109" s="1346"/>
      <c r="G109" s="1346"/>
      <c r="H109" s="1346"/>
      <c r="I109" s="1346"/>
      <c r="J109" s="1346"/>
      <c r="K109" s="1346"/>
      <c r="L109" s="1346"/>
      <c r="R109" s="343"/>
    </row>
    <row r="110" spans="1:18" x14ac:dyDescent="0.25">
      <c r="A110" s="346">
        <f>ROW()</f>
        <v>110</v>
      </c>
      <c r="B110" s="33" t="s">
        <v>892</v>
      </c>
      <c r="C110" s="133"/>
      <c r="D110" s="31"/>
      <c r="E110" s="80"/>
      <c r="F110" s="1346"/>
      <c r="G110" s="1346">
        <v>35000</v>
      </c>
      <c r="H110" s="1346">
        <v>35000</v>
      </c>
      <c r="I110" s="1346">
        <v>35000</v>
      </c>
      <c r="J110" s="1346">
        <v>35000</v>
      </c>
      <c r="K110" s="1346">
        <v>35000</v>
      </c>
      <c r="L110" s="1346">
        <v>35000</v>
      </c>
      <c r="R110" s="343"/>
    </row>
    <row r="111" spans="1:18" x14ac:dyDescent="0.25">
      <c r="A111" s="346">
        <f>ROW()</f>
        <v>111</v>
      </c>
      <c r="B111" s="33" t="s">
        <v>453</v>
      </c>
      <c r="C111" s="133"/>
      <c r="D111" s="31"/>
      <c r="E111" s="80"/>
      <c r="F111" s="1346"/>
      <c r="G111" s="1346"/>
      <c r="H111" s="1346"/>
      <c r="I111" s="1346"/>
      <c r="J111" s="1346"/>
      <c r="K111" s="1346"/>
      <c r="L111" s="1346"/>
      <c r="R111" s="343"/>
    </row>
    <row r="112" spans="1:18" x14ac:dyDescent="0.25">
      <c r="A112" s="346">
        <f>ROW()</f>
        <v>112</v>
      </c>
      <c r="B112" s="33" t="s">
        <v>454</v>
      </c>
      <c r="C112" s="133"/>
      <c r="D112" s="31"/>
      <c r="E112" s="80"/>
      <c r="F112" s="1346"/>
      <c r="G112" s="1346"/>
      <c r="H112" s="1346"/>
      <c r="I112" s="1346"/>
      <c r="J112" s="1346"/>
      <c r="K112" s="1346"/>
      <c r="L112" s="1346"/>
      <c r="R112" s="343"/>
    </row>
    <row r="113" spans="1:18" x14ac:dyDescent="0.25">
      <c r="A113" s="346">
        <f>ROW()</f>
        <v>113</v>
      </c>
      <c r="B113" s="33" t="s">
        <v>893</v>
      </c>
      <c r="C113" s="133"/>
      <c r="D113" s="31"/>
      <c r="E113" s="80"/>
      <c r="F113" s="1346"/>
      <c r="G113" s="1346"/>
      <c r="H113" s="1346"/>
      <c r="I113" s="1346"/>
      <c r="J113" s="1346"/>
      <c r="K113" s="1346"/>
      <c r="L113" s="1346"/>
      <c r="R113" s="343"/>
    </row>
    <row r="114" spans="1:18" x14ac:dyDescent="0.25">
      <c r="A114" s="346">
        <f>ROW()</f>
        <v>114</v>
      </c>
      <c r="B114" s="33" t="s">
        <v>456</v>
      </c>
      <c r="C114" s="133"/>
      <c r="D114" s="31"/>
      <c r="E114" s="80"/>
      <c r="F114" s="1346"/>
      <c r="G114" s="1346"/>
      <c r="H114" s="1346"/>
      <c r="I114" s="1346"/>
      <c r="J114" s="1346"/>
      <c r="K114" s="1346"/>
      <c r="L114" s="1346"/>
      <c r="R114" s="343"/>
    </row>
    <row r="115" spans="1:18" x14ac:dyDescent="0.25">
      <c r="A115" s="346">
        <f>ROW()</f>
        <v>115</v>
      </c>
      <c r="B115" s="33" t="s">
        <v>894</v>
      </c>
      <c r="C115" s="133"/>
      <c r="D115" s="31"/>
      <c r="E115" s="80"/>
      <c r="F115" s="1346"/>
      <c r="G115" s="1346"/>
      <c r="H115" s="1346"/>
      <c r="I115" s="1346"/>
      <c r="J115" s="1346"/>
      <c r="K115" s="1346"/>
      <c r="L115" s="1346"/>
      <c r="R115" s="343"/>
    </row>
    <row r="116" spans="1:18" x14ac:dyDescent="0.25">
      <c r="A116" s="346">
        <f>ROW()</f>
        <v>116</v>
      </c>
      <c r="B116" s="33" t="s">
        <v>457</v>
      </c>
      <c r="C116" s="133"/>
      <c r="D116" s="31"/>
      <c r="E116" s="80"/>
      <c r="F116" s="1346"/>
      <c r="G116" s="1346"/>
      <c r="H116" s="1346"/>
      <c r="I116" s="1346"/>
      <c r="J116" s="1346"/>
      <c r="K116" s="1346"/>
      <c r="L116" s="1346"/>
      <c r="R116" s="343"/>
    </row>
    <row r="117" spans="1:18" x14ac:dyDescent="0.25">
      <c r="A117" s="346">
        <f>ROW()</f>
        <v>117</v>
      </c>
      <c r="B117" s="33" t="s">
        <v>895</v>
      </c>
      <c r="C117" s="133"/>
      <c r="D117" s="31"/>
      <c r="E117" s="80"/>
      <c r="F117" s="1346"/>
      <c r="G117" s="1346"/>
      <c r="H117" s="1346"/>
      <c r="I117" s="1346"/>
      <c r="J117" s="1346"/>
      <c r="K117" s="1346"/>
      <c r="L117" s="1346"/>
      <c r="R117" s="343"/>
    </row>
    <row r="118" spans="1:18" x14ac:dyDescent="0.25">
      <c r="A118" s="346">
        <f>ROW()</f>
        <v>118</v>
      </c>
      <c r="B118" s="33" t="s">
        <v>459</v>
      </c>
      <c r="C118" s="133"/>
      <c r="D118" s="31"/>
      <c r="E118" s="80"/>
      <c r="F118" s="1346"/>
      <c r="G118" s="1346"/>
      <c r="H118" s="1346"/>
      <c r="I118" s="1346"/>
      <c r="J118" s="1346"/>
      <c r="K118" s="1346"/>
      <c r="L118" s="1346"/>
      <c r="R118" s="343"/>
    </row>
    <row r="119" spans="1:18" x14ac:dyDescent="0.25">
      <c r="A119" s="346">
        <f>ROW()</f>
        <v>119</v>
      </c>
      <c r="B119" s="33" t="s">
        <v>896</v>
      </c>
      <c r="C119" s="133"/>
      <c r="D119" s="31"/>
      <c r="E119" s="80"/>
      <c r="F119" s="1346"/>
      <c r="G119" s="1346"/>
      <c r="H119" s="1346"/>
      <c r="I119" s="1346"/>
      <c r="J119" s="1346"/>
      <c r="K119" s="1346"/>
      <c r="L119" s="1346"/>
      <c r="R119" s="343"/>
    </row>
    <row r="120" spans="1:18" x14ac:dyDescent="0.25">
      <c r="A120" s="346">
        <f>ROW()</f>
        <v>120</v>
      </c>
      <c r="B120" s="33" t="s">
        <v>897</v>
      </c>
      <c r="C120" s="133"/>
      <c r="D120" s="31"/>
      <c r="E120" s="80"/>
      <c r="F120" s="1346"/>
      <c r="G120" s="1346"/>
      <c r="H120" s="1346"/>
      <c r="I120" s="1346"/>
      <c r="J120" s="1346"/>
      <c r="K120" s="1346"/>
      <c r="L120" s="1346"/>
      <c r="R120" s="343"/>
    </row>
    <row r="121" spans="1:18" x14ac:dyDescent="0.25">
      <c r="A121" s="346">
        <f>ROW()</f>
        <v>121</v>
      </c>
      <c r="B121" s="33" t="s">
        <v>898</v>
      </c>
      <c r="C121" s="133"/>
      <c r="D121" s="31"/>
      <c r="E121" s="80"/>
      <c r="F121" s="1346"/>
      <c r="G121" s="1346"/>
      <c r="H121" s="1347"/>
      <c r="I121" s="1347"/>
      <c r="J121" s="1347"/>
      <c r="K121" s="1347"/>
      <c r="L121" s="1347"/>
      <c r="R121" s="343"/>
    </row>
    <row r="122" spans="1:18" x14ac:dyDescent="0.25">
      <c r="A122" s="346">
        <f>ROW()</f>
        <v>122</v>
      </c>
      <c r="B122" s="33" t="s">
        <v>899</v>
      </c>
      <c r="C122" s="133"/>
      <c r="D122" s="31"/>
      <c r="E122" s="80"/>
      <c r="F122" s="1346"/>
      <c r="G122" s="1346">
        <v>10000</v>
      </c>
      <c r="H122" s="1346">
        <v>10000</v>
      </c>
      <c r="I122" s="1346">
        <v>10000</v>
      </c>
      <c r="J122" s="1346">
        <v>10000</v>
      </c>
      <c r="K122" s="1346">
        <v>10000</v>
      </c>
      <c r="L122" s="1346">
        <v>10000</v>
      </c>
      <c r="R122" s="343"/>
    </row>
    <row r="123" spans="1:18" x14ac:dyDescent="0.25">
      <c r="A123" s="346">
        <f>ROW()</f>
        <v>123</v>
      </c>
      <c r="B123" s="33" t="s">
        <v>900</v>
      </c>
      <c r="C123" s="133"/>
      <c r="D123" s="31"/>
      <c r="E123" s="80"/>
      <c r="F123" s="1346"/>
      <c r="G123" s="1346"/>
      <c r="H123" s="1346"/>
      <c r="I123" s="1346"/>
      <c r="J123" s="1346"/>
      <c r="K123" s="1346"/>
      <c r="L123" s="1346"/>
      <c r="R123" s="343" t="s">
        <v>901</v>
      </c>
    </row>
    <row r="124" spans="1:18" x14ac:dyDescent="0.25">
      <c r="A124" s="346">
        <f>ROW()</f>
        <v>124</v>
      </c>
      <c r="B124" s="33" t="s">
        <v>902</v>
      </c>
      <c r="C124" s="133"/>
      <c r="D124" s="31"/>
      <c r="E124" s="80"/>
      <c r="F124" s="1346"/>
      <c r="G124" s="1346"/>
      <c r="H124" s="1346"/>
      <c r="I124" s="1346"/>
      <c r="J124" s="1346"/>
      <c r="K124" s="1346"/>
      <c r="L124" s="1346"/>
      <c r="R124" s="343" t="s">
        <v>901</v>
      </c>
    </row>
    <row r="125" spans="1:18" x14ac:dyDescent="0.25">
      <c r="A125" s="346">
        <f>ROW()</f>
        <v>125</v>
      </c>
      <c r="B125" s="33" t="s">
        <v>903</v>
      </c>
      <c r="C125" s="133"/>
      <c r="D125" s="31"/>
      <c r="E125" s="80"/>
      <c r="F125" s="1346"/>
      <c r="G125" s="1346"/>
      <c r="H125" s="1346"/>
      <c r="I125" s="1346"/>
      <c r="J125" s="1346"/>
      <c r="K125" s="1346"/>
      <c r="L125" s="1346"/>
      <c r="R125" s="343"/>
    </row>
    <row r="126" spans="1:18" x14ac:dyDescent="0.25">
      <c r="A126" s="346">
        <f>ROW()</f>
        <v>126</v>
      </c>
      <c r="B126" s="33" t="s">
        <v>468</v>
      </c>
      <c r="C126" s="133"/>
      <c r="D126" s="31"/>
      <c r="E126" s="80"/>
      <c r="F126" s="1346"/>
      <c r="G126" s="1346"/>
      <c r="H126" s="1346"/>
      <c r="I126" s="1346"/>
      <c r="J126" s="1346"/>
      <c r="K126" s="1346"/>
      <c r="L126" s="1346"/>
      <c r="R126" s="343"/>
    </row>
    <row r="127" spans="1:18" x14ac:dyDescent="0.25">
      <c r="A127" s="346">
        <f>ROW()</f>
        <v>127</v>
      </c>
      <c r="B127" s="33" t="s">
        <v>469</v>
      </c>
      <c r="C127" s="133"/>
      <c r="D127" s="31"/>
      <c r="E127" s="80"/>
      <c r="F127" s="1346"/>
      <c r="G127" s="1346"/>
      <c r="H127" s="1346"/>
      <c r="I127" s="1346"/>
      <c r="J127" s="1346"/>
      <c r="K127" s="1346"/>
      <c r="L127" s="1346"/>
      <c r="R127" s="343"/>
    </row>
    <row r="128" spans="1:18" x14ac:dyDescent="0.25">
      <c r="A128" s="346">
        <f>ROW()</f>
        <v>128</v>
      </c>
      <c r="C128" s="133"/>
      <c r="D128" s="31"/>
      <c r="E128" s="80"/>
      <c r="F128" s="1346"/>
      <c r="G128" s="1346"/>
      <c r="H128" s="1346"/>
      <c r="I128" s="1346"/>
      <c r="J128" s="1346"/>
      <c r="K128" s="1346"/>
      <c r="L128" s="1346"/>
      <c r="R128" s="343"/>
    </row>
    <row r="129" spans="1:18" x14ac:dyDescent="0.25">
      <c r="A129" s="346">
        <f>ROW()</f>
        <v>129</v>
      </c>
      <c r="B129" s="1443" t="s">
        <v>1525</v>
      </c>
      <c r="C129" s="133"/>
      <c r="D129" s="31"/>
      <c r="E129" s="80"/>
      <c r="F129" s="1346">
        <v>175232</v>
      </c>
      <c r="G129" s="1346">
        <v>175232</v>
      </c>
      <c r="H129" s="1346">
        <v>175232</v>
      </c>
      <c r="I129" s="1346">
        <v>175232</v>
      </c>
      <c r="J129" s="1346">
        <v>175232</v>
      </c>
      <c r="K129" s="1346">
        <v>175232</v>
      </c>
      <c r="L129" s="1346">
        <v>175232</v>
      </c>
      <c r="R129" s="343" t="s">
        <v>1557</v>
      </c>
    </row>
    <row r="130" spans="1:18" x14ac:dyDescent="0.25">
      <c r="A130" s="346">
        <f>ROW()</f>
        <v>130</v>
      </c>
      <c r="B130" s="1443" t="s">
        <v>1526</v>
      </c>
      <c r="C130" s="133"/>
      <c r="D130" s="31"/>
      <c r="E130" s="80"/>
      <c r="F130" s="1346">
        <v>447756.28</v>
      </c>
      <c r="G130" s="1346">
        <v>447756.28</v>
      </c>
      <c r="H130" s="1346">
        <v>447756.28</v>
      </c>
      <c r="I130" s="1346">
        <v>447756.28</v>
      </c>
      <c r="J130" s="1346">
        <v>447756.28</v>
      </c>
      <c r="K130" s="1346">
        <v>447756.28</v>
      </c>
      <c r="L130" s="1346">
        <v>447756.28</v>
      </c>
      <c r="R130" s="343" t="s">
        <v>1557</v>
      </c>
    </row>
    <row r="131" spans="1:18" x14ac:dyDescent="0.25">
      <c r="A131" s="346">
        <f>ROW()</f>
        <v>131</v>
      </c>
      <c r="B131" s="1443" t="s">
        <v>1527</v>
      </c>
      <c r="C131" s="133"/>
      <c r="D131" s="31"/>
      <c r="E131" s="80"/>
      <c r="F131" s="1346">
        <v>110151</v>
      </c>
      <c r="G131" s="1346">
        <v>110151</v>
      </c>
      <c r="H131" s="1346">
        <v>110151</v>
      </c>
      <c r="I131" s="1346">
        <v>110151</v>
      </c>
      <c r="J131" s="1346">
        <v>110151</v>
      </c>
      <c r="K131" s="1346">
        <v>110151</v>
      </c>
      <c r="L131" s="1346">
        <v>110151</v>
      </c>
      <c r="R131" s="343" t="s">
        <v>1557</v>
      </c>
    </row>
    <row r="132" spans="1:18" x14ac:dyDescent="0.25">
      <c r="A132" s="346">
        <f>ROW()</f>
        <v>132</v>
      </c>
      <c r="B132" s="1443" t="s">
        <v>1528</v>
      </c>
      <c r="C132" s="133"/>
      <c r="D132" s="31"/>
      <c r="E132" s="80"/>
      <c r="F132" s="1346">
        <v>76358.16</v>
      </c>
      <c r="G132" s="1346">
        <v>76358.16</v>
      </c>
      <c r="H132" s="1346">
        <v>76358.16</v>
      </c>
      <c r="I132" s="1346">
        <v>76358.16</v>
      </c>
      <c r="J132" s="1346">
        <v>76358.16</v>
      </c>
      <c r="K132" s="1346">
        <v>76358.16</v>
      </c>
      <c r="L132" s="1346">
        <v>76358.16</v>
      </c>
      <c r="R132" s="343" t="s">
        <v>1557</v>
      </c>
    </row>
    <row r="133" spans="1:18" x14ac:dyDescent="0.25">
      <c r="A133" s="346">
        <f>ROW()</f>
        <v>133</v>
      </c>
      <c r="B133" s="1443" t="s">
        <v>1529</v>
      </c>
      <c r="C133" s="133"/>
      <c r="D133" s="31"/>
      <c r="E133" s="80"/>
      <c r="F133" s="1346">
        <v>524647</v>
      </c>
      <c r="G133" s="1346">
        <v>524647</v>
      </c>
      <c r="H133" s="1346">
        <v>524647</v>
      </c>
      <c r="I133" s="1346">
        <v>524647</v>
      </c>
      <c r="J133" s="1346">
        <v>524647</v>
      </c>
      <c r="K133" s="1346">
        <v>524647</v>
      </c>
      <c r="L133" s="1346">
        <v>524647</v>
      </c>
      <c r="R133" s="343" t="s">
        <v>1557</v>
      </c>
    </row>
    <row r="134" spans="1:18" x14ac:dyDescent="0.25">
      <c r="A134" s="346">
        <f>ROW()</f>
        <v>134</v>
      </c>
      <c r="B134" s="1443" t="s">
        <v>1530</v>
      </c>
      <c r="C134" s="133"/>
      <c r="D134" s="31"/>
      <c r="E134" s="80"/>
      <c r="F134" s="1346">
        <f>680000+2463534.31-125000</f>
        <v>3018534.31</v>
      </c>
      <c r="G134" s="1346">
        <f t="shared" ref="G134:L134" si="16">680000+2463534.31-125000</f>
        <v>3018534.31</v>
      </c>
      <c r="H134" s="1346">
        <f t="shared" si="16"/>
        <v>3018534.31</v>
      </c>
      <c r="I134" s="1346">
        <f t="shared" si="16"/>
        <v>3018534.31</v>
      </c>
      <c r="J134" s="1346">
        <f t="shared" si="16"/>
        <v>3018534.31</v>
      </c>
      <c r="K134" s="1346">
        <f t="shared" si="16"/>
        <v>3018534.31</v>
      </c>
      <c r="L134" s="1346">
        <f t="shared" si="16"/>
        <v>3018534.31</v>
      </c>
      <c r="R134" s="343" t="s">
        <v>1557</v>
      </c>
    </row>
    <row r="135" spans="1:18" x14ac:dyDescent="0.25">
      <c r="A135" s="346">
        <f>ROW()</f>
        <v>135</v>
      </c>
      <c r="B135" s="1443" t="s">
        <v>1531</v>
      </c>
      <c r="C135" s="133"/>
      <c r="D135" s="31"/>
      <c r="E135" s="80"/>
      <c r="F135" s="1346">
        <f>SUM(F129:F134)*0.185</f>
        <v>805245.56874999998</v>
      </c>
      <c r="G135" s="1346">
        <f t="shared" ref="G135:L135" si="17">SUM(G129:G134)*0.185</f>
        <v>805245.56874999998</v>
      </c>
      <c r="H135" s="1346">
        <f t="shared" si="17"/>
        <v>805245.56874999998</v>
      </c>
      <c r="I135" s="1346">
        <f t="shared" si="17"/>
        <v>805245.56874999998</v>
      </c>
      <c r="J135" s="1346">
        <f t="shared" si="17"/>
        <v>805245.56874999998</v>
      </c>
      <c r="K135" s="1346">
        <f t="shared" si="17"/>
        <v>805245.56874999998</v>
      </c>
      <c r="L135" s="1346">
        <f t="shared" si="17"/>
        <v>805245.56874999998</v>
      </c>
      <c r="R135" s="343" t="s">
        <v>1557</v>
      </c>
    </row>
    <row r="136" spans="1:18" x14ac:dyDescent="0.25">
      <c r="A136" s="346">
        <f>ROW()</f>
        <v>136</v>
      </c>
      <c r="B136" s="1443" t="s">
        <v>1574</v>
      </c>
      <c r="C136" s="133"/>
      <c r="D136" s="31"/>
      <c r="E136" s="80"/>
      <c r="F136" s="1346">
        <v>545000</v>
      </c>
      <c r="G136" s="1346">
        <v>545000</v>
      </c>
      <c r="H136" s="1346">
        <v>545000</v>
      </c>
      <c r="I136" s="1346">
        <v>545000</v>
      </c>
      <c r="J136" s="1346">
        <v>545000</v>
      </c>
      <c r="K136" s="1346">
        <v>545000</v>
      </c>
      <c r="L136" s="1346">
        <v>545000</v>
      </c>
      <c r="R136" s="343"/>
    </row>
    <row r="137" spans="1:18" x14ac:dyDescent="0.25">
      <c r="A137" s="346">
        <f>ROW()</f>
        <v>137</v>
      </c>
      <c r="B137" s="1443" t="s">
        <v>904</v>
      </c>
      <c r="C137" s="133"/>
      <c r="D137" s="31"/>
      <c r="E137" s="80"/>
      <c r="F137" s="1346"/>
      <c r="G137" s="1346"/>
      <c r="H137" s="1346"/>
      <c r="I137" s="1346"/>
      <c r="J137" s="1346"/>
      <c r="K137" s="1346"/>
      <c r="L137" s="1346"/>
      <c r="R137" s="343"/>
    </row>
    <row r="138" spans="1:18" x14ac:dyDescent="0.25">
      <c r="A138" s="346">
        <f>ROW()</f>
        <v>138</v>
      </c>
      <c r="B138" s="1443" t="s">
        <v>904</v>
      </c>
      <c r="C138" s="133"/>
      <c r="D138" s="31"/>
      <c r="E138" s="80"/>
      <c r="F138" s="1346"/>
      <c r="G138" s="1346"/>
      <c r="H138" s="1346"/>
      <c r="I138" s="1346"/>
      <c r="J138" s="1346"/>
      <c r="K138" s="1346"/>
      <c r="L138" s="1346"/>
      <c r="R138" s="343"/>
    </row>
    <row r="139" spans="1:18" x14ac:dyDescent="0.25">
      <c r="A139" s="346">
        <f>ROW()</f>
        <v>139</v>
      </c>
      <c r="B139" s="1443" t="s">
        <v>904</v>
      </c>
      <c r="C139" s="133"/>
      <c r="D139" s="31"/>
      <c r="E139" s="80"/>
      <c r="F139" s="1346"/>
      <c r="G139" s="1346"/>
      <c r="H139" s="1346"/>
      <c r="I139" s="1346"/>
      <c r="J139" s="1346"/>
      <c r="K139" s="1346"/>
      <c r="L139" s="1346"/>
      <c r="R139" s="343"/>
    </row>
    <row r="140" spans="1:18" x14ac:dyDescent="0.25">
      <c r="A140" s="346">
        <f>ROW()</f>
        <v>140</v>
      </c>
      <c r="B140" s="343"/>
      <c r="C140" s="133"/>
      <c r="D140" s="31"/>
      <c r="E140" s="80"/>
      <c r="F140" s="1346"/>
      <c r="G140" s="1346"/>
      <c r="H140" s="1346"/>
      <c r="I140" s="1346"/>
      <c r="J140" s="1346"/>
      <c r="K140" s="1346"/>
      <c r="L140" s="1346"/>
      <c r="R140" s="343"/>
    </row>
    <row r="141" spans="1:18" x14ac:dyDescent="0.25">
      <c r="A141" s="346">
        <f>ROW()</f>
        <v>141</v>
      </c>
      <c r="B141" s="343" t="s">
        <v>1563</v>
      </c>
      <c r="C141" s="133"/>
      <c r="D141" s="31"/>
      <c r="E141" s="80"/>
      <c r="F141" s="1346">
        <v>10000</v>
      </c>
      <c r="G141" s="1346">
        <v>10000</v>
      </c>
      <c r="H141" s="1346">
        <v>10000</v>
      </c>
      <c r="I141" s="1346">
        <v>10000</v>
      </c>
      <c r="J141" s="1346">
        <v>10000</v>
      </c>
      <c r="K141" s="1346">
        <v>10000</v>
      </c>
      <c r="L141" s="1346">
        <v>10000</v>
      </c>
      <c r="R141" s="343"/>
    </row>
    <row r="142" spans="1:18" x14ac:dyDescent="0.25">
      <c r="A142" s="346">
        <f>ROW()</f>
        <v>142</v>
      </c>
      <c r="B142" s="31"/>
      <c r="C142" s="130"/>
      <c r="D142" s="58"/>
      <c r="E142" s="80"/>
      <c r="F142" s="789"/>
      <c r="G142" s="789"/>
      <c r="H142" s="789"/>
      <c r="I142" s="789"/>
      <c r="J142" s="789"/>
      <c r="K142" s="789"/>
      <c r="L142" s="789"/>
      <c r="R142" s="343"/>
    </row>
    <row r="143" spans="1:18" ht="15.75" thickBot="1" x14ac:dyDescent="0.3">
      <c r="A143" s="346">
        <f>ROW()</f>
        <v>143</v>
      </c>
      <c r="B143" s="966" t="s">
        <v>905</v>
      </c>
      <c r="C143" s="967"/>
      <c r="D143" s="966"/>
      <c r="E143" s="966"/>
      <c r="F143" s="968">
        <f t="shared" ref="F143:L143" si="18">SUM(F109:F141)</f>
        <v>5712924.3187499996</v>
      </c>
      <c r="G143" s="968">
        <f t="shared" si="18"/>
        <v>5757924.3187499996</v>
      </c>
      <c r="H143" s="968">
        <f t="shared" si="18"/>
        <v>5757924.3187499996</v>
      </c>
      <c r="I143" s="968">
        <f t="shared" si="18"/>
        <v>5757924.3187499996</v>
      </c>
      <c r="J143" s="968">
        <f t="shared" si="18"/>
        <v>5757924.3187499996</v>
      </c>
      <c r="K143" s="968">
        <f t="shared" si="18"/>
        <v>5757924.3187499996</v>
      </c>
      <c r="L143" s="968">
        <f t="shared" si="18"/>
        <v>5757924.3187499996</v>
      </c>
      <c r="R143" s="343"/>
    </row>
    <row r="144" spans="1:18" ht="15.75" thickTop="1" x14ac:dyDescent="0.25">
      <c r="A144" s="346">
        <f>ROW()</f>
        <v>144</v>
      </c>
      <c r="B144" s="31"/>
      <c r="C144" s="133"/>
      <c r="D144" s="31"/>
      <c r="E144" s="80"/>
      <c r="F144" s="130"/>
      <c r="G144" s="130"/>
      <c r="H144" s="130"/>
      <c r="I144" s="575"/>
      <c r="J144" s="575"/>
      <c r="K144" s="575"/>
      <c r="L144" s="575"/>
      <c r="N144" s="59"/>
      <c r="O144" s="59"/>
      <c r="P144" s="59"/>
      <c r="Q144" s="59"/>
      <c r="R144" s="343"/>
    </row>
    <row r="145" spans="1:18" x14ac:dyDescent="0.25">
      <c r="A145" s="346">
        <f>ROW()</f>
        <v>145</v>
      </c>
      <c r="B145" s="31" t="s">
        <v>906</v>
      </c>
      <c r="C145" s="133" t="s">
        <v>907</v>
      </c>
      <c r="D145" s="31"/>
      <c r="E145" s="31"/>
      <c r="F145" s="130"/>
      <c r="G145" s="130"/>
      <c r="H145" s="130"/>
      <c r="I145" s="575"/>
      <c r="J145" s="575"/>
      <c r="K145" s="575"/>
      <c r="L145" s="575"/>
      <c r="N145" s="59"/>
      <c r="O145" s="59"/>
      <c r="P145" s="59"/>
      <c r="Q145" s="59"/>
      <c r="R145" s="343"/>
    </row>
    <row r="146" spans="1:18" x14ac:dyDescent="0.25">
      <c r="A146" s="346">
        <f>ROW()</f>
        <v>146</v>
      </c>
      <c r="B146" s="33" t="s">
        <v>908</v>
      </c>
      <c r="C146" s="323" t="s">
        <v>888</v>
      </c>
      <c r="D146" s="348">
        <v>0</v>
      </c>
      <c r="E146" s="596"/>
      <c r="F146" s="575"/>
      <c r="G146" s="575">
        <f>IF($C$146="yes",' Enrol &amp; Rev'!G36*Staff!$C$70*$D$146,(' Enrol &amp; Rev'!G36*' Enrol &amp; Rev'!G92)*Staff!$C$70*$D$146)</f>
        <v>0</v>
      </c>
      <c r="H146" s="575">
        <f>IF($C$146="yes",' Enrol &amp; Rev'!H36*Staff!$C$70*$D$146,(' Enrol &amp; Rev'!H36*' Enrol &amp; Rev'!H92)*Staff!$C$70*$D$146)</f>
        <v>0</v>
      </c>
      <c r="I146" s="575">
        <f>IF($C$146="yes",' Enrol &amp; Rev'!I36*Staff!$C$70*$D$146,(' Enrol &amp; Rev'!I36*' Enrol &amp; Rev'!I92)*Staff!$C$70*$D$146)</f>
        <v>0</v>
      </c>
      <c r="J146" s="575">
        <f>IF($C$146="yes",' Enrol &amp; Rev'!J36*Staff!$C$70*$D$146,(' Enrol &amp; Rev'!J36*' Enrol &amp; Rev'!J92)*Staff!$C$70*$D$146)</f>
        <v>0</v>
      </c>
      <c r="K146" s="575">
        <f>IF($C$146="yes",' Enrol &amp; Rev'!K36*Staff!$C$70*$D$146,(' Enrol &amp; Rev'!K36*' Enrol &amp; Rev'!K92)*Staff!$C$70*$D$146)</f>
        <v>0</v>
      </c>
      <c r="L146" s="575">
        <f>IF($C$146="yes",' Enrol &amp; Rev'!L36*Staff!$C$70*$D$146,(' Enrol &amp; Rev'!L36*' Enrol &amp; Rev'!L92)*Staff!$C$70*$D$146)</f>
        <v>0</v>
      </c>
      <c r="R146" s="343"/>
    </row>
    <row r="147" spans="1:18" x14ac:dyDescent="0.25">
      <c r="A147" s="346">
        <f>ROW()</f>
        <v>147</v>
      </c>
      <c r="B147" s="43" t="s">
        <v>909</v>
      </c>
      <c r="C147" s="323" t="s">
        <v>888</v>
      </c>
      <c r="D147" s="598">
        <v>0</v>
      </c>
      <c r="E147" s="597"/>
      <c r="F147" s="790"/>
      <c r="G147" s="575">
        <f>IF($C$147="yes",' Enrol &amp; Rev'!G36*Staff!$C$70*$D$147,(' Enrol &amp; Rev'!G36*' Enrol &amp; Rev'!G92)*Staff!$C$70*$D$147)</f>
        <v>0</v>
      </c>
      <c r="H147" s="575">
        <f>IF($C$147="yes",' Enrol &amp; Rev'!H36*Staff!$C$70*$D$147,(' Enrol &amp; Rev'!H36*' Enrol &amp; Rev'!H92)*Staff!$C$70*$D$147)</f>
        <v>0</v>
      </c>
      <c r="I147" s="575">
        <f>IF($C$147="yes",' Enrol &amp; Rev'!I36*Staff!$C$70*$D$147,(' Enrol &amp; Rev'!I36*' Enrol &amp; Rev'!I92)*Staff!$C$70*$D$147)</f>
        <v>0</v>
      </c>
      <c r="J147" s="575">
        <f>IF($C$147="yes",' Enrol &amp; Rev'!J36*Staff!$C$70*$D$147,(' Enrol &amp; Rev'!J36*' Enrol &amp; Rev'!J92)*Staff!$C$70*$D$147)</f>
        <v>0</v>
      </c>
      <c r="K147" s="575">
        <f>IF($C$147="yes",' Enrol &amp; Rev'!K36*Staff!$C$70*$D$147,(' Enrol &amp; Rev'!K36*' Enrol &amp; Rev'!K92)*Staff!$C$70*$D$147)</f>
        <v>0</v>
      </c>
      <c r="L147" s="575">
        <f>IF($C$147="yes",' Enrol &amp; Rev'!L36*Staff!$C$70*$D$147,(' Enrol &amp; Rev'!L36*' Enrol &amp; Rev'!L92)*Staff!$C$70*$D$147)</f>
        <v>0</v>
      </c>
      <c r="M147" s="43"/>
      <c r="N147" s="43"/>
      <c r="O147" s="43"/>
      <c r="P147" s="43"/>
      <c r="Q147" s="43"/>
      <c r="R147" s="343"/>
    </row>
    <row r="148" spans="1:18" x14ac:dyDescent="0.25">
      <c r="A148" s="346">
        <f>ROW()</f>
        <v>148</v>
      </c>
      <c r="B148" s="33" t="s">
        <v>910</v>
      </c>
      <c r="C148" s="323" t="s">
        <v>888</v>
      </c>
      <c r="D148" s="348">
        <v>0</v>
      </c>
      <c r="E148" s="596"/>
      <c r="F148" s="575"/>
      <c r="G148" s="575">
        <f>IF($C$148="yes",$D$148*' Enrol &amp; Rev'!G36*Staff!$C$70,0)</f>
        <v>0</v>
      </c>
      <c r="H148" s="575">
        <f>IF($C$148="yes",$D$148*' Enrol &amp; Rev'!H36*Staff!$C$70,0)</f>
        <v>0</v>
      </c>
      <c r="I148" s="575">
        <f>IF($C$148="yes",$D$148*' Enrol &amp; Rev'!I36*Staff!$C$70,0)</f>
        <v>0</v>
      </c>
      <c r="J148" s="575">
        <f>IF($C$148="yes",$D$148*' Enrol &amp; Rev'!J36*Staff!$C$70,0)</f>
        <v>0</v>
      </c>
      <c r="K148" s="575">
        <f>IF($C$148="yes",$D$148*' Enrol &amp; Rev'!K36*Staff!$C$70,0)</f>
        <v>0</v>
      </c>
      <c r="L148" s="575">
        <f>IF($C$148="yes",$D$148*' Enrol &amp; Rev'!L36*Staff!$C$70,0)</f>
        <v>0</v>
      </c>
      <c r="R148" s="343"/>
    </row>
    <row r="149" spans="1:18" x14ac:dyDescent="0.25">
      <c r="A149" s="346">
        <f>ROW()</f>
        <v>149</v>
      </c>
      <c r="B149" s="33" t="s">
        <v>911</v>
      </c>
      <c r="C149" s="323" t="s">
        <v>888</v>
      </c>
      <c r="D149" s="348">
        <v>0</v>
      </c>
      <c r="E149" s="596"/>
      <c r="F149" s="575"/>
      <c r="G149" s="575">
        <f>IF($C$149="yes",$D$149*Staff!$C$71*' Enrol &amp; Rev'!G36,0)</f>
        <v>0</v>
      </c>
      <c r="H149" s="575">
        <f>IF($C$149="yes",$D$149*Staff!$C$71*' Enrol &amp; Rev'!H36,0)</f>
        <v>0</v>
      </c>
      <c r="I149" s="575">
        <f>IF($C$149="yes",$D$149*Staff!$C$71*' Enrol &amp; Rev'!I36,0)</f>
        <v>0</v>
      </c>
      <c r="J149" s="575">
        <f>IF($C$149="yes",$D$149*Staff!$C$71*' Enrol &amp; Rev'!J36,0)</f>
        <v>0</v>
      </c>
      <c r="K149" s="575">
        <f>IF($C$149="yes",$D$149*Staff!$C$71*' Enrol &amp; Rev'!K36,0)</f>
        <v>0</v>
      </c>
      <c r="L149" s="575">
        <f>IF($C$149="yes",$D$149*Staff!$C$71*' Enrol &amp; Rev'!L36,0)</f>
        <v>0</v>
      </c>
      <c r="R149" s="343"/>
    </row>
    <row r="150" spans="1:18" x14ac:dyDescent="0.25">
      <c r="A150" s="346">
        <f>ROW()</f>
        <v>150</v>
      </c>
      <c r="C150" s="130"/>
      <c r="F150" s="789"/>
      <c r="G150" s="789"/>
      <c r="H150" s="789"/>
      <c r="I150" s="789"/>
      <c r="J150" s="789"/>
      <c r="K150" s="789"/>
      <c r="L150" s="789"/>
      <c r="R150" s="343"/>
    </row>
    <row r="151" spans="1:18" ht="15.75" thickBot="1" x14ac:dyDescent="0.3">
      <c r="A151" s="346">
        <f>ROW()</f>
        <v>151</v>
      </c>
      <c r="B151" s="966" t="s">
        <v>912</v>
      </c>
      <c r="C151" s="967"/>
      <c r="D151" s="966"/>
      <c r="E151" s="966"/>
      <c r="F151" s="968">
        <f t="shared" ref="F151:L151" si="19">SUM(F146:F149)</f>
        <v>0</v>
      </c>
      <c r="G151" s="968">
        <f t="shared" si="19"/>
        <v>0</v>
      </c>
      <c r="H151" s="968">
        <f t="shared" si="19"/>
        <v>0</v>
      </c>
      <c r="I151" s="968">
        <f t="shared" si="19"/>
        <v>0</v>
      </c>
      <c r="J151" s="968">
        <f t="shared" si="19"/>
        <v>0</v>
      </c>
      <c r="K151" s="968">
        <f t="shared" si="19"/>
        <v>0</v>
      </c>
      <c r="L151" s="968">
        <f t="shared" si="19"/>
        <v>0</v>
      </c>
      <c r="R151" s="343"/>
    </row>
    <row r="152" spans="1:18" ht="15.75" thickTop="1" x14ac:dyDescent="0.25">
      <c r="A152" s="346">
        <f>ROW()</f>
        <v>152</v>
      </c>
      <c r="C152" s="130"/>
      <c r="F152" s="575"/>
      <c r="G152" s="575"/>
      <c r="H152" s="575"/>
      <c r="I152" s="575"/>
      <c r="J152" s="575"/>
      <c r="K152" s="575"/>
      <c r="L152" s="575"/>
      <c r="R152" s="343"/>
    </row>
    <row r="153" spans="1:18" x14ac:dyDescent="0.25">
      <c r="A153" s="346">
        <f>ROW()</f>
        <v>153</v>
      </c>
      <c r="B153" s="31" t="s">
        <v>913</v>
      </c>
      <c r="C153" s="133"/>
      <c r="D153" s="31"/>
      <c r="E153" s="31"/>
      <c r="G153" s="103"/>
      <c r="H153" s="103"/>
      <c r="I153" s="103"/>
      <c r="J153" s="103"/>
      <c r="K153" s="103"/>
      <c r="L153" s="103"/>
      <c r="R153" s="343"/>
    </row>
    <row r="154" spans="1:18" x14ac:dyDescent="0.25">
      <c r="A154" s="346">
        <f>ROW()</f>
        <v>154</v>
      </c>
      <c r="B154" s="41" t="s">
        <v>914</v>
      </c>
      <c r="C154" s="136"/>
      <c r="D154" s="41"/>
      <c r="E154" s="41"/>
      <c r="F154" s="693">
        <v>0</v>
      </c>
      <c r="G154" s="693"/>
      <c r="H154" s="693">
        <v>0</v>
      </c>
      <c r="I154" s="693">
        <v>0</v>
      </c>
      <c r="J154" s="693">
        <v>0</v>
      </c>
      <c r="K154" s="693">
        <v>0</v>
      </c>
      <c r="L154" s="693">
        <v>0</v>
      </c>
      <c r="R154" s="343"/>
    </row>
    <row r="155" spans="1:18" x14ac:dyDescent="0.25">
      <c r="A155" s="346">
        <f>ROW()</f>
        <v>155</v>
      </c>
      <c r="B155" s="41"/>
      <c r="C155" s="136"/>
      <c r="D155" s="41"/>
      <c r="E155" s="41"/>
      <c r="F155" s="41"/>
      <c r="G155" s="103"/>
      <c r="H155" s="103"/>
      <c r="I155" s="103"/>
      <c r="J155" s="103"/>
      <c r="K155" s="103"/>
      <c r="L155" s="103"/>
      <c r="R155" s="343"/>
    </row>
    <row r="156" spans="1:18" x14ac:dyDescent="0.25">
      <c r="A156" s="346">
        <f>ROW()</f>
        <v>156</v>
      </c>
      <c r="B156" s="31" t="s">
        <v>915</v>
      </c>
      <c r="C156" s="133"/>
      <c r="D156" s="31"/>
      <c r="E156" s="31"/>
      <c r="M156" s="32"/>
      <c r="N156" s="32"/>
      <c r="O156" s="32"/>
      <c r="P156" s="32"/>
      <c r="Q156" s="32"/>
      <c r="R156" s="343"/>
    </row>
    <row r="157" spans="1:18" x14ac:dyDescent="0.25">
      <c r="A157" s="346">
        <f>ROW()</f>
        <v>157</v>
      </c>
      <c r="B157" s="41" t="s">
        <v>916</v>
      </c>
      <c r="C157" s="133"/>
      <c r="D157" s="41"/>
      <c r="E157" s="41"/>
      <c r="G157" s="1584"/>
      <c r="H157" s="1584"/>
      <c r="I157" s="1584"/>
      <c r="J157" s="1584"/>
      <c r="K157" s="1584"/>
      <c r="L157" s="1584"/>
      <c r="M157" s="41"/>
      <c r="N157" s="41"/>
      <c r="O157" s="41"/>
      <c r="P157" s="41"/>
      <c r="Q157" s="101"/>
      <c r="R157" s="343"/>
    </row>
    <row r="158" spans="1:18" x14ac:dyDescent="0.25">
      <c r="A158" s="346">
        <f>ROW()</f>
        <v>158</v>
      </c>
      <c r="B158" s="41" t="s">
        <v>917</v>
      </c>
      <c r="C158" s="133"/>
      <c r="D158" s="41"/>
      <c r="E158" s="41"/>
      <c r="G158" s="148"/>
      <c r="H158" s="148"/>
      <c r="I158" s="148"/>
      <c r="J158" s="148"/>
      <c r="K158" s="148"/>
      <c r="L158" s="148"/>
      <c r="M158" s="41"/>
      <c r="N158" s="41"/>
      <c r="O158" s="41"/>
      <c r="P158" s="41"/>
      <c r="Q158" s="41"/>
      <c r="R158" s="343"/>
    </row>
    <row r="159" spans="1:18" x14ac:dyDescent="0.25">
      <c r="A159" s="346">
        <f>ROW()</f>
        <v>159</v>
      </c>
      <c r="B159" s="41" t="s">
        <v>918</v>
      </c>
      <c r="C159" s="311"/>
      <c r="D159" s="311"/>
      <c r="E159" s="41"/>
      <c r="G159" s="798"/>
      <c r="H159" s="798"/>
      <c r="I159" s="798"/>
      <c r="J159" s="798"/>
      <c r="K159" s="798"/>
      <c r="L159" s="798"/>
      <c r="M159" s="41"/>
      <c r="N159" s="41"/>
      <c r="O159" s="41"/>
      <c r="P159" s="41"/>
      <c r="Q159" s="41"/>
      <c r="R159" s="343"/>
    </row>
    <row r="160" spans="1:18" x14ac:dyDescent="0.25">
      <c r="A160" s="346">
        <f>ROW()</f>
        <v>160</v>
      </c>
      <c r="B160" s="41" t="s">
        <v>919</v>
      </c>
      <c r="C160" s="873"/>
      <c r="D160" s="312"/>
      <c r="E160" s="41"/>
      <c r="H160" s="312"/>
      <c r="I160" s="312"/>
      <c r="J160" s="41"/>
      <c r="K160" s="41"/>
      <c r="L160" s="41"/>
      <c r="M160" s="41"/>
      <c r="N160" s="41"/>
      <c r="O160" s="41"/>
      <c r="P160" s="41"/>
      <c r="Q160" s="41"/>
      <c r="R160" s="343"/>
    </row>
    <row r="161" spans="1:18" x14ac:dyDescent="0.25">
      <c r="A161" s="346">
        <f>ROW()</f>
        <v>161</v>
      </c>
      <c r="B161" s="41" t="s">
        <v>920</v>
      </c>
      <c r="C161" s="1444"/>
      <c r="D161" s="312"/>
      <c r="E161" s="41"/>
      <c r="H161" s="312"/>
      <c r="I161" s="312"/>
      <c r="J161" s="41"/>
      <c r="K161" s="41"/>
      <c r="L161" s="41"/>
      <c r="M161" s="41"/>
      <c r="N161" s="41"/>
      <c r="O161" s="41"/>
      <c r="P161" s="41"/>
      <c r="Q161" s="41"/>
      <c r="R161" s="343"/>
    </row>
    <row r="162" spans="1:18" x14ac:dyDescent="0.25">
      <c r="A162" s="346">
        <f>ROW()</f>
        <v>162</v>
      </c>
      <c r="B162" s="41" t="s">
        <v>921</v>
      </c>
      <c r="C162" s="875"/>
      <c r="D162" s="41"/>
      <c r="E162" s="41"/>
      <c r="H162" s="41"/>
      <c r="I162" s="41"/>
      <c r="J162" s="41"/>
      <c r="K162" s="41"/>
      <c r="L162" s="41"/>
      <c r="M162" s="41"/>
      <c r="N162" s="41"/>
      <c r="O162" s="41"/>
      <c r="P162" s="41"/>
      <c r="Q162" s="41"/>
      <c r="R162" s="343"/>
    </row>
    <row r="163" spans="1:18" x14ac:dyDescent="0.25">
      <c r="A163" s="346">
        <f>ROW()</f>
        <v>163</v>
      </c>
      <c r="B163" s="41" t="s">
        <v>922</v>
      </c>
      <c r="C163" s="1444"/>
      <c r="D163" s="41"/>
      <c r="E163" s="41"/>
      <c r="H163" s="41"/>
      <c r="I163" s="41"/>
      <c r="J163" s="41"/>
      <c r="K163" s="41"/>
      <c r="L163" s="41"/>
      <c r="M163" s="41"/>
      <c r="N163" s="41"/>
      <c r="O163" s="41"/>
      <c r="P163" s="41"/>
      <c r="Q163" s="41"/>
      <c r="R163" s="343"/>
    </row>
    <row r="164" spans="1:18" x14ac:dyDescent="0.25">
      <c r="A164" s="346">
        <f>ROW()</f>
        <v>164</v>
      </c>
      <c r="B164" s="41" t="s">
        <v>923</v>
      </c>
      <c r="C164" s="876"/>
      <c r="D164" s="41"/>
      <c r="E164" s="41"/>
      <c r="H164" s="41"/>
      <c r="I164" s="41"/>
      <c r="J164" s="41"/>
      <c r="K164" s="41"/>
      <c r="L164" s="41"/>
      <c r="M164" s="41"/>
      <c r="N164" s="41"/>
      <c r="O164" s="41"/>
      <c r="P164" s="41"/>
      <c r="Q164" s="41"/>
      <c r="R164" s="343"/>
    </row>
    <row r="165" spans="1:18" x14ac:dyDescent="0.25">
      <c r="A165" s="346">
        <f>ROW()</f>
        <v>165</v>
      </c>
      <c r="B165" s="41" t="s">
        <v>924</v>
      </c>
      <c r="C165" s="1445"/>
      <c r="D165" s="41"/>
      <c r="E165" s="41"/>
      <c r="H165" s="41"/>
      <c r="I165" s="41"/>
      <c r="J165" s="41"/>
      <c r="K165" s="41"/>
      <c r="L165" s="41"/>
      <c r="M165" s="41"/>
      <c r="N165" s="41"/>
      <c r="O165" s="41"/>
      <c r="P165" s="41"/>
      <c r="Q165" s="41"/>
      <c r="R165" s="343"/>
    </row>
    <row r="166" spans="1:18" x14ac:dyDescent="0.25">
      <c r="A166" s="346">
        <f>ROW()</f>
        <v>166</v>
      </c>
      <c r="B166" s="41" t="s">
        <v>925</v>
      </c>
      <c r="C166" s="877"/>
      <c r="D166" s="41" t="s">
        <v>926</v>
      </c>
      <c r="E166" s="41"/>
      <c r="H166" s="41"/>
      <c r="I166" s="41"/>
      <c r="J166" s="41"/>
      <c r="K166" s="41"/>
      <c r="L166" s="41"/>
      <c r="M166" s="41"/>
      <c r="N166" s="41"/>
      <c r="O166" s="41"/>
      <c r="P166" s="41"/>
      <c r="Q166" s="41"/>
      <c r="R166" s="343"/>
    </row>
    <row r="167" spans="1:18" x14ac:dyDescent="0.25">
      <c r="A167" s="346">
        <f>ROW()</f>
        <v>167</v>
      </c>
      <c r="B167" s="41" t="s">
        <v>927</v>
      </c>
      <c r="C167" s="1446"/>
      <c r="D167" s="41"/>
      <c r="E167" s="41"/>
      <c r="H167" s="41"/>
      <c r="I167" s="41"/>
      <c r="J167" s="41"/>
      <c r="K167" s="41"/>
      <c r="L167" s="41"/>
      <c r="M167" s="41"/>
      <c r="N167" s="41"/>
      <c r="O167" s="41"/>
      <c r="P167" s="41"/>
      <c r="Q167" s="41"/>
      <c r="R167" s="343"/>
    </row>
    <row r="168" spans="1:18" x14ac:dyDescent="0.25">
      <c r="A168" s="346">
        <f>ROW()</f>
        <v>168</v>
      </c>
      <c r="B168" s="41" t="s">
        <v>928</v>
      </c>
      <c r="C168" s="874">
        <v>10000</v>
      </c>
      <c r="D168" s="41" t="s">
        <v>929</v>
      </c>
      <c r="E168" s="41"/>
      <c r="H168" s="41"/>
      <c r="I168" s="41"/>
      <c r="J168" s="41"/>
      <c r="K168" s="41"/>
      <c r="L168" s="41"/>
      <c r="M168" s="41"/>
      <c r="N168" s="41"/>
      <c r="O168" s="41"/>
      <c r="P168" s="41"/>
      <c r="Q168" s="41"/>
      <c r="R168" s="343"/>
    </row>
    <row r="169" spans="1:18" x14ac:dyDescent="0.25">
      <c r="A169" s="346">
        <f>ROW()</f>
        <v>169</v>
      </c>
      <c r="B169" s="33" t="s">
        <v>930</v>
      </c>
      <c r="C169" s="1387"/>
      <c r="G169" s="503">
        <f>' Enrol &amp; Rev'!G36</f>
        <v>2320.02</v>
      </c>
      <c r="H169" s="503">
        <f>' Enrol &amp; Rev'!H36</f>
        <v>2320.02</v>
      </c>
      <c r="I169" s="503">
        <f>' Enrol &amp; Rev'!I36</f>
        <v>2320.02</v>
      </c>
      <c r="J169" s="503">
        <f>' Enrol &amp; Rev'!J36</f>
        <v>2320.02</v>
      </c>
      <c r="K169" s="503">
        <f>' Enrol &amp; Rev'!K36</f>
        <v>2320.02</v>
      </c>
      <c r="L169" s="503">
        <f>' Enrol &amp; Rev'!L36</f>
        <v>2320.02</v>
      </c>
      <c r="R169" s="343"/>
    </row>
    <row r="170" spans="1:18" x14ac:dyDescent="0.25">
      <c r="A170" s="346">
        <f>ROW()</f>
        <v>170</v>
      </c>
      <c r="B170" s="33" t="s">
        <v>931</v>
      </c>
      <c r="C170" s="130"/>
      <c r="F170" s="42"/>
      <c r="G170" s="138">
        <f t="shared" ref="G170:L170" si="20">G$157*G169</f>
        <v>0</v>
      </c>
      <c r="H170" s="138">
        <f t="shared" si="20"/>
        <v>0</v>
      </c>
      <c r="I170" s="138">
        <f t="shared" si="20"/>
        <v>0</v>
      </c>
      <c r="J170" s="138">
        <f t="shared" si="20"/>
        <v>0</v>
      </c>
      <c r="K170" s="138">
        <f t="shared" si="20"/>
        <v>0</v>
      </c>
      <c r="L170" s="138">
        <f t="shared" si="20"/>
        <v>0</v>
      </c>
      <c r="R170" s="343"/>
    </row>
    <row r="171" spans="1:18" x14ac:dyDescent="0.25">
      <c r="A171" s="346">
        <f>ROW()</f>
        <v>171</v>
      </c>
      <c r="B171" s="63" t="s">
        <v>932</v>
      </c>
      <c r="C171" s="137"/>
      <c r="D171" s="63"/>
      <c r="E171" s="63"/>
      <c r="F171" s="313"/>
      <c r="G171" s="139">
        <f t="shared" ref="G171:L171" si="21">IF(G170=0,0,IF(G170&gt;(G$158*5),6,IF(G170&gt;(G$158*4),5,IF(G170&gt;(G$158*3),4,IF(G170&gt;(G$158*2),3,IF(G170&gt;G$158,2,IF(G170&gt;0,1)))))))</f>
        <v>0</v>
      </c>
      <c r="H171" s="139">
        <f t="shared" si="21"/>
        <v>0</v>
      </c>
      <c r="I171" s="139">
        <f t="shared" si="21"/>
        <v>0</v>
      </c>
      <c r="J171" s="139">
        <f t="shared" si="21"/>
        <v>0</v>
      </c>
      <c r="K171" s="139">
        <f t="shared" si="21"/>
        <v>0</v>
      </c>
      <c r="L171" s="139">
        <f t="shared" si="21"/>
        <v>0</v>
      </c>
      <c r="R171" s="343"/>
    </row>
    <row r="172" spans="1:18" x14ac:dyDescent="0.25">
      <c r="A172" s="346">
        <f>ROW()</f>
        <v>172</v>
      </c>
      <c r="B172" s="33" t="s">
        <v>933</v>
      </c>
      <c r="C172" s="130"/>
      <c r="F172" s="59"/>
      <c r="G172" s="575">
        <f>G171*G$159</f>
        <v>0</v>
      </c>
      <c r="H172" s="575">
        <f>(H171-G171)*H$159</f>
        <v>0</v>
      </c>
      <c r="I172" s="575">
        <f>(I171-H171)*I$159</f>
        <v>0</v>
      </c>
      <c r="J172" s="575">
        <f>(J171-I171)*J$159</f>
        <v>0</v>
      </c>
      <c r="K172" s="575">
        <f t="shared" ref="K172:L172" si="22">(K171-J171)*K$159</f>
        <v>0</v>
      </c>
      <c r="L172" s="575">
        <f t="shared" si="22"/>
        <v>0</v>
      </c>
      <c r="R172" s="343"/>
    </row>
    <row r="173" spans="1:18" x14ac:dyDescent="0.25">
      <c r="A173" s="346">
        <f>ROW()</f>
        <v>173</v>
      </c>
      <c r="B173" s="33" t="s">
        <v>934</v>
      </c>
      <c r="C173" s="130"/>
      <c r="F173" s="52"/>
      <c r="G173" s="130">
        <f t="shared" ref="G173:L173" si="23">G171*$C$165</f>
        <v>0</v>
      </c>
      <c r="H173" s="130">
        <f t="shared" si="23"/>
        <v>0</v>
      </c>
      <c r="I173" s="130">
        <f t="shared" si="23"/>
        <v>0</v>
      </c>
      <c r="J173" s="130">
        <f t="shared" si="23"/>
        <v>0</v>
      </c>
      <c r="K173" s="130">
        <f t="shared" si="23"/>
        <v>0</v>
      </c>
      <c r="L173" s="130">
        <f t="shared" si="23"/>
        <v>0</v>
      </c>
      <c r="R173" s="343"/>
    </row>
    <row r="174" spans="1:18" x14ac:dyDescent="0.25">
      <c r="A174" s="346">
        <f>ROW()</f>
        <v>174</v>
      </c>
      <c r="B174" s="33" t="s">
        <v>935</v>
      </c>
      <c r="C174" s="130"/>
      <c r="F174" s="52"/>
      <c r="G174" s="130">
        <f t="shared" ref="G174:L174" si="24">G171*$C$167</f>
        <v>0</v>
      </c>
      <c r="H174" s="130">
        <f t="shared" si="24"/>
        <v>0</v>
      </c>
      <c r="I174" s="130">
        <f t="shared" si="24"/>
        <v>0</v>
      </c>
      <c r="J174" s="130">
        <f t="shared" si="24"/>
        <v>0</v>
      </c>
      <c r="K174" s="130">
        <f t="shared" si="24"/>
        <v>0</v>
      </c>
      <c r="L174" s="130">
        <f t="shared" si="24"/>
        <v>0</v>
      </c>
      <c r="R174" s="343"/>
    </row>
    <row r="175" spans="1:18" x14ac:dyDescent="0.25">
      <c r="A175" s="346">
        <f>ROW()</f>
        <v>175</v>
      </c>
      <c r="B175" s="33" t="s">
        <v>928</v>
      </c>
      <c r="C175" s="130"/>
      <c r="F175" s="52"/>
      <c r="G175" s="130">
        <f t="shared" ref="G175:L175" si="25">G171*$C$168</f>
        <v>0</v>
      </c>
      <c r="H175" s="130">
        <f t="shared" si="25"/>
        <v>0</v>
      </c>
      <c r="I175" s="130">
        <f t="shared" si="25"/>
        <v>0</v>
      </c>
      <c r="J175" s="130">
        <f t="shared" si="25"/>
        <v>0</v>
      </c>
      <c r="K175" s="130">
        <f t="shared" si="25"/>
        <v>0</v>
      </c>
      <c r="L175" s="130">
        <f t="shared" si="25"/>
        <v>0</v>
      </c>
      <c r="R175" s="343"/>
    </row>
    <row r="176" spans="1:18" ht="15.75" thickBot="1" x14ac:dyDescent="0.3">
      <c r="A176" s="346">
        <f>ROW()</f>
        <v>176</v>
      </c>
      <c r="C176" s="130"/>
      <c r="F176" s="314"/>
      <c r="G176" s="314"/>
      <c r="H176" s="314"/>
      <c r="I176" s="314"/>
      <c r="J176" s="314"/>
      <c r="K176" s="314"/>
      <c r="L176" s="314"/>
      <c r="R176" s="343"/>
    </row>
    <row r="177" spans="1:18" ht="15.75" thickBot="1" x14ac:dyDescent="0.3">
      <c r="A177" s="346">
        <f>ROW()</f>
        <v>177</v>
      </c>
      <c r="B177" s="903" t="s">
        <v>936</v>
      </c>
      <c r="C177" s="904">
        <f>SUM(F177:L177)</f>
        <v>0</v>
      </c>
      <c r="D177" s="752"/>
      <c r="E177" s="752"/>
      <c r="F177" s="904">
        <f t="shared" ref="F177" si="26">SUM(F172:F175)</f>
        <v>0</v>
      </c>
      <c r="G177" s="904">
        <f t="shared" ref="G177:L177" si="27">SUM(G172:G175)</f>
        <v>0</v>
      </c>
      <c r="H177" s="904">
        <f>SUM(H172:H175)</f>
        <v>0</v>
      </c>
      <c r="I177" s="904">
        <f t="shared" si="27"/>
        <v>0</v>
      </c>
      <c r="J177" s="904">
        <f t="shared" si="27"/>
        <v>0</v>
      </c>
      <c r="K177" s="904">
        <f t="shared" si="27"/>
        <v>0</v>
      </c>
      <c r="L177" s="904">
        <f t="shared" si="27"/>
        <v>0</v>
      </c>
      <c r="R177" s="343"/>
    </row>
    <row r="178" spans="1:18" x14ac:dyDescent="0.25">
      <c r="A178" s="346">
        <f>ROW()</f>
        <v>178</v>
      </c>
      <c r="B178" s="33" t="s">
        <v>937</v>
      </c>
      <c r="G178" s="606" t="e">
        <f>+G177/G158</f>
        <v>#DIV/0!</v>
      </c>
      <c r="H178" s="606" t="e">
        <f t="shared" ref="H178:L178" si="28">+H177/H158</f>
        <v>#DIV/0!</v>
      </c>
      <c r="I178" s="606" t="e">
        <f t="shared" si="28"/>
        <v>#DIV/0!</v>
      </c>
      <c r="J178" s="606" t="e">
        <f t="shared" si="28"/>
        <v>#DIV/0!</v>
      </c>
      <c r="K178" s="606" t="e">
        <f t="shared" si="28"/>
        <v>#DIV/0!</v>
      </c>
      <c r="L178" s="606" t="e">
        <f t="shared" si="28"/>
        <v>#DIV/0!</v>
      </c>
      <c r="R178" s="343"/>
    </row>
    <row r="179" spans="1:18" x14ac:dyDescent="0.25">
      <c r="A179" s="346">
        <f>ROW()</f>
        <v>179</v>
      </c>
      <c r="R179" s="343"/>
    </row>
    <row r="180" spans="1:18" ht="15.75" thickBot="1" x14ac:dyDescent="0.3">
      <c r="A180" s="346">
        <f>ROW()</f>
        <v>180</v>
      </c>
      <c r="B180" s="966" t="s">
        <v>938</v>
      </c>
      <c r="C180" s="967">
        <f>SUM(F180:L180)</f>
        <v>0</v>
      </c>
      <c r="D180" s="966"/>
      <c r="E180" s="966"/>
      <c r="F180" s="968">
        <f t="shared" ref="F180" si="29">F177-F154</f>
        <v>0</v>
      </c>
      <c r="G180" s="968">
        <f>G177-G154</f>
        <v>0</v>
      </c>
      <c r="H180" s="968">
        <f t="shared" ref="H180:L180" si="30">H177-H154</f>
        <v>0</v>
      </c>
      <c r="I180" s="968">
        <f t="shared" si="30"/>
        <v>0</v>
      </c>
      <c r="J180" s="968">
        <f t="shared" si="30"/>
        <v>0</v>
      </c>
      <c r="K180" s="968">
        <f t="shared" si="30"/>
        <v>0</v>
      </c>
      <c r="L180" s="968">
        <f t="shared" si="30"/>
        <v>0</v>
      </c>
      <c r="R180" s="969" t="s">
        <v>939</v>
      </c>
    </row>
    <row r="181" spans="1:18" ht="15.75" thickTop="1" x14ac:dyDescent="0.25">
      <c r="A181" s="346">
        <f>ROW()</f>
        <v>181</v>
      </c>
      <c r="C181" s="130"/>
    </row>
    <row r="182" spans="1:18" x14ac:dyDescent="0.25">
      <c r="A182" s="346">
        <f>ROW()</f>
        <v>182</v>
      </c>
      <c r="B182" s="1651" t="s">
        <v>940</v>
      </c>
      <c r="C182" s="137"/>
      <c r="D182" s="65"/>
      <c r="E182" s="65"/>
      <c r="F182" s="75"/>
      <c r="G182" s="63"/>
      <c r="H182" s="1651"/>
      <c r="I182" s="63"/>
      <c r="J182" s="63"/>
      <c r="K182" s="63"/>
      <c r="L182" s="63"/>
    </row>
    <row r="183" spans="1:18" x14ac:dyDescent="0.25">
      <c r="A183" s="346">
        <f>ROW()</f>
        <v>183</v>
      </c>
      <c r="B183" s="252" t="s">
        <v>941</v>
      </c>
      <c r="C183" s="1387"/>
      <c r="D183" s="1447"/>
      <c r="E183" s="971"/>
      <c r="F183" s="691">
        <v>0</v>
      </c>
      <c r="G183" s="691">
        <v>0</v>
      </c>
      <c r="H183" s="691">
        <v>0</v>
      </c>
      <c r="I183" s="691">
        <v>0</v>
      </c>
      <c r="J183" s="691">
        <v>0</v>
      </c>
      <c r="K183" s="691">
        <v>0</v>
      </c>
      <c r="L183" s="691">
        <v>0</v>
      </c>
    </row>
    <row r="184" spans="1:18" x14ac:dyDescent="0.25">
      <c r="A184" s="346">
        <f>ROW()</f>
        <v>184</v>
      </c>
      <c r="B184" s="1653" t="s">
        <v>942</v>
      </c>
      <c r="C184" s="1387"/>
      <c r="D184" s="1448"/>
      <c r="E184" s="970"/>
      <c r="F184" s="692">
        <v>0</v>
      </c>
      <c r="G184" s="692">
        <v>0</v>
      </c>
      <c r="H184" s="692">
        <v>0</v>
      </c>
      <c r="I184" s="692">
        <v>0</v>
      </c>
      <c r="J184" s="692">
        <v>0</v>
      </c>
      <c r="K184" s="692">
        <v>0</v>
      </c>
      <c r="L184" s="692">
        <v>0</v>
      </c>
    </row>
    <row r="185" spans="1:18" x14ac:dyDescent="0.25">
      <c r="A185" s="346">
        <f>ROW()</f>
        <v>185</v>
      </c>
      <c r="B185" s="1653" t="s">
        <v>943</v>
      </c>
      <c r="C185" s="1387"/>
      <c r="D185" s="1448"/>
      <c r="E185" s="970"/>
      <c r="F185" s="692">
        <v>0</v>
      </c>
      <c r="G185" s="692">
        <v>0</v>
      </c>
      <c r="H185" s="692">
        <v>0</v>
      </c>
      <c r="I185" s="692">
        <v>0</v>
      </c>
      <c r="J185" s="692">
        <v>0</v>
      </c>
      <c r="K185" s="692">
        <v>0</v>
      </c>
      <c r="L185" s="692">
        <v>0</v>
      </c>
    </row>
    <row r="186" spans="1:18" x14ac:dyDescent="0.25">
      <c r="A186" s="346">
        <f>ROW()</f>
        <v>186</v>
      </c>
      <c r="B186" s="1653" t="s">
        <v>944</v>
      </c>
      <c r="C186" s="1387"/>
      <c r="D186" s="1448"/>
      <c r="E186" s="970"/>
      <c r="F186" s="692">
        <v>0</v>
      </c>
      <c r="G186" s="692">
        <v>0</v>
      </c>
      <c r="H186" s="692">
        <v>0</v>
      </c>
      <c r="I186" s="692">
        <v>0</v>
      </c>
      <c r="J186" s="692">
        <v>0</v>
      </c>
      <c r="K186" s="692">
        <v>0</v>
      </c>
      <c r="L186" s="692">
        <v>0</v>
      </c>
    </row>
    <row r="187" spans="1:18" x14ac:dyDescent="0.25">
      <c r="A187" s="346">
        <f>ROW()</f>
        <v>187</v>
      </c>
      <c r="B187" s="1653" t="s">
        <v>945</v>
      </c>
      <c r="C187" s="1387"/>
      <c r="D187" s="1448"/>
      <c r="E187" s="970"/>
      <c r="F187" s="692">
        <v>0</v>
      </c>
      <c r="G187" s="692">
        <v>0</v>
      </c>
      <c r="H187" s="692">
        <v>0</v>
      </c>
      <c r="I187" s="692">
        <v>0</v>
      </c>
      <c r="J187" s="692">
        <v>0</v>
      </c>
      <c r="K187" s="692">
        <v>0</v>
      </c>
      <c r="L187" s="692">
        <v>0</v>
      </c>
    </row>
    <row r="188" spans="1:18" x14ac:dyDescent="0.25">
      <c r="A188" s="346">
        <f>ROW()</f>
        <v>188</v>
      </c>
      <c r="B188" s="1653" t="s">
        <v>946</v>
      </c>
      <c r="C188" s="1387"/>
      <c r="D188" s="1448"/>
      <c r="E188" s="970"/>
      <c r="F188" s="692">
        <v>0</v>
      </c>
      <c r="G188" s="692">
        <v>0</v>
      </c>
      <c r="H188" s="692">
        <v>0</v>
      </c>
      <c r="I188" s="692">
        <v>0</v>
      </c>
      <c r="J188" s="692">
        <v>0</v>
      </c>
      <c r="K188" s="692">
        <v>0</v>
      </c>
      <c r="L188" s="692">
        <v>0</v>
      </c>
    </row>
    <row r="189" spans="1:18" x14ac:dyDescent="0.25">
      <c r="A189" s="346">
        <f>ROW()</f>
        <v>189</v>
      </c>
      <c r="B189" s="1653" t="s">
        <v>947</v>
      </c>
      <c r="C189" s="1387"/>
      <c r="D189" s="1448"/>
      <c r="E189" s="970"/>
      <c r="F189" s="692">
        <v>0</v>
      </c>
      <c r="G189" s="692">
        <v>0</v>
      </c>
      <c r="H189" s="692">
        <v>0</v>
      </c>
      <c r="I189" s="692">
        <v>0</v>
      </c>
      <c r="J189" s="692">
        <v>0</v>
      </c>
      <c r="K189" s="692">
        <v>0</v>
      </c>
      <c r="L189" s="692">
        <v>0</v>
      </c>
    </row>
    <row r="190" spans="1:18" x14ac:dyDescent="0.25">
      <c r="A190" s="346">
        <f>ROW()</f>
        <v>190</v>
      </c>
      <c r="B190" s="1653" t="s">
        <v>948</v>
      </c>
      <c r="C190" s="1387"/>
      <c r="D190" s="1448"/>
      <c r="E190" s="970"/>
      <c r="F190" s="692">
        <v>0</v>
      </c>
      <c r="G190" s="692">
        <v>0</v>
      </c>
      <c r="H190" s="692">
        <v>0</v>
      </c>
      <c r="I190" s="692">
        <v>0</v>
      </c>
      <c r="J190" s="692">
        <v>0</v>
      </c>
      <c r="K190" s="692">
        <v>0</v>
      </c>
      <c r="L190" s="692">
        <v>0</v>
      </c>
    </row>
    <row r="191" spans="1:18" x14ac:dyDescent="0.25">
      <c r="A191" s="346">
        <f>ROW()</f>
        <v>191</v>
      </c>
      <c r="B191" s="1653" t="s">
        <v>949</v>
      </c>
      <c r="C191" s="1387"/>
      <c r="D191" s="1448"/>
      <c r="E191" s="970"/>
      <c r="F191" s="692">
        <v>0</v>
      </c>
      <c r="G191" s="692">
        <v>0</v>
      </c>
      <c r="H191" s="692">
        <v>0</v>
      </c>
      <c r="I191" s="692">
        <v>0</v>
      </c>
      <c r="J191" s="692">
        <v>0</v>
      </c>
      <c r="K191" s="692">
        <v>0</v>
      </c>
      <c r="L191" s="692">
        <v>0</v>
      </c>
    </row>
    <row r="192" spans="1:18" ht="15.75" thickBot="1" x14ac:dyDescent="0.3">
      <c r="A192" s="346">
        <f>ROW()</f>
        <v>192</v>
      </c>
      <c r="C192" s="130"/>
      <c r="D192" s="55"/>
    </row>
    <row r="193" spans="1:12" ht="15.75" thickBot="1" x14ac:dyDescent="0.3">
      <c r="A193" s="346">
        <f>ROW()</f>
        <v>193</v>
      </c>
      <c r="B193" s="963" t="s">
        <v>950</v>
      </c>
      <c r="C193" s="964">
        <f>SUM(F193:L193)</f>
        <v>0</v>
      </c>
      <c r="D193" s="965"/>
      <c r="E193" s="965"/>
      <c r="F193" s="964">
        <f t="shared" ref="F193:L193" si="31">SUM(F183:F191)</f>
        <v>0</v>
      </c>
      <c r="G193" s="964">
        <f t="shared" si="31"/>
        <v>0</v>
      </c>
      <c r="H193" s="964">
        <f t="shared" si="31"/>
        <v>0</v>
      </c>
      <c r="I193" s="964">
        <f t="shared" si="31"/>
        <v>0</v>
      </c>
      <c r="J193" s="964">
        <f t="shared" si="31"/>
        <v>0</v>
      </c>
      <c r="K193" s="964">
        <f t="shared" si="31"/>
        <v>0</v>
      </c>
      <c r="L193" s="964">
        <f t="shared" si="31"/>
        <v>0</v>
      </c>
    </row>
    <row r="194" spans="1:12" x14ac:dyDescent="0.25">
      <c r="A194" s="346">
        <f>ROW()</f>
        <v>194</v>
      </c>
    </row>
    <row r="195" spans="1:12" x14ac:dyDescent="0.25">
      <c r="A195" s="346">
        <f>ROW()</f>
        <v>195</v>
      </c>
      <c r="B195" s="33" t="s">
        <v>951</v>
      </c>
      <c r="C195" s="459">
        <v>0.03</v>
      </c>
      <c r="F195" s="791">
        <f t="shared" ref="F195:L195" si="32">SUM(F151,F143,F105,F180,F193)*((1+$C$195)^(F11-$F11)-1)</f>
        <v>0</v>
      </c>
      <c r="G195" s="575">
        <f>SUM(G151,G143,G105,G180,G193)*((1+$C$195)^(G11-$F11)-1)</f>
        <v>204567.72956250017</v>
      </c>
      <c r="H195" s="575">
        <f>SUM(H151,H143,H105,H180,H193)*((1+$C$195)^(H11-$F11)-1)</f>
        <v>415211.59101187467</v>
      </c>
      <c r="I195" s="791">
        <f t="shared" si="32"/>
        <v>632205.66830473125</v>
      </c>
      <c r="J195" s="791">
        <f t="shared" si="32"/>
        <v>855709.56791637256</v>
      </c>
      <c r="K195" s="791">
        <f>SUM(K151,K143,K105,K180,K193)*((1+$C$195)^(K11-$F11)-1)</f>
        <v>1085918.5845163632</v>
      </c>
      <c r="L195" s="791">
        <f t="shared" si="32"/>
        <v>1323033.8716143547</v>
      </c>
    </row>
    <row r="196" spans="1:12" ht="15.75" thickBot="1" x14ac:dyDescent="0.3">
      <c r="A196" s="346">
        <f>ROW()</f>
        <v>196</v>
      </c>
      <c r="C196" s="130"/>
      <c r="F196" s="592"/>
      <c r="G196" s="688"/>
      <c r="H196" s="688"/>
      <c r="I196" s="688"/>
      <c r="J196" s="688"/>
      <c r="K196" s="688"/>
      <c r="L196" s="688"/>
    </row>
    <row r="197" spans="1:12" ht="15.75" thickBot="1" x14ac:dyDescent="0.3">
      <c r="A197" s="346">
        <f>ROW()</f>
        <v>197</v>
      </c>
      <c r="B197" s="903" t="s">
        <v>952</v>
      </c>
      <c r="C197" s="632">
        <f>SUM(F197:L197)</f>
        <v>51138117.244176194</v>
      </c>
      <c r="D197" s="1292"/>
      <c r="E197" s="1292"/>
      <c r="F197" s="632">
        <f>SUM(F151,F143,F105,F195,F180,F193)</f>
        <v>5712924.3187499996</v>
      </c>
      <c r="G197" s="632">
        <f>SUM(G151,G143,G105,G195,G180,G193)</f>
        <v>7023492.0483125001</v>
      </c>
      <c r="H197" s="632">
        <f t="shared" ref="H197:L197" si="33">SUM(H151,H143,H105,H195,H180,H193)</f>
        <v>7233135.909761874</v>
      </c>
      <c r="I197" s="632">
        <f>SUM(I151,I143,I105,I195,I180,I193)</f>
        <v>7450129.9870547308</v>
      </c>
      <c r="J197" s="632">
        <f t="shared" si="33"/>
        <v>7673633.8866663724</v>
      </c>
      <c r="K197" s="632">
        <f t="shared" si="33"/>
        <v>7903842.9032663628</v>
      </c>
      <c r="L197" s="632">
        <f t="shared" si="33"/>
        <v>8140958.1903643543</v>
      </c>
    </row>
    <row r="198" spans="1:12" ht="15.75" thickBot="1" x14ac:dyDescent="0.3">
      <c r="A198" s="346">
        <f>ROW()</f>
        <v>198</v>
      </c>
    </row>
    <row r="199" spans="1:12" ht="15.75" thickBot="1" x14ac:dyDescent="0.3">
      <c r="A199" s="346">
        <f>ROW()</f>
        <v>199</v>
      </c>
      <c r="B199" s="1633" t="s">
        <v>953</v>
      </c>
      <c r="C199" s="1634">
        <f>SUM(F199:L199)</f>
        <v>51138117.244176194</v>
      </c>
      <c r="D199" s="1635"/>
      <c r="E199" s="1635"/>
      <c r="F199" s="1634">
        <f>+F197-F180</f>
        <v>5712924.3187499996</v>
      </c>
      <c r="G199" s="1634">
        <f>+G197-G180</f>
        <v>7023492.0483125001</v>
      </c>
      <c r="H199" s="1634">
        <f t="shared" ref="H199:L199" si="34">+H197-H180</f>
        <v>7233135.909761874</v>
      </c>
      <c r="I199" s="1634">
        <f t="shared" si="34"/>
        <v>7450129.9870547308</v>
      </c>
      <c r="J199" s="1634">
        <f t="shared" si="34"/>
        <v>7673633.8866663724</v>
      </c>
      <c r="K199" s="1634">
        <f t="shared" si="34"/>
        <v>7903842.9032663628</v>
      </c>
      <c r="L199" s="1634">
        <f t="shared" si="34"/>
        <v>8140958.1903643543</v>
      </c>
    </row>
    <row r="200" spans="1:12" x14ac:dyDescent="0.25">
      <c r="B200" s="243" t="s">
        <v>954</v>
      </c>
    </row>
  </sheetData>
  <sheetProtection algorithmName="SHA-512" hashValue="oGnboLFeYUBy7XfL/H44esenORP7kjJ+5OVVgxubY4FXoMpHlp8CS/XC2Q+fZUikzcce+5UespnH8hQDj9R2Iw==" saltValue="RuePCF8QOkXKZGGsgfqOAw==" spinCount="100000" sheet="1" objects="1" scenarios="1"/>
  <sortState xmlns:xlrd2="http://schemas.microsoft.com/office/spreadsheetml/2017/richdata2" ref="B110:B127">
    <sortCondition ref="B110:B127"/>
  </sortState>
  <mergeCells count="1">
    <mergeCell ref="D10:E10"/>
  </mergeCells>
  <conditionalFormatting sqref="B43:E43">
    <cfRule type="expression" dxfId="25" priority="19" stopIfTrue="1">
      <formula>MOD(ROW(),2)=0</formula>
    </cfRule>
  </conditionalFormatting>
  <conditionalFormatting sqref="B15:L34">
    <cfRule type="expression" dxfId="24" priority="26" stopIfTrue="1">
      <formula>MOD(ROW(),2)=0</formula>
    </cfRule>
  </conditionalFormatting>
  <conditionalFormatting sqref="B36:L42">
    <cfRule type="expression" dxfId="23" priority="25" stopIfTrue="1">
      <formula>MOD(ROW(),2)=0</formula>
    </cfRule>
  </conditionalFormatting>
  <conditionalFormatting sqref="B46:L52">
    <cfRule type="expression" dxfId="22" priority="27" stopIfTrue="1">
      <formula>MOD(ROW(),2)=0</formula>
    </cfRule>
  </conditionalFormatting>
  <conditionalFormatting sqref="B55:L60">
    <cfRule type="expression" dxfId="21" priority="28" stopIfTrue="1">
      <formula>MOD(ROW(),2)=0</formula>
    </cfRule>
  </conditionalFormatting>
  <conditionalFormatting sqref="C13:E13">
    <cfRule type="expression" dxfId="20" priority="20" stopIfTrue="1">
      <formula>MOD(ROW(),2)=0</formula>
    </cfRule>
  </conditionalFormatting>
  <conditionalFormatting sqref="D1">
    <cfRule type="expression" dxfId="19" priority="10" stopIfTrue="1">
      <formula>MOD(ROW(),2)=0</formula>
    </cfRule>
  </conditionalFormatting>
  <hyperlinks>
    <hyperlink ref="D1" location="HypLink1" display="HypLink1" xr:uid="{8723ABB7-F367-449A-9920-09DD3E03343A}"/>
  </hyperlinks>
  <pageMargins left="0.25" right="0.25" top="0.5" bottom="0.45" header="0.25" footer="0.25"/>
  <pageSetup scale="61" fitToHeight="3"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Z69"/>
  <sheetViews>
    <sheetView workbookViewId="0">
      <selection activeCell="E67" sqref="E67"/>
    </sheetView>
  </sheetViews>
  <sheetFormatPr defaultColWidth="8.7109375" defaultRowHeight="15" x14ac:dyDescent="0.25"/>
  <cols>
    <col min="1" max="1" width="7" style="33" customWidth="1"/>
    <col min="2" max="2" width="32.7109375" style="33" customWidth="1"/>
    <col min="3" max="3" width="15.5703125" style="33" customWidth="1"/>
    <col min="4" max="4" width="17.28515625" style="33" customWidth="1"/>
    <col min="5" max="5" width="2.28515625" style="33" customWidth="1"/>
    <col min="6" max="6" width="12.28515625" style="33" customWidth="1"/>
    <col min="7" max="12" width="13.7109375" style="33" customWidth="1"/>
    <col min="13" max="13" width="4.7109375" style="33" customWidth="1"/>
    <col min="14" max="14" width="76.5703125" style="307" customWidth="1"/>
    <col min="15" max="15" width="11.5703125" style="33" bestFit="1" customWidth="1"/>
    <col min="16" max="16" width="8.7109375" style="33"/>
    <col min="17" max="17" width="17.28515625" style="33" customWidth="1"/>
    <col min="18" max="16384" width="8.7109375" style="33"/>
  </cols>
  <sheetData>
    <row r="1" spans="1:26" ht="33.6" customHeight="1" x14ac:dyDescent="0.25">
      <c r="A1" s="1791" t="s">
        <v>955</v>
      </c>
      <c r="B1" s="1791"/>
      <c r="D1" s="408" t="s">
        <v>3</v>
      </c>
      <c r="F1" s="90"/>
      <c r="K1" s="669"/>
      <c r="O1" s="7" cm="1">
        <f t="array" aca="1" ref="O1" ca="1">CELL("protect",A1)</f>
        <v>1</v>
      </c>
      <c r="P1" s="7" cm="1">
        <f t="array" aca="1" ref="P1" ca="1">CELL("protect",B1)</f>
        <v>1</v>
      </c>
      <c r="Q1" s="7" cm="1">
        <f t="array" aca="1" ref="Q1" ca="1">CELL("protect",C1)</f>
        <v>1</v>
      </c>
      <c r="R1" s="7" cm="1">
        <f t="array" aca="1" ref="R1" ca="1">CELL("protect",D1)</f>
        <v>1</v>
      </c>
      <c r="S1" s="7" cm="1">
        <f t="array" aca="1" ref="S1" ca="1">CELL("protect",E1)</f>
        <v>1</v>
      </c>
      <c r="T1" s="7" cm="1">
        <f t="array" aca="1" ref="T1" ca="1">CELL("protect",F1)</f>
        <v>1</v>
      </c>
      <c r="U1" s="7" cm="1">
        <f t="array" aca="1" ref="U1" ca="1">CELL("protect",G1)</f>
        <v>1</v>
      </c>
      <c r="V1" s="7" cm="1">
        <f t="array" aca="1" ref="V1" ca="1">CELL("protect",H1)</f>
        <v>1</v>
      </c>
      <c r="W1" s="7" cm="1">
        <f t="array" aca="1" ref="W1" ca="1">CELL("protect",I1)</f>
        <v>1</v>
      </c>
      <c r="X1" s="7" cm="1">
        <f t="array" aca="1" ref="X1" ca="1">CELL("protect",J1)</f>
        <v>1</v>
      </c>
      <c r="Y1" s="7" cm="1">
        <f t="array" aca="1" ref="Y1" ca="1">CELL("protect",K1)</f>
        <v>1</v>
      </c>
      <c r="Z1" s="7" cm="1">
        <f t="array" aca="1" ref="Z1" ca="1">CELL("protect",L1)</f>
        <v>1</v>
      </c>
    </row>
    <row r="2" spans="1:26" ht="15.75" x14ac:dyDescent="0.25">
      <c r="A2" s="114" t="str">
        <f>SchoolName</f>
        <v>Odyssey Charter School</v>
      </c>
      <c r="B2" s="115"/>
      <c r="C2" s="31"/>
      <c r="F2" s="1790"/>
      <c r="G2" s="1790"/>
      <c r="H2" s="1790"/>
      <c r="I2" s="1790"/>
      <c r="J2" s="1790"/>
      <c r="K2" s="1790"/>
      <c r="L2" s="1790"/>
    </row>
    <row r="3" spans="1:26" x14ac:dyDescent="0.25">
      <c r="A3" s="39" t="s">
        <v>80</v>
      </c>
      <c r="F3" s="1790"/>
      <c r="G3" s="1790"/>
      <c r="H3" s="1790"/>
      <c r="I3" s="1790"/>
      <c r="J3" s="1790"/>
      <c r="K3" s="1790"/>
      <c r="L3" s="1790"/>
    </row>
    <row r="4" spans="1:26" x14ac:dyDescent="0.25">
      <c r="A4" s="40" t="s">
        <v>81</v>
      </c>
      <c r="F4" s="1790"/>
      <c r="G4" s="1790"/>
      <c r="H4" s="1790"/>
      <c r="I4" s="1790"/>
      <c r="J4" s="1790"/>
      <c r="K4" s="1790"/>
      <c r="L4" s="1790"/>
    </row>
    <row r="5" spans="1:26" x14ac:dyDescent="0.25">
      <c r="A5" s="30" t="str">
        <f ca="1">CELL("filename")</f>
        <v>\\lvraiders\users\sguthrie\Documents\Charter\Change of Sponsorship\[240126-SPCSA-Odyssey Charter School Application Workbook-AS-IS-Original Version.xlsx]Instructions</v>
      </c>
    </row>
    <row r="6" spans="1:26" x14ac:dyDescent="0.25">
      <c r="F6" s="1639">
        <f>' Enrol &amp; Rev'!F9</f>
        <v>0</v>
      </c>
      <c r="G6" s="745">
        <f>' Enrol &amp; Rev'!G9</f>
        <v>1</v>
      </c>
      <c r="H6" s="745">
        <f>' Enrol &amp; Rev'!H9</f>
        <v>2</v>
      </c>
      <c r="I6" s="745">
        <f>' Enrol &amp; Rev'!I9</f>
        <v>3</v>
      </c>
      <c r="J6" s="745">
        <f>' Enrol &amp; Rev'!J9</f>
        <v>4</v>
      </c>
      <c r="K6" s="745">
        <f>' Enrol &amp; Rev'!K9</f>
        <v>5</v>
      </c>
      <c r="L6" s="746">
        <f>' Enrol &amp; Rev'!L9</f>
        <v>6</v>
      </c>
      <c r="M6" s="41"/>
      <c r="N6" s="1377"/>
    </row>
    <row r="7" spans="1:26" x14ac:dyDescent="0.25">
      <c r="F7" s="747">
        <f>' Enrol &amp; Rev'!F10</f>
        <v>2024</v>
      </c>
      <c r="G7" s="747">
        <f>' Enrol &amp; Rev'!G10</f>
        <v>2025</v>
      </c>
      <c r="H7" s="748">
        <f>' Enrol &amp; Rev'!H10</f>
        <v>2026</v>
      </c>
      <c r="I7" s="748">
        <f>' Enrol &amp; Rev'!I10</f>
        <v>2027</v>
      </c>
      <c r="J7" s="748">
        <f>' Enrol &amp; Rev'!J10</f>
        <v>2028</v>
      </c>
      <c r="K7" s="748">
        <f>' Enrol &amp; Rev'!K10</f>
        <v>2029</v>
      </c>
      <c r="L7" s="749">
        <f>' Enrol &amp; Rev'!L10</f>
        <v>2030</v>
      </c>
      <c r="M7" s="41"/>
      <c r="N7" s="1377"/>
    </row>
    <row r="8" spans="1:26" x14ac:dyDescent="0.25">
      <c r="F8" s="741">
        <f>' Enrol &amp; Rev'!F11</f>
        <v>2025</v>
      </c>
      <c r="G8" s="741">
        <f>' Enrol &amp; Rev'!G11</f>
        <v>2026</v>
      </c>
      <c r="H8" s="742">
        <f>' Enrol &amp; Rev'!H11</f>
        <v>2027</v>
      </c>
      <c r="I8" s="742">
        <f>' Enrol &amp; Rev'!I11</f>
        <v>2028</v>
      </c>
      <c r="J8" s="742">
        <f>' Enrol &amp; Rev'!J11</f>
        <v>2029</v>
      </c>
      <c r="K8" s="742">
        <f>' Enrol &amp; Rev'!K11</f>
        <v>2030</v>
      </c>
      <c r="L8" s="743">
        <f>' Enrol &amp; Rev'!L11</f>
        <v>2031</v>
      </c>
      <c r="M8" s="41"/>
      <c r="N8" s="1377"/>
    </row>
    <row r="9" spans="1:26" x14ac:dyDescent="0.25">
      <c r="M9" s="41"/>
      <c r="N9" s="1377"/>
    </row>
    <row r="10" spans="1:26" x14ac:dyDescent="0.25">
      <c r="A10" s="346">
        <f>ROW()</f>
        <v>10</v>
      </c>
      <c r="B10" s="1459" t="s">
        <v>600</v>
      </c>
      <c r="G10" s="32"/>
      <c r="H10" s="32"/>
      <c r="I10" s="32"/>
      <c r="J10" s="32"/>
      <c r="K10" s="32"/>
      <c r="L10" s="32"/>
      <c r="M10" s="41"/>
      <c r="N10" s="1365" t="s">
        <v>956</v>
      </c>
    </row>
    <row r="11" spans="1:26" x14ac:dyDescent="0.25">
      <c r="A11" s="346">
        <f>ROW()</f>
        <v>11</v>
      </c>
      <c r="B11" s="33" t="s">
        <v>957</v>
      </c>
      <c r="G11" s="422">
        <f>' Enrol &amp; Rev'!G36</f>
        <v>2320.02</v>
      </c>
      <c r="H11" s="422">
        <f>' Enrol &amp; Rev'!H36</f>
        <v>2320.02</v>
      </c>
      <c r="I11" s="422">
        <f>' Enrol &amp; Rev'!I36</f>
        <v>2320.02</v>
      </c>
      <c r="J11" s="422">
        <f>' Enrol &amp; Rev'!J36</f>
        <v>2320.02</v>
      </c>
      <c r="K11" s="422">
        <f>' Enrol &amp; Rev'!K36</f>
        <v>2320.02</v>
      </c>
      <c r="L11" s="422">
        <f>' Enrol &amp; Rev'!L36</f>
        <v>2320.02</v>
      </c>
      <c r="M11" s="53"/>
      <c r="N11" s="462"/>
    </row>
    <row r="12" spans="1:26" x14ac:dyDescent="0.25">
      <c r="A12" s="346">
        <f>ROW()</f>
        <v>12</v>
      </c>
      <c r="B12" s="33" t="s">
        <v>958</v>
      </c>
      <c r="G12" s="1202">
        <f>+Staff!H23</f>
        <v>122</v>
      </c>
      <c r="H12" s="1202">
        <f>+Staff!I23</f>
        <v>122</v>
      </c>
      <c r="I12" s="1202">
        <f>+Staff!J23</f>
        <v>122</v>
      </c>
      <c r="J12" s="1202">
        <f>+Staff!K23</f>
        <v>122</v>
      </c>
      <c r="K12" s="1202">
        <f>+Staff!L23</f>
        <v>122</v>
      </c>
      <c r="L12" s="1202">
        <f>+Staff!M23</f>
        <v>122</v>
      </c>
      <c r="M12" s="53"/>
      <c r="N12" s="462"/>
    </row>
    <row r="13" spans="1:26" x14ac:dyDescent="0.25">
      <c r="A13" s="346">
        <f>ROW()</f>
        <v>13</v>
      </c>
      <c r="F13" s="1449" t="s">
        <v>959</v>
      </c>
      <c r="M13" s="41"/>
      <c r="N13" s="343"/>
    </row>
    <row r="14" spans="1:26" x14ac:dyDescent="0.25">
      <c r="A14" s="346">
        <f>ROW()</f>
        <v>14</v>
      </c>
      <c r="B14" s="33" t="s">
        <v>960</v>
      </c>
      <c r="C14" s="1452"/>
      <c r="D14" s="307"/>
      <c r="E14" s="307"/>
      <c r="F14" s="1450">
        <v>0</v>
      </c>
      <c r="G14" s="1450">
        <v>0</v>
      </c>
      <c r="H14" s="1450">
        <v>0</v>
      </c>
      <c r="I14" s="1450">
        <v>0</v>
      </c>
      <c r="J14" s="1450">
        <v>0</v>
      </c>
      <c r="K14" s="1450">
        <v>0</v>
      </c>
      <c r="L14" s="1450">
        <v>0</v>
      </c>
      <c r="M14" s="41"/>
      <c r="N14" s="343"/>
    </row>
    <row r="15" spans="1:26" x14ac:dyDescent="0.25">
      <c r="A15" s="346">
        <f>ROW()</f>
        <v>15</v>
      </c>
      <c r="B15" s="33" t="s">
        <v>961</v>
      </c>
      <c r="C15" s="1452"/>
      <c r="D15" s="307"/>
      <c r="E15" s="307"/>
      <c r="F15" s="1450">
        <v>0</v>
      </c>
      <c r="G15" s="1450">
        <v>0</v>
      </c>
      <c r="H15" s="1450">
        <v>0</v>
      </c>
      <c r="I15" s="1450">
        <v>0</v>
      </c>
      <c r="J15" s="1450">
        <v>0</v>
      </c>
      <c r="K15" s="1450">
        <v>0</v>
      </c>
      <c r="L15" s="1450">
        <v>0</v>
      </c>
      <c r="M15" s="41"/>
      <c r="N15" s="343"/>
    </row>
    <row r="16" spans="1:26" x14ac:dyDescent="0.25">
      <c r="A16" s="346">
        <f>ROW()</f>
        <v>16</v>
      </c>
      <c r="B16" s="33" t="s">
        <v>962</v>
      </c>
      <c r="C16" s="802">
        <v>0</v>
      </c>
      <c r="D16" s="307" t="s">
        <v>416</v>
      </c>
      <c r="E16" s="307"/>
      <c r="F16" s="1451">
        <v>0</v>
      </c>
      <c r="G16" s="1451">
        <f t="shared" ref="G16:L16" si="0">$C$16*G11</f>
        <v>0</v>
      </c>
      <c r="H16" s="1451">
        <f t="shared" si="0"/>
        <v>0</v>
      </c>
      <c r="I16" s="1451">
        <f t="shared" si="0"/>
        <v>0</v>
      </c>
      <c r="J16" s="1451">
        <f t="shared" si="0"/>
        <v>0</v>
      </c>
      <c r="K16" s="1451">
        <f t="shared" si="0"/>
        <v>0</v>
      </c>
      <c r="L16" s="1451">
        <f t="shared" si="0"/>
        <v>0</v>
      </c>
      <c r="M16" s="41"/>
      <c r="N16" s="343"/>
    </row>
    <row r="17" spans="1:14" x14ac:dyDescent="0.25">
      <c r="A17" s="346">
        <f>ROW()</f>
        <v>17</v>
      </c>
      <c r="B17" s="33" t="s">
        <v>963</v>
      </c>
      <c r="C17" s="802">
        <v>0</v>
      </c>
      <c r="D17" s="307" t="s">
        <v>964</v>
      </c>
      <c r="E17" s="307"/>
      <c r="F17" s="1451">
        <v>0</v>
      </c>
      <c r="G17" s="1451">
        <f>IF($C$17*(Staff!H23-Staff!G23)&gt;0,$C$17*(Staff!H23-Staff!G23),0)</f>
        <v>0</v>
      </c>
      <c r="H17" s="1451">
        <f>IF($C$17*(Staff!I23-Staff!H23)&gt;0,$C$17*(Staff!I23-Staff!H23),0)</f>
        <v>0</v>
      </c>
      <c r="I17" s="1451">
        <f>IF($C$17*(Staff!J23-Staff!I23)&gt;0,$C$17*(Staff!J23-Staff!I23),0)</f>
        <v>0</v>
      </c>
      <c r="J17" s="1451">
        <f>IF($C$17*(Staff!K23-Staff!J23)&gt;0,$C$17*(Staff!K23-Staff!J23),0)</f>
        <v>0</v>
      </c>
      <c r="K17" s="1451">
        <f>IF($C$17*(Staff!L23-Staff!K23)&gt;0,$C$17*(Staff!L23-Staff!K23),0)</f>
        <v>0</v>
      </c>
      <c r="L17" s="1451">
        <f>IF($C$17*(Staff!M23-Staff!L23)&gt;0,$C$17*(Staff!M23-Staff!L23),0)</f>
        <v>0</v>
      </c>
      <c r="M17" s="41"/>
      <c r="N17" s="343"/>
    </row>
    <row r="18" spans="1:14" x14ac:dyDescent="0.25">
      <c r="A18" s="346">
        <f>ROW()</f>
        <v>18</v>
      </c>
      <c r="B18" s="33" t="s">
        <v>965</v>
      </c>
      <c r="C18" s="802">
        <v>0</v>
      </c>
      <c r="D18" s="307"/>
      <c r="E18" s="307"/>
      <c r="F18" s="1451">
        <v>0</v>
      </c>
      <c r="G18" s="1451"/>
      <c r="H18" s="1451"/>
      <c r="I18" s="1451"/>
      <c r="J18" s="1451"/>
      <c r="K18" s="1451"/>
      <c r="L18" s="1451"/>
      <c r="M18" s="41"/>
      <c r="N18" s="343"/>
    </row>
    <row r="19" spans="1:14" x14ac:dyDescent="0.25">
      <c r="A19" s="346">
        <f>ROW()</f>
        <v>19</v>
      </c>
      <c r="B19" s="33" t="s">
        <v>966</v>
      </c>
      <c r="C19" s="802">
        <v>0</v>
      </c>
      <c r="D19" s="307"/>
      <c r="E19" s="307"/>
      <c r="F19" s="1451">
        <v>0</v>
      </c>
      <c r="G19" s="1451">
        <f>$C$19*(G11)</f>
        <v>0</v>
      </c>
      <c r="H19" s="1451">
        <f>IF($C$19*(H11-G11)&gt;0,$C$19*(H11-G11),0)</f>
        <v>0</v>
      </c>
      <c r="I19" s="1451">
        <f t="shared" ref="I19:L19" si="1">IF($C$19*(I11-H11)&gt;0,$C$19*(I11-H11),0)</f>
        <v>0</v>
      </c>
      <c r="J19" s="1451">
        <f t="shared" si="1"/>
        <v>0</v>
      </c>
      <c r="K19" s="1451">
        <f t="shared" si="1"/>
        <v>0</v>
      </c>
      <c r="L19" s="1451">
        <f t="shared" si="1"/>
        <v>0</v>
      </c>
      <c r="M19" s="41"/>
      <c r="N19" s="343"/>
    </row>
    <row r="20" spans="1:14" x14ac:dyDescent="0.25">
      <c r="A20" s="346">
        <f>ROW()</f>
        <v>20</v>
      </c>
      <c r="B20" s="33" t="s">
        <v>967</v>
      </c>
      <c r="C20" s="802">
        <v>0</v>
      </c>
      <c r="D20" s="307"/>
      <c r="E20" s="307"/>
      <c r="F20" s="1451">
        <v>0</v>
      </c>
      <c r="G20" s="1451"/>
      <c r="H20" s="1451"/>
      <c r="I20" s="1451"/>
      <c r="J20" s="1451"/>
      <c r="K20" s="1451"/>
      <c r="L20" s="1451"/>
      <c r="M20" s="41"/>
      <c r="N20" s="343"/>
    </row>
    <row r="21" spans="1:14" x14ac:dyDescent="0.25">
      <c r="A21" s="346">
        <f>ROW()</f>
        <v>21</v>
      </c>
      <c r="B21" s="33" t="s">
        <v>968</v>
      </c>
      <c r="C21" s="802">
        <v>0</v>
      </c>
      <c r="D21" s="307"/>
      <c r="E21" s="307"/>
      <c r="F21" s="1451">
        <v>0</v>
      </c>
      <c r="G21" s="1451"/>
      <c r="H21" s="1451"/>
      <c r="I21" s="1451"/>
      <c r="J21" s="1451"/>
      <c r="K21" s="1451"/>
      <c r="L21" s="1451"/>
      <c r="M21" s="41"/>
      <c r="N21" s="343"/>
    </row>
    <row r="22" spans="1:14" x14ac:dyDescent="0.25">
      <c r="A22" s="346">
        <f>ROW()</f>
        <v>22</v>
      </c>
      <c r="B22" s="33" t="s">
        <v>969</v>
      </c>
      <c r="C22" s="802">
        <v>0</v>
      </c>
      <c r="D22" s="307" t="s">
        <v>970</v>
      </c>
      <c r="E22" s="307"/>
      <c r="F22" s="1451">
        <v>0</v>
      </c>
      <c r="G22" s="1451">
        <f>IF($C$22*(Staff!H23-Staff!G23)&gt;0,$C$22*(Staff!H23-Staff!G23),0)</f>
        <v>0</v>
      </c>
      <c r="H22" s="1451">
        <f>IF($C$22*(Staff!I23-Staff!H23)&gt;0,$C$22*(Staff!I23-Staff!H23),0)</f>
        <v>0</v>
      </c>
      <c r="I22" s="1451">
        <f>IF($C$22*(Staff!J23-Staff!I23)&gt;0,$C$22*(Staff!J23-Staff!I23),0)</f>
        <v>0</v>
      </c>
      <c r="J22" s="1451">
        <f>IF($C$22*(Staff!K23-Staff!J23)&gt;0,$C$22*(Staff!K23-Staff!J23),0)</f>
        <v>0</v>
      </c>
      <c r="K22" s="1451">
        <f>IF($C$22*(Staff!L23-Staff!K23)&gt;0,$C$22*(Staff!L23-Staff!K23),0)</f>
        <v>0</v>
      </c>
      <c r="L22" s="1451">
        <f>IF($C$22*(Staff!M23-Staff!L23)&gt;0,$C$22*(Staff!M23-Staff!L23),0)</f>
        <v>0</v>
      </c>
      <c r="M22" s="41"/>
      <c r="N22" s="343"/>
    </row>
    <row r="23" spans="1:14" x14ac:dyDescent="0.25">
      <c r="A23" s="346">
        <f>ROW()</f>
        <v>23</v>
      </c>
      <c r="B23" s="33" t="s">
        <v>971</v>
      </c>
      <c r="C23" s="802">
        <v>0</v>
      </c>
      <c r="D23" s="307" t="s">
        <v>861</v>
      </c>
      <c r="E23" s="307"/>
      <c r="F23" s="1451">
        <v>0</v>
      </c>
      <c r="G23" s="1451">
        <f>($C$23*12)*Staff!H23</f>
        <v>0</v>
      </c>
      <c r="H23" s="1451">
        <f>($C$23*12)*Staff!I23</f>
        <v>0</v>
      </c>
      <c r="I23" s="1451">
        <f>($C$23*12)*Staff!J23</f>
        <v>0</v>
      </c>
      <c r="J23" s="1451">
        <f>($C$23*12)*Staff!K23</f>
        <v>0</v>
      </c>
      <c r="K23" s="1451">
        <f>($C$23*12)*Staff!L23</f>
        <v>0</v>
      </c>
      <c r="L23" s="1451">
        <f>($C$23*12)*Staff!M23</f>
        <v>0</v>
      </c>
      <c r="M23" s="41"/>
      <c r="N23" s="343"/>
    </row>
    <row r="24" spans="1:14" x14ac:dyDescent="0.25">
      <c r="A24" s="346">
        <f>ROW()</f>
        <v>24</v>
      </c>
      <c r="B24" s="33" t="s">
        <v>972</v>
      </c>
      <c r="C24" s="490"/>
      <c r="D24" s="307"/>
      <c r="E24" s="307"/>
      <c r="F24" s="1451">
        <v>0</v>
      </c>
      <c r="G24" s="1451"/>
      <c r="H24" s="1451"/>
      <c r="I24" s="1451"/>
      <c r="J24" s="1451"/>
      <c r="K24" s="1451"/>
      <c r="L24" s="1451"/>
      <c r="M24" s="41"/>
      <c r="N24" s="343"/>
    </row>
    <row r="25" spans="1:14" x14ac:dyDescent="0.25">
      <c r="A25" s="346">
        <f>ROW()</f>
        <v>25</v>
      </c>
      <c r="B25" s="33" t="s">
        <v>973</v>
      </c>
      <c r="C25" s="490"/>
      <c r="D25" s="307"/>
      <c r="E25" s="307"/>
      <c r="F25" s="1451">
        <v>0</v>
      </c>
      <c r="G25" s="1451"/>
      <c r="H25" s="1451"/>
      <c r="I25" s="1451"/>
      <c r="J25" s="1451"/>
      <c r="K25" s="1451"/>
      <c r="L25" s="1451"/>
      <c r="M25" s="41"/>
      <c r="N25" s="343"/>
    </row>
    <row r="26" spans="1:14" x14ac:dyDescent="0.25">
      <c r="A26" s="346">
        <f>ROW()</f>
        <v>26</v>
      </c>
      <c r="B26" s="33" t="s">
        <v>974</v>
      </c>
      <c r="C26" s="802">
        <v>0</v>
      </c>
      <c r="D26" s="307" t="s">
        <v>975</v>
      </c>
      <c r="E26" s="307"/>
      <c r="F26" s="1451">
        <v>0</v>
      </c>
      <c r="G26" s="1451">
        <f>' Enrol &amp; Rev'!G19*'FFE&amp;T'!C26</f>
        <v>0</v>
      </c>
      <c r="H26" s="1451">
        <f>$C$26*(' Enrol &amp; Rev'!H19-' Enrol &amp; Rev'!G19)</f>
        <v>0</v>
      </c>
      <c r="I26" s="1451">
        <f>$C$26*(' Enrol &amp; Rev'!I19-' Enrol &amp; Rev'!H19)</f>
        <v>0</v>
      </c>
      <c r="J26" s="1451">
        <f>$C$26*(' Enrol &amp; Rev'!J19-' Enrol &amp; Rev'!I19)</f>
        <v>0</v>
      </c>
      <c r="K26" s="1451">
        <f>$C$26*(' Enrol &amp; Rev'!K19-' Enrol &amp; Rev'!J19)</f>
        <v>0</v>
      </c>
      <c r="L26" s="1451">
        <f>$C$26*(' Enrol &amp; Rev'!L19-' Enrol &amp; Rev'!K19)</f>
        <v>0</v>
      </c>
      <c r="M26" s="41"/>
      <c r="N26" s="343"/>
    </row>
    <row r="27" spans="1:14" x14ac:dyDescent="0.25">
      <c r="A27" s="346">
        <f>ROW()</f>
        <v>27</v>
      </c>
      <c r="B27" s="33" t="s">
        <v>976</v>
      </c>
      <c r="C27" s="802">
        <v>0</v>
      </c>
      <c r="D27" s="307" t="s">
        <v>416</v>
      </c>
      <c r="E27" s="307"/>
      <c r="F27" s="1451">
        <v>0</v>
      </c>
      <c r="G27" s="1451">
        <f t="shared" ref="G27:L31" si="2">$C27*G$11</f>
        <v>0</v>
      </c>
      <c r="H27" s="1451">
        <f t="shared" si="2"/>
        <v>0</v>
      </c>
      <c r="I27" s="1451">
        <f t="shared" si="2"/>
        <v>0</v>
      </c>
      <c r="J27" s="1451">
        <f t="shared" si="2"/>
        <v>0</v>
      </c>
      <c r="K27" s="1451">
        <f t="shared" si="2"/>
        <v>0</v>
      </c>
      <c r="L27" s="1451">
        <f t="shared" si="2"/>
        <v>0</v>
      </c>
      <c r="M27" s="41"/>
      <c r="N27" s="343"/>
    </row>
    <row r="28" spans="1:14" x14ac:dyDescent="0.25">
      <c r="A28" s="346">
        <f>ROW()</f>
        <v>28</v>
      </c>
      <c r="B28" s="33" t="s">
        <v>977</v>
      </c>
      <c r="C28" s="802">
        <v>0</v>
      </c>
      <c r="D28" s="307" t="s">
        <v>416</v>
      </c>
      <c r="E28" s="307"/>
      <c r="F28" s="1451">
        <v>0</v>
      </c>
      <c r="G28" s="1451">
        <f t="shared" si="2"/>
        <v>0</v>
      </c>
      <c r="H28" s="1451">
        <f t="shared" si="2"/>
        <v>0</v>
      </c>
      <c r="I28" s="1451">
        <f t="shared" si="2"/>
        <v>0</v>
      </c>
      <c r="J28" s="1451">
        <f t="shared" si="2"/>
        <v>0</v>
      </c>
      <c r="K28" s="1451">
        <f t="shared" si="2"/>
        <v>0</v>
      </c>
      <c r="L28" s="1451">
        <f t="shared" si="2"/>
        <v>0</v>
      </c>
      <c r="M28" s="41"/>
      <c r="N28" s="343"/>
    </row>
    <row r="29" spans="1:14" x14ac:dyDescent="0.25">
      <c r="A29" s="346">
        <f>ROW()</f>
        <v>29</v>
      </c>
      <c r="B29" s="33" t="s">
        <v>978</v>
      </c>
      <c r="C29" s="802">
        <v>0</v>
      </c>
      <c r="D29" s="307" t="s">
        <v>416</v>
      </c>
      <c r="E29" s="307"/>
      <c r="F29" s="1451">
        <v>0</v>
      </c>
      <c r="G29" s="1451">
        <f t="shared" si="2"/>
        <v>0</v>
      </c>
      <c r="H29" s="1451">
        <f t="shared" si="2"/>
        <v>0</v>
      </c>
      <c r="I29" s="1451">
        <f t="shared" si="2"/>
        <v>0</v>
      </c>
      <c r="J29" s="1451">
        <f t="shared" si="2"/>
        <v>0</v>
      </c>
      <c r="K29" s="1451">
        <f t="shared" si="2"/>
        <v>0</v>
      </c>
      <c r="L29" s="1451">
        <f t="shared" si="2"/>
        <v>0</v>
      </c>
      <c r="M29" s="41"/>
      <c r="N29" s="343"/>
    </row>
    <row r="30" spans="1:14" x14ac:dyDescent="0.25">
      <c r="A30" s="346">
        <f>ROW()</f>
        <v>30</v>
      </c>
      <c r="B30" s="33" t="s">
        <v>979</v>
      </c>
      <c r="C30" s="802">
        <v>0</v>
      </c>
      <c r="D30" s="307" t="s">
        <v>416</v>
      </c>
      <c r="E30" s="307"/>
      <c r="F30" s="1451">
        <v>0</v>
      </c>
      <c r="G30" s="1451">
        <f t="shared" si="2"/>
        <v>0</v>
      </c>
      <c r="H30" s="1451">
        <f t="shared" si="2"/>
        <v>0</v>
      </c>
      <c r="I30" s="1451">
        <f t="shared" si="2"/>
        <v>0</v>
      </c>
      <c r="J30" s="1451">
        <f t="shared" si="2"/>
        <v>0</v>
      </c>
      <c r="K30" s="1451">
        <f t="shared" si="2"/>
        <v>0</v>
      </c>
      <c r="L30" s="1451">
        <f t="shared" si="2"/>
        <v>0</v>
      </c>
      <c r="M30" s="41"/>
      <c r="N30" s="343"/>
    </row>
    <row r="31" spans="1:14" x14ac:dyDescent="0.25">
      <c r="A31" s="346">
        <f>ROW()</f>
        <v>31</v>
      </c>
      <c r="B31" s="33" t="s">
        <v>980</v>
      </c>
      <c r="C31" s="802">
        <v>0</v>
      </c>
      <c r="D31" s="307" t="s">
        <v>416</v>
      </c>
      <c r="E31" s="307"/>
      <c r="F31" s="1451">
        <v>0</v>
      </c>
      <c r="G31" s="1451">
        <f t="shared" si="2"/>
        <v>0</v>
      </c>
      <c r="H31" s="1451">
        <f t="shared" si="2"/>
        <v>0</v>
      </c>
      <c r="I31" s="1451">
        <f t="shared" si="2"/>
        <v>0</v>
      </c>
      <c r="J31" s="1451">
        <f t="shared" si="2"/>
        <v>0</v>
      </c>
      <c r="K31" s="1451">
        <f t="shared" si="2"/>
        <v>0</v>
      </c>
      <c r="L31" s="1451">
        <f t="shared" si="2"/>
        <v>0</v>
      </c>
      <c r="M31" s="41"/>
      <c r="N31" s="343"/>
    </row>
    <row r="32" spans="1:14" x14ac:dyDescent="0.25">
      <c r="A32" s="346">
        <f>ROW()</f>
        <v>32</v>
      </c>
      <c r="B32" s="33" t="s">
        <v>981</v>
      </c>
      <c r="C32" s="802">
        <v>0</v>
      </c>
      <c r="D32" s="307" t="s">
        <v>861</v>
      </c>
      <c r="E32" s="307"/>
      <c r="F32" s="1451">
        <v>0</v>
      </c>
      <c r="G32" s="1451">
        <f t="shared" ref="G32:L32" si="3">$C$32*12</f>
        <v>0</v>
      </c>
      <c r="H32" s="1451">
        <f t="shared" si="3"/>
        <v>0</v>
      </c>
      <c r="I32" s="1451">
        <f t="shared" si="3"/>
        <v>0</v>
      </c>
      <c r="J32" s="1451">
        <f t="shared" si="3"/>
        <v>0</v>
      </c>
      <c r="K32" s="1451">
        <f t="shared" si="3"/>
        <v>0</v>
      </c>
      <c r="L32" s="1451">
        <f t="shared" si="3"/>
        <v>0</v>
      </c>
      <c r="M32" s="41"/>
      <c r="N32" s="343"/>
    </row>
    <row r="33" spans="1:14" x14ac:dyDescent="0.25">
      <c r="A33" s="346">
        <f>ROW()</f>
        <v>33</v>
      </c>
      <c r="B33" s="33" t="s">
        <v>982</v>
      </c>
      <c r="C33" s="802">
        <v>0</v>
      </c>
      <c r="D33" s="307" t="s">
        <v>861</v>
      </c>
      <c r="E33" s="307"/>
      <c r="F33" s="1451">
        <v>0</v>
      </c>
      <c r="G33" s="1451">
        <f t="shared" ref="G33:L34" si="4">$C$33*12</f>
        <v>0</v>
      </c>
      <c r="H33" s="1451">
        <f t="shared" si="4"/>
        <v>0</v>
      </c>
      <c r="I33" s="1451">
        <f t="shared" si="4"/>
        <v>0</v>
      </c>
      <c r="J33" s="1451">
        <f t="shared" si="4"/>
        <v>0</v>
      </c>
      <c r="K33" s="1451">
        <f t="shared" si="4"/>
        <v>0</v>
      </c>
      <c r="L33" s="1451">
        <f t="shared" si="4"/>
        <v>0</v>
      </c>
      <c r="M33" s="41"/>
      <c r="N33" s="343"/>
    </row>
    <row r="34" spans="1:14" x14ac:dyDescent="0.25">
      <c r="A34" s="346">
        <f>ROW()</f>
        <v>34</v>
      </c>
      <c r="B34" s="33" t="s">
        <v>983</v>
      </c>
      <c r="C34" s="802">
        <v>0</v>
      </c>
      <c r="D34" s="307"/>
      <c r="E34" s="307"/>
      <c r="F34" s="1451">
        <v>0</v>
      </c>
      <c r="G34" s="1451">
        <f t="shared" si="4"/>
        <v>0</v>
      </c>
      <c r="H34" s="1451">
        <f t="shared" si="4"/>
        <v>0</v>
      </c>
      <c r="I34" s="1451">
        <f t="shared" si="4"/>
        <v>0</v>
      </c>
      <c r="J34" s="1451">
        <f t="shared" si="4"/>
        <v>0</v>
      </c>
      <c r="K34" s="1451">
        <f t="shared" si="4"/>
        <v>0</v>
      </c>
      <c r="L34" s="1451">
        <f t="shared" si="4"/>
        <v>0</v>
      </c>
      <c r="M34" s="41"/>
      <c r="N34" s="343"/>
    </row>
    <row r="35" spans="1:14" ht="30" x14ac:dyDescent="0.25">
      <c r="A35" s="346">
        <f>ROW()</f>
        <v>35</v>
      </c>
      <c r="B35" s="43" t="s">
        <v>984</v>
      </c>
      <c r="C35" s="490"/>
      <c r="D35" s="307"/>
      <c r="E35" s="307"/>
      <c r="F35" s="1451">
        <v>125000</v>
      </c>
      <c r="G35" s="1451">
        <v>125000</v>
      </c>
      <c r="H35" s="1451">
        <v>125000</v>
      </c>
      <c r="I35" s="1451">
        <v>125000</v>
      </c>
      <c r="J35" s="1451">
        <v>125000</v>
      </c>
      <c r="K35" s="1451">
        <v>125000</v>
      </c>
      <c r="L35" s="1451">
        <v>125000</v>
      </c>
      <c r="M35" s="41"/>
      <c r="N35" s="343" t="s">
        <v>1552</v>
      </c>
    </row>
    <row r="36" spans="1:14" x14ac:dyDescent="0.25">
      <c r="A36" s="346">
        <f>ROW()</f>
        <v>36</v>
      </c>
      <c r="B36" s="33" t="s">
        <v>985</v>
      </c>
      <c r="C36" s="802">
        <v>0</v>
      </c>
      <c r="D36" s="307" t="s">
        <v>986</v>
      </c>
      <c r="E36" s="307"/>
      <c r="F36" s="1451">
        <v>0</v>
      </c>
      <c r="G36" s="1451">
        <v>0</v>
      </c>
      <c r="H36" s="1451">
        <v>0</v>
      </c>
      <c r="I36" s="1451">
        <v>0</v>
      </c>
      <c r="J36" s="1451">
        <v>0</v>
      </c>
      <c r="K36" s="1451">
        <v>0</v>
      </c>
      <c r="L36" s="1451">
        <v>0</v>
      </c>
      <c r="M36" s="41"/>
      <c r="N36" s="343"/>
    </row>
    <row r="37" spans="1:14" x14ac:dyDescent="0.25">
      <c r="A37" s="346">
        <f>ROW()</f>
        <v>37</v>
      </c>
      <c r="B37" s="33" t="s">
        <v>987</v>
      </c>
      <c r="C37" s="802">
        <v>0</v>
      </c>
      <c r="D37" s="307" t="s">
        <v>861</v>
      </c>
      <c r="E37" s="307"/>
      <c r="F37" s="1451">
        <v>0</v>
      </c>
      <c r="G37" s="1451">
        <f t="shared" ref="G37:L37" si="5">$C$37*12</f>
        <v>0</v>
      </c>
      <c r="H37" s="1451">
        <f t="shared" si="5"/>
        <v>0</v>
      </c>
      <c r="I37" s="1451">
        <f t="shared" si="5"/>
        <v>0</v>
      </c>
      <c r="J37" s="1451">
        <f t="shared" si="5"/>
        <v>0</v>
      </c>
      <c r="K37" s="1451">
        <f t="shared" si="5"/>
        <v>0</v>
      </c>
      <c r="L37" s="1451">
        <f t="shared" si="5"/>
        <v>0</v>
      </c>
      <c r="M37" s="41"/>
      <c r="N37" s="343"/>
    </row>
    <row r="38" spans="1:14" x14ac:dyDescent="0.25">
      <c r="A38" s="346">
        <f>ROW()</f>
        <v>38</v>
      </c>
      <c r="B38" s="33" t="s">
        <v>988</v>
      </c>
      <c r="C38" s="802">
        <v>0</v>
      </c>
      <c r="D38" s="307" t="s">
        <v>878</v>
      </c>
      <c r="E38" s="307"/>
      <c r="F38" s="1451">
        <v>0</v>
      </c>
      <c r="G38" s="1451">
        <f>IF($C$38*(Staff!H23-Staff!G23)&gt;0,$C$38*(Staff!H23-Staff!G23),0)</f>
        <v>0</v>
      </c>
      <c r="H38" s="1451">
        <f>IF($C$38*(Staff!I23-Staff!H23)&gt;0,$C$38*(Staff!I23-Staff!H23),0)</f>
        <v>0</v>
      </c>
      <c r="I38" s="1451">
        <f>IF($C$38*(Staff!J23-Staff!I23)&gt;0,$C$38*(Staff!J23-Staff!I23),0)</f>
        <v>0</v>
      </c>
      <c r="J38" s="1451">
        <f>IF($C$38*(Staff!K23-Staff!J23)&gt;0,$C$38*(Staff!K23-Staff!J23),0)</f>
        <v>0</v>
      </c>
      <c r="K38" s="1451">
        <f>IF($C$38*(Staff!L23-Staff!K23)&gt;0,$C$38*(Staff!L23-Staff!K23),0)</f>
        <v>0</v>
      </c>
      <c r="L38" s="1451">
        <f>IF($C$38*(Staff!M23-Staff!L23)&gt;0,$C$38*(Staff!M23-Staff!L23),0)</f>
        <v>0</v>
      </c>
      <c r="M38" s="41"/>
      <c r="N38" s="343"/>
    </row>
    <row r="39" spans="1:14" x14ac:dyDescent="0.25">
      <c r="A39" s="346">
        <f>ROW()</f>
        <v>39</v>
      </c>
      <c r="B39" s="33" t="s">
        <v>989</v>
      </c>
      <c r="C39" s="802">
        <v>0</v>
      </c>
      <c r="D39" s="307" t="s">
        <v>835</v>
      </c>
      <c r="E39" s="307"/>
      <c r="F39" s="1451">
        <v>0</v>
      </c>
      <c r="G39" s="1451">
        <f>$C$39*Staff!H23</f>
        <v>0</v>
      </c>
      <c r="H39" s="1451">
        <f>$C$39*Staff!I23</f>
        <v>0</v>
      </c>
      <c r="I39" s="1451">
        <f>$C$39*Staff!J23</f>
        <v>0</v>
      </c>
      <c r="J39" s="1451">
        <f>$C$39*Staff!K23</f>
        <v>0</v>
      </c>
      <c r="K39" s="1451">
        <f>$C$39*Staff!L23</f>
        <v>0</v>
      </c>
      <c r="L39" s="1451">
        <f>$C$39*Staff!M23</f>
        <v>0</v>
      </c>
      <c r="M39" s="41"/>
      <c r="N39" s="343"/>
    </row>
    <row r="40" spans="1:14" x14ac:dyDescent="0.25">
      <c r="A40" s="346">
        <f>ROW()</f>
        <v>40</v>
      </c>
      <c r="B40" s="33" t="s">
        <v>990</v>
      </c>
      <c r="C40" s="802">
        <v>0</v>
      </c>
      <c r="D40" s="307" t="s">
        <v>878</v>
      </c>
      <c r="E40" s="307"/>
      <c r="F40" s="1451">
        <v>0</v>
      </c>
      <c r="G40" s="1451">
        <f>IF($C$40*(Staff!H23-Staff!G23)&gt;0,$C$40*(Staff!H23-Staff!G23),0)</f>
        <v>0</v>
      </c>
      <c r="H40" s="1451">
        <f>IF($C$40*(Staff!I23-Staff!H23)&gt;0,$C$40*(Staff!I23-Staff!H23),0)</f>
        <v>0</v>
      </c>
      <c r="I40" s="1451">
        <f>IF($C$40*(Staff!J23-Staff!I23)&gt;0,$C$40*(Staff!J23-Staff!I23),0)</f>
        <v>0</v>
      </c>
      <c r="J40" s="1451">
        <f>IF($C$40*(Staff!K23-Staff!J23)&gt;0,$C$40*(Staff!K23-Staff!J23),0)</f>
        <v>0</v>
      </c>
      <c r="K40" s="1451">
        <f>IF($C$40*(Staff!L23-Staff!K23)&gt;0,$C$40*(Staff!L23-Staff!K23),0)</f>
        <v>0</v>
      </c>
      <c r="L40" s="1451">
        <f>IF($C$40*(Staff!M23-Staff!L23)&gt;0,$C$40*(Staff!M23-Staff!L23),0)</f>
        <v>0</v>
      </c>
      <c r="M40" s="41"/>
      <c r="N40" s="343"/>
    </row>
    <row r="41" spans="1:14" x14ac:dyDescent="0.25">
      <c r="A41" s="346">
        <f>ROW()</f>
        <v>41</v>
      </c>
      <c r="B41" s="33" t="s">
        <v>991</v>
      </c>
      <c r="C41" s="802">
        <v>0</v>
      </c>
      <c r="D41" s="307" t="s">
        <v>863</v>
      </c>
      <c r="E41" s="307"/>
      <c r="F41" s="1451">
        <v>0</v>
      </c>
      <c r="G41" s="1451">
        <f>$C$41*' Enrol &amp; Rev'!G36</f>
        <v>0</v>
      </c>
      <c r="H41" s="1451">
        <f>IF($C$41*(' Enrol &amp; Rev'!H36-' Enrol &amp; Rev'!G36)&gt;0,$C$41*(' Enrol &amp; Rev'!H36-' Enrol &amp; Rev'!G36),0)</f>
        <v>0</v>
      </c>
      <c r="I41" s="1451">
        <f>IF($C$41*(' Enrol &amp; Rev'!I36-' Enrol &amp; Rev'!H36)&gt;0,$C$41*(' Enrol &amp; Rev'!I36-' Enrol &amp; Rev'!H36),0)</f>
        <v>0</v>
      </c>
      <c r="J41" s="1451">
        <f>IF($C$41*(' Enrol &amp; Rev'!J36-' Enrol &amp; Rev'!I36)&gt;0,$C$41*(' Enrol &amp; Rev'!J36-' Enrol &amp; Rev'!I36),0)</f>
        <v>0</v>
      </c>
      <c r="K41" s="1451">
        <f>IF($C$41*(' Enrol &amp; Rev'!K36-' Enrol &amp; Rev'!J36)&gt;0,$C$41*(' Enrol &amp; Rev'!K36-' Enrol &amp; Rev'!J36),0)</f>
        <v>0</v>
      </c>
      <c r="L41" s="1451">
        <f>IF($C$41*(' Enrol &amp; Rev'!L36-' Enrol &amp; Rev'!K36)&gt;0,$C$41*(' Enrol &amp; Rev'!L36-' Enrol &amp; Rev'!K36),0)</f>
        <v>0</v>
      </c>
      <c r="M41" s="41"/>
      <c r="N41" s="343"/>
    </row>
    <row r="42" spans="1:14" ht="15.75" thickBot="1" x14ac:dyDescent="0.3">
      <c r="A42" s="346">
        <f>ROW()</f>
        <v>42</v>
      </c>
      <c r="G42" s="54"/>
      <c r="H42" s="54"/>
      <c r="I42" s="54"/>
      <c r="J42" s="54"/>
      <c r="K42" s="54"/>
      <c r="L42" s="54"/>
      <c r="M42" s="41"/>
      <c r="N42" s="343"/>
    </row>
    <row r="43" spans="1:14" ht="30" thickBot="1" x14ac:dyDescent="0.3">
      <c r="A43" s="346">
        <f>ROW()</f>
        <v>43</v>
      </c>
      <c r="B43" s="750" t="s">
        <v>992</v>
      </c>
      <c r="C43" s="751">
        <f>SUM(G43:L43)</f>
        <v>750000</v>
      </c>
      <c r="D43" s="752"/>
      <c r="E43" s="752"/>
      <c r="F43" s="753">
        <f t="shared" ref="F43:L43" si="6">SUM(F15:F42)</f>
        <v>125000</v>
      </c>
      <c r="G43" s="753">
        <f>SUM(G15:G42)</f>
        <v>125000</v>
      </c>
      <c r="H43" s="753">
        <f t="shared" si="6"/>
        <v>125000</v>
      </c>
      <c r="I43" s="753">
        <f t="shared" si="6"/>
        <v>125000</v>
      </c>
      <c r="J43" s="753">
        <f t="shared" si="6"/>
        <v>125000</v>
      </c>
      <c r="K43" s="753">
        <f t="shared" si="6"/>
        <v>125000</v>
      </c>
      <c r="L43" s="753">
        <f t="shared" si="6"/>
        <v>125000</v>
      </c>
      <c r="M43" s="41"/>
      <c r="N43" s="343"/>
    </row>
    <row r="44" spans="1:14" x14ac:dyDescent="0.25">
      <c r="A44" s="346">
        <f>ROW()</f>
        <v>44</v>
      </c>
      <c r="B44" s="80"/>
      <c r="N44" s="343"/>
    </row>
    <row r="45" spans="1:14" x14ac:dyDescent="0.25">
      <c r="A45" s="346">
        <f>ROW()</f>
        <v>45</v>
      </c>
      <c r="B45" s="183" t="s">
        <v>993</v>
      </c>
      <c r="N45" s="343"/>
    </row>
    <row r="46" spans="1:14" x14ac:dyDescent="0.25">
      <c r="A46" s="346">
        <f>ROW()</f>
        <v>46</v>
      </c>
      <c r="B46" s="343"/>
      <c r="C46" s="345"/>
      <c r="D46" s="345"/>
      <c r="E46" s="345"/>
      <c r="F46" s="345"/>
      <c r="G46" s="345"/>
      <c r="H46" s="345"/>
      <c r="I46" s="345"/>
      <c r="J46" s="345"/>
      <c r="K46" s="345"/>
      <c r="L46" s="345"/>
      <c r="N46" s="343"/>
    </row>
    <row r="47" spans="1:14" x14ac:dyDescent="0.25">
      <c r="A47" s="346">
        <f>ROW()</f>
        <v>47</v>
      </c>
      <c r="B47" s="343" t="s">
        <v>1553</v>
      </c>
      <c r="C47" s="345"/>
      <c r="D47" s="345"/>
      <c r="E47" s="345"/>
      <c r="F47" s="345"/>
      <c r="G47" s="345"/>
      <c r="H47" s="345"/>
      <c r="I47" s="345"/>
      <c r="J47" s="345"/>
      <c r="K47" s="345"/>
      <c r="L47" s="345"/>
      <c r="N47" s="343"/>
    </row>
    <row r="48" spans="1:14" x14ac:dyDescent="0.25">
      <c r="A48" s="346">
        <f>ROW()</f>
        <v>48</v>
      </c>
      <c r="B48" s="343" t="s">
        <v>1554</v>
      </c>
      <c r="C48" s="345"/>
      <c r="D48" s="345"/>
      <c r="E48" s="345"/>
      <c r="F48" s="345"/>
      <c r="G48" s="345"/>
      <c r="H48" s="345"/>
      <c r="I48" s="345"/>
      <c r="J48" s="345"/>
      <c r="K48" s="345"/>
      <c r="L48" s="345"/>
      <c r="N48" s="343"/>
    </row>
    <row r="49" spans="1:14" x14ac:dyDescent="0.25">
      <c r="A49" s="346">
        <f>ROW()</f>
        <v>49</v>
      </c>
      <c r="B49" s="343"/>
      <c r="C49" s="345"/>
      <c r="D49" s="345"/>
      <c r="E49" s="345"/>
      <c r="F49" s="345"/>
      <c r="G49" s="345"/>
      <c r="H49" s="345"/>
      <c r="I49" s="345"/>
      <c r="J49" s="345"/>
      <c r="K49" s="345"/>
      <c r="L49" s="345"/>
      <c r="N49" s="343"/>
    </row>
    <row r="50" spans="1:14" x14ac:dyDescent="0.25">
      <c r="A50" s="346">
        <f>ROW()</f>
        <v>50</v>
      </c>
      <c r="B50" s="343"/>
      <c r="C50" s="345"/>
      <c r="D50" s="345"/>
      <c r="E50" s="345"/>
      <c r="F50" s="345"/>
      <c r="G50" s="345"/>
      <c r="H50" s="345"/>
      <c r="I50" s="345"/>
      <c r="J50" s="345"/>
      <c r="K50" s="345"/>
      <c r="L50" s="345"/>
      <c r="N50" s="343"/>
    </row>
    <row r="51" spans="1:14" x14ac:dyDescent="0.25">
      <c r="A51" s="346">
        <f>ROW()</f>
        <v>51</v>
      </c>
      <c r="B51" s="343"/>
      <c r="C51" s="345"/>
      <c r="D51" s="345"/>
      <c r="E51" s="345"/>
      <c r="F51" s="345"/>
      <c r="G51" s="345"/>
      <c r="H51" s="345"/>
      <c r="I51" s="345"/>
      <c r="J51" s="345"/>
      <c r="K51" s="345"/>
      <c r="L51" s="345"/>
      <c r="N51" s="343"/>
    </row>
    <row r="52" spans="1:14" x14ac:dyDescent="0.25">
      <c r="A52" s="346">
        <f>ROW()</f>
        <v>52</v>
      </c>
      <c r="B52" s="343"/>
      <c r="C52" s="345"/>
      <c r="D52" s="345"/>
      <c r="E52" s="345"/>
      <c r="F52" s="345"/>
      <c r="G52" s="345"/>
      <c r="H52" s="345"/>
      <c r="I52" s="345"/>
      <c r="J52" s="345"/>
      <c r="K52" s="345"/>
      <c r="L52" s="345"/>
      <c r="N52" s="343"/>
    </row>
    <row r="53" spans="1:14" x14ac:dyDescent="0.25">
      <c r="A53" s="346">
        <f>ROW()</f>
        <v>53</v>
      </c>
      <c r="B53" s="343"/>
      <c r="C53" s="345"/>
      <c r="D53" s="345"/>
      <c r="E53" s="345"/>
      <c r="F53" s="345"/>
      <c r="G53" s="345"/>
      <c r="H53" s="345"/>
      <c r="I53" s="345"/>
      <c r="J53" s="345"/>
      <c r="K53" s="345"/>
      <c r="L53" s="345"/>
      <c r="N53" s="343"/>
    </row>
    <row r="54" spans="1:14" x14ac:dyDescent="0.25">
      <c r="A54" s="346">
        <f>ROW()</f>
        <v>54</v>
      </c>
      <c r="B54" s="343"/>
      <c r="C54" s="345"/>
      <c r="D54" s="345"/>
      <c r="E54" s="345"/>
      <c r="F54" s="345"/>
      <c r="G54" s="345"/>
      <c r="H54" s="345"/>
      <c r="I54" s="345"/>
      <c r="J54" s="345"/>
      <c r="K54" s="345"/>
      <c r="L54" s="345"/>
      <c r="N54" s="343"/>
    </row>
    <row r="55" spans="1:14" x14ac:dyDescent="0.25">
      <c r="A55" s="346">
        <f>ROW()</f>
        <v>55</v>
      </c>
      <c r="B55" s="343"/>
      <c r="C55" s="345"/>
      <c r="D55" s="345"/>
      <c r="E55" s="345"/>
      <c r="F55" s="345"/>
      <c r="G55" s="345"/>
      <c r="H55" s="345"/>
      <c r="I55" s="345"/>
      <c r="J55" s="345"/>
      <c r="K55" s="345"/>
      <c r="L55" s="345"/>
      <c r="N55" s="343"/>
    </row>
    <row r="56" spans="1:14" x14ac:dyDescent="0.25">
      <c r="A56" s="346">
        <f>ROW()</f>
        <v>56</v>
      </c>
      <c r="N56" s="343"/>
    </row>
    <row r="57" spans="1:14" x14ac:dyDescent="0.25">
      <c r="A57" s="346">
        <f>ROW()</f>
        <v>57</v>
      </c>
      <c r="N57" s="343"/>
    </row>
    <row r="58" spans="1:14" x14ac:dyDescent="0.25">
      <c r="A58" s="346">
        <f>ROW()</f>
        <v>58</v>
      </c>
      <c r="C58" s="31" t="s">
        <v>994</v>
      </c>
      <c r="F58" s="744">
        <f t="shared" ref="F58:L60" si="7">F6</f>
        <v>0</v>
      </c>
      <c r="G58" s="745">
        <f t="shared" si="7"/>
        <v>1</v>
      </c>
      <c r="H58" s="745">
        <f t="shared" si="7"/>
        <v>2</v>
      </c>
      <c r="I58" s="745">
        <f t="shared" si="7"/>
        <v>3</v>
      </c>
      <c r="J58" s="745">
        <f t="shared" si="7"/>
        <v>4</v>
      </c>
      <c r="K58" s="745">
        <f t="shared" si="7"/>
        <v>5</v>
      </c>
      <c r="L58" s="746">
        <f t="shared" si="7"/>
        <v>6</v>
      </c>
      <c r="N58" s="343"/>
    </row>
    <row r="59" spans="1:14" x14ac:dyDescent="0.25">
      <c r="A59" s="346">
        <f>ROW()</f>
        <v>59</v>
      </c>
      <c r="F59" s="747">
        <f t="shared" si="7"/>
        <v>2024</v>
      </c>
      <c r="G59" s="747">
        <f t="shared" si="7"/>
        <v>2025</v>
      </c>
      <c r="H59" s="748">
        <f t="shared" si="7"/>
        <v>2026</v>
      </c>
      <c r="I59" s="748">
        <f t="shared" si="7"/>
        <v>2027</v>
      </c>
      <c r="J59" s="748">
        <f t="shared" si="7"/>
        <v>2028</v>
      </c>
      <c r="K59" s="748">
        <f t="shared" si="7"/>
        <v>2029</v>
      </c>
      <c r="L59" s="749">
        <f t="shared" si="7"/>
        <v>2030</v>
      </c>
      <c r="N59" s="343"/>
    </row>
    <row r="60" spans="1:14" x14ac:dyDescent="0.25">
      <c r="A60" s="346">
        <f>ROW()</f>
        <v>60</v>
      </c>
      <c r="D60" s="33" t="s">
        <v>156</v>
      </c>
      <c r="F60" s="741">
        <f t="shared" si="7"/>
        <v>2025</v>
      </c>
      <c r="G60" s="741">
        <f t="shared" si="7"/>
        <v>2026</v>
      </c>
      <c r="H60" s="742">
        <f t="shared" si="7"/>
        <v>2027</v>
      </c>
      <c r="I60" s="742">
        <f t="shared" si="7"/>
        <v>2028</v>
      </c>
      <c r="J60" s="742">
        <f t="shared" si="7"/>
        <v>2029</v>
      </c>
      <c r="K60" s="742">
        <f t="shared" si="7"/>
        <v>2030</v>
      </c>
      <c r="L60" s="743">
        <f t="shared" si="7"/>
        <v>2031</v>
      </c>
      <c r="N60" s="343"/>
    </row>
    <row r="61" spans="1:14" x14ac:dyDescent="0.25">
      <c r="A61" s="346">
        <f>ROW()</f>
        <v>61</v>
      </c>
      <c r="C61" s="33" t="s">
        <v>995</v>
      </c>
      <c r="D61" s="398">
        <f>Levers!B9</f>
        <v>13920.12</v>
      </c>
      <c r="E61" s="398"/>
      <c r="F61" s="398"/>
      <c r="G61" s="399">
        <f>Levers!D9</f>
        <v>2320.02</v>
      </c>
      <c r="H61" s="399">
        <f>Levers!E9</f>
        <v>2320.02</v>
      </c>
      <c r="I61" s="399">
        <f>Levers!F9</f>
        <v>2320.02</v>
      </c>
      <c r="J61" s="399">
        <f>Levers!G9</f>
        <v>2320.02</v>
      </c>
      <c r="K61" s="399">
        <f>Levers!H9</f>
        <v>2320.02</v>
      </c>
      <c r="L61" s="399">
        <f>Levers!I9</f>
        <v>2320.02</v>
      </c>
      <c r="N61" s="343"/>
    </row>
    <row r="62" spans="1:14" x14ac:dyDescent="0.25">
      <c r="A62" s="346">
        <f>ROW()</f>
        <v>62</v>
      </c>
      <c r="C62" s="33" t="s">
        <v>587</v>
      </c>
      <c r="D62" s="484">
        <f>Levers!B10</f>
        <v>165268520.73033231</v>
      </c>
      <c r="E62" s="484"/>
      <c r="F62" s="484">
        <f>Levers!C10</f>
        <v>3345500</v>
      </c>
      <c r="G62" s="485">
        <f>Levers!D10</f>
        <v>26987576.88896</v>
      </c>
      <c r="H62" s="485">
        <f>Levers!E10</f>
        <v>26987088.768274467</v>
      </c>
      <c r="I62" s="485">
        <f>Levers!F10</f>
        <v>26987088.768274467</v>
      </c>
      <c r="J62" s="485">
        <f>Levers!G10</f>
        <v>26987088.768274467</v>
      </c>
      <c r="K62" s="485">
        <f>Levers!H10</f>
        <v>26987088.768274467</v>
      </c>
      <c r="L62" s="485">
        <f>Levers!I10</f>
        <v>26987088.768274467</v>
      </c>
      <c r="N62" s="343"/>
    </row>
    <row r="63" spans="1:14" x14ac:dyDescent="0.25">
      <c r="A63" s="346">
        <f>ROW()</f>
        <v>63</v>
      </c>
      <c r="C63" s="33" t="s">
        <v>996</v>
      </c>
      <c r="D63" s="484">
        <f>Levers!B11</f>
        <v>11872.636207901391</v>
      </c>
      <c r="E63" s="484"/>
      <c r="F63" s="486"/>
      <c r="G63" s="487">
        <f>Levers!D11</f>
        <v>11632.475965276162</v>
      </c>
      <c r="H63" s="487">
        <f>Levers!E11</f>
        <v>11632.2655702427</v>
      </c>
      <c r="I63" s="487">
        <f>Levers!F11</f>
        <v>11632.2655702427</v>
      </c>
      <c r="J63" s="487">
        <f>Levers!G11</f>
        <v>11632.2655702427</v>
      </c>
      <c r="K63" s="487">
        <f>Levers!H11</f>
        <v>11632.2655702427</v>
      </c>
      <c r="L63" s="487">
        <f>Levers!I11</f>
        <v>11632.2655702427</v>
      </c>
      <c r="N63" s="343"/>
    </row>
    <row r="64" spans="1:14" x14ac:dyDescent="0.25">
      <c r="A64" s="346">
        <f>ROW()</f>
        <v>64</v>
      </c>
      <c r="C64" s="33" t="s">
        <v>997</v>
      </c>
      <c r="D64" s="484">
        <f>Levers!B24</f>
        <v>875000</v>
      </c>
      <c r="E64" s="484"/>
      <c r="F64" s="486">
        <f>Levers!C24</f>
        <v>125000</v>
      </c>
      <c r="G64" s="487">
        <f>Levers!D24</f>
        <v>125000</v>
      </c>
      <c r="H64" s="487">
        <f>Levers!E24</f>
        <v>125000</v>
      </c>
      <c r="I64" s="487">
        <f>Levers!F24</f>
        <v>125000</v>
      </c>
      <c r="J64" s="487">
        <f>Levers!G24</f>
        <v>125000</v>
      </c>
      <c r="K64" s="487">
        <f>Levers!H24</f>
        <v>125000</v>
      </c>
      <c r="L64" s="487">
        <f>Levers!I24</f>
        <v>125000</v>
      </c>
      <c r="N64" s="343"/>
    </row>
    <row r="65" spans="1:14" x14ac:dyDescent="0.25">
      <c r="A65" s="346">
        <f>ROW()</f>
        <v>65</v>
      </c>
      <c r="C65" s="33" t="s">
        <v>998</v>
      </c>
      <c r="D65" s="484">
        <f>Levers!B25</f>
        <v>62.858653517354732</v>
      </c>
      <c r="E65" s="484"/>
      <c r="F65" s="486"/>
      <c r="G65" s="487">
        <f>Levers!D25</f>
        <v>53.878845872018346</v>
      </c>
      <c r="H65" s="487">
        <f>Levers!E25</f>
        <v>53.878845872018346</v>
      </c>
      <c r="I65" s="487">
        <f>Levers!F25</f>
        <v>53.878845872018346</v>
      </c>
      <c r="J65" s="487">
        <f>Levers!G25</f>
        <v>53.878845872018346</v>
      </c>
      <c r="K65" s="487">
        <f>Levers!H25</f>
        <v>53.878845872018346</v>
      </c>
      <c r="L65" s="487">
        <f>Levers!I25</f>
        <v>53.878845872018346</v>
      </c>
      <c r="N65" s="343"/>
    </row>
    <row r="66" spans="1:14" ht="29.25" customHeight="1" x14ac:dyDescent="0.25">
      <c r="A66" s="346">
        <f>ROW()</f>
        <v>66</v>
      </c>
      <c r="C66" s="43" t="s">
        <v>999</v>
      </c>
      <c r="D66" s="484">
        <f>Levers!B26</f>
        <v>164393520.73033231</v>
      </c>
      <c r="E66" s="484"/>
      <c r="F66" s="486">
        <f>Levers!C26</f>
        <v>3220500</v>
      </c>
      <c r="G66" s="487">
        <f>Levers!D26</f>
        <v>26862576.88896</v>
      </c>
      <c r="H66" s="487">
        <f>Levers!E26</f>
        <v>26862088.768274467</v>
      </c>
      <c r="I66" s="487">
        <f>Levers!F26</f>
        <v>26862088.768274467</v>
      </c>
      <c r="J66" s="487">
        <f>Levers!G26</f>
        <v>26862088.768274467</v>
      </c>
      <c r="K66" s="487">
        <f>Levers!H26</f>
        <v>26862088.768274467</v>
      </c>
      <c r="L66" s="487">
        <f>Levers!I26</f>
        <v>26862088.768274467</v>
      </c>
      <c r="N66" s="343"/>
    </row>
    <row r="67" spans="1:14" ht="29.25" customHeight="1" x14ac:dyDescent="0.25">
      <c r="A67" s="346">
        <f>ROW()</f>
        <v>67</v>
      </c>
      <c r="C67" s="43" t="s">
        <v>1000</v>
      </c>
      <c r="D67" s="484">
        <f>Levers!B27</f>
        <v>11809.777554384036</v>
      </c>
      <c r="E67" s="484"/>
      <c r="F67" s="486"/>
      <c r="G67" s="487">
        <f>Levers!D27</f>
        <v>11578.597119404143</v>
      </c>
      <c r="H67" s="487">
        <f>Levers!E27</f>
        <v>11578.386724370681</v>
      </c>
      <c r="I67" s="487">
        <f>Levers!F27</f>
        <v>11578.386724370681</v>
      </c>
      <c r="J67" s="487">
        <f>Levers!G27</f>
        <v>11578.386724370681</v>
      </c>
      <c r="K67" s="487">
        <f>Levers!H27</f>
        <v>11578.386724370681</v>
      </c>
      <c r="L67" s="487">
        <f>Levers!I27</f>
        <v>11578.386724370681</v>
      </c>
      <c r="N67" s="343"/>
    </row>
    <row r="68" spans="1:14" x14ac:dyDescent="0.25">
      <c r="A68" s="346">
        <f>ROW()</f>
        <v>68</v>
      </c>
      <c r="C68" s="33" t="s">
        <v>597</v>
      </c>
      <c r="D68" s="484">
        <f>Levers!B38</f>
        <v>-15495261.666420124</v>
      </c>
      <c r="E68" s="55"/>
      <c r="F68" s="486">
        <f>Levers!C38</f>
        <v>-20352722.721774668</v>
      </c>
      <c r="G68" s="487">
        <f>Levers!D38</f>
        <v>1450817.99962283</v>
      </c>
      <c r="H68" s="487">
        <f>Levers!E38</f>
        <v>1204748.8206879236</v>
      </c>
      <c r="I68" s="487">
        <f>Levers!F38</f>
        <v>950756.07545906678</v>
      </c>
      <c r="J68" s="487">
        <f>Levers!G38</f>
        <v>689160.52553670504</v>
      </c>
      <c r="K68" s="487">
        <f>Levers!H38</f>
        <v>419734.42633329995</v>
      </c>
      <c r="L68" s="487">
        <f>Levers!I38</f>
        <v>142243.20771475136</v>
      </c>
      <c r="N68" s="343"/>
    </row>
    <row r="69" spans="1:14" ht="30.75" customHeight="1" x14ac:dyDescent="0.25">
      <c r="A69" s="346">
        <f>ROW()</f>
        <v>69</v>
      </c>
      <c r="C69" s="43" t="s">
        <v>598</v>
      </c>
      <c r="D69" s="484">
        <f>Levers!B39</f>
        <v>-1113.1557534288586</v>
      </c>
      <c r="E69" s="55"/>
      <c r="F69" s="486">
        <f>Levers!C39</f>
        <v>0</v>
      </c>
      <c r="G69" s="487">
        <f>Levers!D39</f>
        <v>625.34719512022741</v>
      </c>
      <c r="H69" s="487">
        <f>Levers!E39</f>
        <v>519.28380819472397</v>
      </c>
      <c r="I69" s="487">
        <f>Levers!F39</f>
        <v>409.80512041235284</v>
      </c>
      <c r="J69" s="487">
        <f>Levers!G39</f>
        <v>297.04938989177037</v>
      </c>
      <c r="K69" s="487">
        <f>Levers!H39</f>
        <v>180.91845170873526</v>
      </c>
      <c r="L69" s="487">
        <f>Levers!I39</f>
        <v>61.311198918436638</v>
      </c>
      <c r="N69" s="343"/>
    </row>
  </sheetData>
  <sheetProtection algorithmName="SHA-512" hashValue="oS9H7sTEBXbpM3t34xQ1eDurHOXPnA3Gsr8H+3A1+o3BKYiQA2FMu7kGVF+yg4KUA8yD1RzxQBPPryqoK9BR/g==" saltValue="yVBM/zKqsrUT0bScOvWaOA==" spinCount="100000" sheet="1" objects="1" scenarios="1"/>
  <mergeCells count="4">
    <mergeCell ref="F2:L2"/>
    <mergeCell ref="F3:L3"/>
    <mergeCell ref="F4:L4"/>
    <mergeCell ref="A1:B1"/>
  </mergeCells>
  <phoneticPr fontId="7" type="noConversion"/>
  <conditionalFormatting sqref="D1">
    <cfRule type="expression" dxfId="18" priority="3" stopIfTrue="1">
      <formula>MOD(ROW(),2)=0</formula>
    </cfRule>
  </conditionalFormatting>
  <conditionalFormatting sqref="O1:Z1">
    <cfRule type="cellIs" dxfId="17" priority="2" stopIfTrue="1" operator="equal">
      <formula>0</formula>
    </cfRule>
  </conditionalFormatting>
  <hyperlinks>
    <hyperlink ref="D1" location="HypLink1" display="HypLink1" xr:uid="{FE5E3821-D6F5-4A01-A4E3-53BCFCDA4265}"/>
  </hyperlinks>
  <pageMargins left="0.25" right="0.25" top="0.5" bottom="0.45" header="0.25" footer="0.25"/>
  <pageSetup scale="78" fitToHeight="0" orientation="landscape" r:id="rId1"/>
  <headerFooter>
    <oddHeader xml:space="preserve">&amp;L &amp;C &amp;R </oddHeader>
    <oddFooter>&amp;L&amp;7&amp;D  at &amp;T Mike 702.486.8879&amp;C&amp;7&amp;F  &amp;A&amp;R&amp;7Page &amp;P of &amp;N</oddFooter>
  </headerFooter>
  <rowBreaks count="1" manualBreakCount="1">
    <brk id="44" max="11"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00"/>
    <pageSetUpPr fitToPage="1"/>
  </sheetPr>
  <dimension ref="A1:AM100"/>
  <sheetViews>
    <sheetView workbookViewId="0">
      <selection activeCell="E67" sqref="E67"/>
    </sheetView>
  </sheetViews>
  <sheetFormatPr defaultColWidth="8.7109375" defaultRowHeight="15" x14ac:dyDescent="0.25"/>
  <cols>
    <col min="1" max="1" width="5.42578125" style="33" customWidth="1"/>
    <col min="2" max="2" width="57.42578125" style="33" customWidth="1"/>
    <col min="3" max="3" width="12.28515625" style="33" customWidth="1"/>
    <col min="4" max="4" width="8.7109375" style="33" customWidth="1"/>
    <col min="5" max="5" width="11.28515625" style="33" customWidth="1"/>
    <col min="6" max="6" width="12.7109375" style="33" customWidth="1"/>
    <col min="7" max="7" width="12.7109375" style="33" bestFit="1" customWidth="1"/>
    <col min="8" max="8" width="12.42578125" style="33" bestFit="1" customWidth="1"/>
    <col min="9" max="12" width="12.7109375" style="33" bestFit="1" customWidth="1"/>
    <col min="13" max="13" width="4.7109375" style="33" customWidth="1"/>
    <col min="14" max="14" width="56.7109375" style="307" customWidth="1"/>
    <col min="15" max="16384" width="8.7109375" style="33"/>
  </cols>
  <sheetData>
    <row r="1" spans="1:39" ht="15.75" x14ac:dyDescent="0.25">
      <c r="A1" s="112" t="s">
        <v>1001</v>
      </c>
      <c r="B1" s="113"/>
      <c r="C1" s="408" t="s">
        <v>3</v>
      </c>
      <c r="D1" s="183" t="s">
        <v>1002</v>
      </c>
      <c r="K1" s="36"/>
      <c r="Y1" s="7" cm="1">
        <f t="array" aca="1" ref="Y1" ca="1">CELL("protect",A1)</f>
        <v>1</v>
      </c>
      <c r="Z1" s="7" cm="1">
        <f t="array" aca="1" ref="Z1" ca="1">CELL("protect",B1)</f>
        <v>1</v>
      </c>
      <c r="AA1" s="7" cm="1">
        <f t="array" aca="1" ref="AA1" ca="1">CELL("protect",C1)</f>
        <v>1</v>
      </c>
      <c r="AB1" s="7" cm="1">
        <f t="array" aca="1" ref="AB1" ca="1">CELL("protect",D1)</f>
        <v>1</v>
      </c>
      <c r="AC1" s="7" cm="1">
        <f t="array" aca="1" ref="AC1" ca="1">CELL("protect",E1)</f>
        <v>1</v>
      </c>
      <c r="AD1" s="7" cm="1">
        <f t="array" aca="1" ref="AD1" ca="1">CELL("protect",F1)</f>
        <v>1</v>
      </c>
      <c r="AE1" s="7" cm="1">
        <f t="array" aca="1" ref="AE1" ca="1">CELL("protect",G1)</f>
        <v>1</v>
      </c>
      <c r="AF1" s="7" cm="1">
        <f t="array" aca="1" ref="AF1" ca="1">CELL("protect",H1)</f>
        <v>1</v>
      </c>
      <c r="AG1" s="7" cm="1">
        <f t="array" aca="1" ref="AG1" ca="1">CELL("protect",I1)</f>
        <v>1</v>
      </c>
      <c r="AH1" s="7" cm="1">
        <f t="array" aca="1" ref="AH1" ca="1">CELL("protect",J1)</f>
        <v>1</v>
      </c>
      <c r="AI1" s="7" cm="1">
        <f t="array" aca="1" ref="AI1" ca="1">CELL("protect",K1)</f>
        <v>1</v>
      </c>
      <c r="AJ1" s="7" cm="1">
        <f t="array" aca="1" ref="AJ1" ca="1">CELL("protect",L1)</f>
        <v>1</v>
      </c>
      <c r="AK1" s="7"/>
      <c r="AL1" s="7"/>
      <c r="AM1" s="7"/>
    </row>
    <row r="2" spans="1:39" ht="15.75" x14ac:dyDescent="0.25">
      <c r="A2" s="114" t="str">
        <f>SchoolName</f>
        <v>Odyssey Charter School</v>
      </c>
      <c r="B2" s="115"/>
      <c r="Y2" s="7" cm="1">
        <f t="array" aca="1" ref="Y2" ca="1">CELL("protect",A2)</f>
        <v>1</v>
      </c>
      <c r="Z2" s="7" cm="1">
        <f t="array" aca="1" ref="Z2" ca="1">CELL("protect",B2)</f>
        <v>1</v>
      </c>
      <c r="AA2" s="7" cm="1">
        <f t="array" aca="1" ref="AA2" ca="1">CELL("protect",C2)</f>
        <v>1</v>
      </c>
      <c r="AB2" s="7" cm="1">
        <f t="array" aca="1" ref="AB2" ca="1">CELL("protect",D2)</f>
        <v>1</v>
      </c>
      <c r="AC2" s="7" cm="1">
        <f t="array" aca="1" ref="AC2" ca="1">CELL("protect",E2)</f>
        <v>1</v>
      </c>
      <c r="AD2" s="7" cm="1">
        <f t="array" aca="1" ref="AD2" ca="1">CELL("protect",F2)</f>
        <v>1</v>
      </c>
      <c r="AE2" s="7" cm="1">
        <f t="array" aca="1" ref="AE2" ca="1">CELL("protect",G2)</f>
        <v>1</v>
      </c>
      <c r="AF2" s="7" cm="1">
        <f t="array" aca="1" ref="AF2" ca="1">CELL("protect",H2)</f>
        <v>1</v>
      </c>
      <c r="AG2" s="7" cm="1">
        <f t="array" aca="1" ref="AG2" ca="1">CELL("protect",I2)</f>
        <v>1</v>
      </c>
      <c r="AH2" s="7" cm="1">
        <f t="array" aca="1" ref="AH2" ca="1">CELL("protect",J2)</f>
        <v>1</v>
      </c>
      <c r="AI2" s="7" cm="1">
        <f t="array" aca="1" ref="AI2" ca="1">CELL("protect",K2)</f>
        <v>1</v>
      </c>
      <c r="AJ2" s="7" cm="1">
        <f t="array" aca="1" ref="AJ2" ca="1">CELL("protect",L2)</f>
        <v>1</v>
      </c>
      <c r="AK2" s="7"/>
      <c r="AL2" s="7"/>
      <c r="AM2" s="7"/>
    </row>
    <row r="3" spans="1:39" x14ac:dyDescent="0.25">
      <c r="A3" s="39" t="s">
        <v>80</v>
      </c>
      <c r="Y3" s="7" cm="1">
        <f t="array" aca="1" ref="Y3" ca="1">CELL("protect",A3)</f>
        <v>1</v>
      </c>
      <c r="Z3" s="7" cm="1">
        <f t="array" aca="1" ref="Z3" ca="1">CELL("protect",B3)</f>
        <v>1</v>
      </c>
      <c r="AA3" s="7" cm="1">
        <f t="array" aca="1" ref="AA3" ca="1">CELL("protect",C3)</f>
        <v>1</v>
      </c>
      <c r="AB3" s="7" cm="1">
        <f t="array" aca="1" ref="AB3" ca="1">CELL("protect",D3)</f>
        <v>1</v>
      </c>
      <c r="AC3" s="7" cm="1">
        <f t="array" aca="1" ref="AC3" ca="1">CELL("protect",E3)</f>
        <v>1</v>
      </c>
      <c r="AD3" s="7" cm="1">
        <f t="array" aca="1" ref="AD3" ca="1">CELL("protect",F3)</f>
        <v>1</v>
      </c>
      <c r="AE3" s="7" cm="1">
        <f t="array" aca="1" ref="AE3" ca="1">CELL("protect",G3)</f>
        <v>1</v>
      </c>
      <c r="AF3" s="7" cm="1">
        <f t="array" aca="1" ref="AF3" ca="1">CELL("protect",H3)</f>
        <v>1</v>
      </c>
      <c r="AG3" s="7" cm="1">
        <f t="array" aca="1" ref="AG3" ca="1">CELL("protect",I3)</f>
        <v>1</v>
      </c>
      <c r="AH3" s="7" cm="1">
        <f t="array" aca="1" ref="AH3" ca="1">CELL("protect",J3)</f>
        <v>1</v>
      </c>
      <c r="AI3" s="7" cm="1">
        <f t="array" aca="1" ref="AI3" ca="1">CELL("protect",K3)</f>
        <v>1</v>
      </c>
      <c r="AJ3" s="7" cm="1">
        <f t="array" aca="1" ref="AJ3" ca="1">CELL("protect",L3)</f>
        <v>1</v>
      </c>
      <c r="AK3" s="7"/>
      <c r="AL3" s="7"/>
      <c r="AM3" s="7"/>
    </row>
    <row r="4" spans="1:39" x14ac:dyDescent="0.25">
      <c r="A4" s="40" t="s">
        <v>81</v>
      </c>
      <c r="Y4" s="7" cm="1">
        <f t="array" aca="1" ref="Y4" ca="1">CELL("protect",A4)</f>
        <v>1</v>
      </c>
      <c r="Z4" s="7" cm="1">
        <f t="array" aca="1" ref="Z4" ca="1">CELL("protect",B4)</f>
        <v>1</v>
      </c>
      <c r="AA4" s="7" cm="1">
        <f t="array" aca="1" ref="AA4" ca="1">CELL("protect",C4)</f>
        <v>1</v>
      </c>
      <c r="AB4" s="7" cm="1">
        <f t="array" aca="1" ref="AB4" ca="1">CELL("protect",D4)</f>
        <v>1</v>
      </c>
      <c r="AC4" s="7" cm="1">
        <f t="array" aca="1" ref="AC4" ca="1">CELL("protect",E4)</f>
        <v>1</v>
      </c>
      <c r="AD4" s="7" cm="1">
        <f t="array" aca="1" ref="AD4" ca="1">CELL("protect",F4)</f>
        <v>1</v>
      </c>
      <c r="AE4" s="7" cm="1">
        <f t="array" aca="1" ref="AE4" ca="1">CELL("protect",G4)</f>
        <v>1</v>
      </c>
      <c r="AF4" s="7" cm="1">
        <f t="array" aca="1" ref="AF4" ca="1">CELL("protect",H4)</f>
        <v>1</v>
      </c>
      <c r="AG4" s="7" cm="1">
        <f t="array" aca="1" ref="AG4" ca="1">CELL("protect",I4)</f>
        <v>1</v>
      </c>
      <c r="AH4" s="7" cm="1">
        <f t="array" aca="1" ref="AH4" ca="1">CELL("protect",J4)</f>
        <v>1</v>
      </c>
      <c r="AI4" s="7" cm="1">
        <f t="array" aca="1" ref="AI4" ca="1">CELL("protect",K4)</f>
        <v>1</v>
      </c>
      <c r="AJ4" s="7" cm="1">
        <f t="array" aca="1" ref="AJ4" ca="1">CELL("protect",L4)</f>
        <v>1</v>
      </c>
      <c r="AK4" s="7"/>
      <c r="AL4" s="7"/>
      <c r="AM4" s="7"/>
    </row>
    <row r="5" spans="1:39" x14ac:dyDescent="0.25">
      <c r="A5" s="30" t="str">
        <f ca="1">CELL("filename")</f>
        <v>\\lvraiders\users\sguthrie\Documents\Charter\Change of Sponsorship\[240126-SPCSA-Odyssey Charter School Application Workbook-AS-IS-Original Version.xlsx]Instructions</v>
      </c>
      <c r="Y5" s="7" cm="1">
        <f t="array" aca="1" ref="Y5" ca="1">CELL("protect",A5)</f>
        <v>1</v>
      </c>
      <c r="Z5" s="7" cm="1">
        <f t="array" aca="1" ref="Z5" ca="1">CELL("protect",B5)</f>
        <v>1</v>
      </c>
      <c r="AA5" s="7" cm="1">
        <f t="array" aca="1" ref="AA5" ca="1">CELL("protect",C5)</f>
        <v>1</v>
      </c>
      <c r="AB5" s="7" cm="1">
        <f t="array" aca="1" ref="AB5" ca="1">CELL("protect",D5)</f>
        <v>1</v>
      </c>
      <c r="AC5" s="7" cm="1">
        <f t="array" aca="1" ref="AC5" ca="1">CELL("protect",E5)</f>
        <v>1</v>
      </c>
      <c r="AD5" s="7" cm="1">
        <f t="array" aca="1" ref="AD5" ca="1">CELL("protect",F5)</f>
        <v>1</v>
      </c>
      <c r="AE5" s="7" cm="1">
        <f t="array" aca="1" ref="AE5" ca="1">CELL("protect",G5)</f>
        <v>1</v>
      </c>
      <c r="AF5" s="7" cm="1">
        <f t="array" aca="1" ref="AF5" ca="1">CELL("protect",H5)</f>
        <v>1</v>
      </c>
      <c r="AG5" s="7" cm="1">
        <f t="array" aca="1" ref="AG5" ca="1">CELL("protect",I5)</f>
        <v>1</v>
      </c>
      <c r="AH5" s="7" cm="1">
        <f t="array" aca="1" ref="AH5" ca="1">CELL("protect",J5)</f>
        <v>1</v>
      </c>
      <c r="AI5" s="7" cm="1">
        <f t="array" aca="1" ref="AI5" ca="1">CELL("protect",K5)</f>
        <v>1</v>
      </c>
      <c r="AJ5" s="7" cm="1">
        <f t="array" aca="1" ref="AJ5" ca="1">CELL("protect",L5)</f>
        <v>1</v>
      </c>
      <c r="AK5" s="7"/>
      <c r="AL5" s="7"/>
      <c r="AM5" s="7"/>
    </row>
    <row r="6" spans="1:39" x14ac:dyDescent="0.25">
      <c r="F6" s="31" t="s">
        <v>1003</v>
      </c>
      <c r="G6" s="183" t="s">
        <v>1004</v>
      </c>
      <c r="Y6" s="7" cm="1">
        <f t="array" aca="1" ref="Y6" ca="1">CELL("protect",A6)</f>
        <v>1</v>
      </c>
      <c r="Z6" s="7" cm="1">
        <f t="array" aca="1" ref="Z6" ca="1">CELL("protect",B6)</f>
        <v>1</v>
      </c>
      <c r="AA6" s="7" cm="1">
        <f t="array" aca="1" ref="AA6" ca="1">CELL("protect",C6)</f>
        <v>1</v>
      </c>
      <c r="AB6" s="7" cm="1">
        <f t="array" aca="1" ref="AB6" ca="1">CELL("protect",D6)</f>
        <v>1</v>
      </c>
      <c r="AC6" s="7" cm="1">
        <f t="array" aca="1" ref="AC6" ca="1">CELL("protect",E6)</f>
        <v>1</v>
      </c>
      <c r="AD6" s="7" cm="1">
        <f t="array" aca="1" ref="AD6" ca="1">CELL("protect",F6)</f>
        <v>1</v>
      </c>
      <c r="AE6" s="7" cm="1">
        <f t="array" aca="1" ref="AE6" ca="1">CELL("protect",G6)</f>
        <v>1</v>
      </c>
      <c r="AF6" s="7" cm="1">
        <f t="array" aca="1" ref="AF6" ca="1">CELL("protect",H6)</f>
        <v>1</v>
      </c>
      <c r="AG6" s="7" cm="1">
        <f t="array" aca="1" ref="AG6" ca="1">CELL("protect",I6)</f>
        <v>1</v>
      </c>
      <c r="AH6" s="7" cm="1">
        <f t="array" aca="1" ref="AH6" ca="1">CELL("protect",J6)</f>
        <v>1</v>
      </c>
      <c r="AI6" s="7" cm="1">
        <f t="array" aca="1" ref="AI6" ca="1">CELL("protect",K6)</f>
        <v>1</v>
      </c>
      <c r="AJ6" s="7" cm="1">
        <f t="array" aca="1" ref="AJ6" ca="1">CELL("protect",L6)</f>
        <v>1</v>
      </c>
      <c r="AK6" s="7"/>
      <c r="AL6" s="7"/>
      <c r="AM6" s="7"/>
    </row>
    <row r="7" spans="1:39" ht="15.75" x14ac:dyDescent="0.25">
      <c r="B7" s="1604" t="s">
        <v>1005</v>
      </c>
      <c r="C7" s="1605" t="s">
        <v>1006</v>
      </c>
      <c r="D7" s="1606" t="s">
        <v>1007</v>
      </c>
      <c r="E7" s="1607" t="s">
        <v>343</v>
      </c>
      <c r="F7" s="1639">
        <v>0</v>
      </c>
      <c r="G7" s="745">
        <v>1</v>
      </c>
      <c r="H7" s="745">
        <f>+G7+1</f>
        <v>2</v>
      </c>
      <c r="I7" s="745">
        <f>+H7+1</f>
        <v>3</v>
      </c>
      <c r="J7" s="745">
        <f>+I7+1</f>
        <v>4</v>
      </c>
      <c r="K7" s="745">
        <f>+J7+1</f>
        <v>5</v>
      </c>
      <c r="L7" s="746">
        <f>+K7+1</f>
        <v>6</v>
      </c>
      <c r="N7" s="1365" t="s">
        <v>103</v>
      </c>
      <c r="Y7" s="7" cm="1">
        <f t="array" aca="1" ref="Y7" ca="1">CELL("protect",A7)</f>
        <v>1</v>
      </c>
      <c r="Z7" s="7" cm="1">
        <f t="array" aca="1" ref="Z7" ca="1">CELL("protect",B7)</f>
        <v>1</v>
      </c>
      <c r="AA7" s="7" cm="1">
        <f t="array" aca="1" ref="AA7" ca="1">CELL("protect",C7)</f>
        <v>1</v>
      </c>
      <c r="AB7" s="7" cm="1">
        <f t="array" aca="1" ref="AB7" ca="1">CELL("protect",D7)</f>
        <v>1</v>
      </c>
      <c r="AC7" s="7" cm="1">
        <f t="array" aca="1" ref="AC7" ca="1">CELL("protect",E7)</f>
        <v>1</v>
      </c>
      <c r="AD7" s="7" cm="1">
        <f t="array" aca="1" ref="AD7" ca="1">CELL("protect",F7)</f>
        <v>1</v>
      </c>
      <c r="AE7" s="7" cm="1">
        <f t="array" aca="1" ref="AE7" ca="1">CELL("protect",G7)</f>
        <v>1</v>
      </c>
      <c r="AF7" s="7" cm="1">
        <f t="array" aca="1" ref="AF7" ca="1">CELL("protect",H7)</f>
        <v>1</v>
      </c>
      <c r="AG7" s="7" cm="1">
        <f t="array" aca="1" ref="AG7" ca="1">CELL("protect",I7)</f>
        <v>1</v>
      </c>
      <c r="AH7" s="7" cm="1">
        <f t="array" aca="1" ref="AH7" ca="1">CELL("protect",J7)</f>
        <v>1</v>
      </c>
      <c r="AI7" s="7" cm="1">
        <f t="array" aca="1" ref="AI7" ca="1">CELL("protect",K7)</f>
        <v>1</v>
      </c>
      <c r="AJ7" s="7" cm="1">
        <f t="array" aca="1" ref="AJ7" ca="1">CELL("protect",L7)</f>
        <v>1</v>
      </c>
      <c r="AK7" s="7"/>
      <c r="AL7" s="7"/>
      <c r="AM7" s="7"/>
    </row>
    <row r="8" spans="1:39" ht="15.75" x14ac:dyDescent="0.25">
      <c r="B8" s="1608"/>
      <c r="C8" s="740"/>
      <c r="D8" s="1606"/>
      <c r="E8" s="1609"/>
      <c r="F8" s="747">
        <f>+'FFE&amp;T'!F7</f>
        <v>2024</v>
      </c>
      <c r="G8" s="747">
        <f>+'FFE&amp;T'!G7</f>
        <v>2025</v>
      </c>
      <c r="H8" s="748">
        <f>+'FFE&amp;T'!H7</f>
        <v>2026</v>
      </c>
      <c r="I8" s="748">
        <f>+'FFE&amp;T'!I7</f>
        <v>2027</v>
      </c>
      <c r="J8" s="748">
        <f>+'FFE&amp;T'!J7</f>
        <v>2028</v>
      </c>
      <c r="K8" s="748">
        <f>+'FFE&amp;T'!K7</f>
        <v>2029</v>
      </c>
      <c r="L8" s="749">
        <f>+'FFE&amp;T'!L7</f>
        <v>2030</v>
      </c>
      <c r="N8" s="1278"/>
      <c r="Y8" s="7"/>
      <c r="Z8" s="7"/>
      <c r="AA8" s="7"/>
      <c r="AB8" s="7"/>
      <c r="AC8" s="7"/>
      <c r="AD8" s="7"/>
      <c r="AE8" s="7"/>
      <c r="AF8" s="7"/>
      <c r="AG8" s="7"/>
      <c r="AH8" s="7"/>
      <c r="AI8" s="7"/>
      <c r="AJ8" s="7"/>
      <c r="AK8" s="7"/>
      <c r="AL8" s="7"/>
      <c r="AM8" s="7"/>
    </row>
    <row r="9" spans="1:39" s="31" customFormat="1" ht="15.75" x14ac:dyDescent="0.25">
      <c r="B9" s="1610" t="s">
        <v>1008</v>
      </c>
      <c r="C9" s="742" t="s">
        <v>1009</v>
      </c>
      <c r="D9" s="1606" t="s">
        <v>1010</v>
      </c>
      <c r="E9" s="1611" t="s">
        <v>1011</v>
      </c>
      <c r="F9" s="741">
        <f>' Enrol &amp; Rev'!F11</f>
        <v>2025</v>
      </c>
      <c r="G9" s="741">
        <f>' Enrol &amp; Rev'!G11</f>
        <v>2026</v>
      </c>
      <c r="H9" s="742">
        <f>' Enrol &amp; Rev'!H11</f>
        <v>2027</v>
      </c>
      <c r="I9" s="742">
        <f>' Enrol &amp; Rev'!I11</f>
        <v>2028</v>
      </c>
      <c r="J9" s="742">
        <f>' Enrol &amp; Rev'!J11</f>
        <v>2029</v>
      </c>
      <c r="K9" s="742">
        <f>' Enrol &amp; Rev'!K11</f>
        <v>2030</v>
      </c>
      <c r="L9" s="743">
        <f>' Enrol &amp; Rev'!L11</f>
        <v>2031</v>
      </c>
      <c r="N9" s="462"/>
      <c r="Y9" s="7" cm="1">
        <f t="array" aca="1" ref="Y9" ca="1">CELL("protect",A9)</f>
        <v>1</v>
      </c>
      <c r="Z9" s="7" cm="1">
        <f t="array" aca="1" ref="Z9" ca="1">CELL("protect",B9)</f>
        <v>1</v>
      </c>
      <c r="AA9" s="7" cm="1">
        <f t="array" aca="1" ref="AA9" ca="1">CELL("protect",C9)</f>
        <v>1</v>
      </c>
      <c r="AB9" s="7" cm="1">
        <f t="array" aca="1" ref="AB9" ca="1">CELL("protect",D9)</f>
        <v>1</v>
      </c>
      <c r="AC9" s="7" cm="1">
        <f t="array" aca="1" ref="AC9" ca="1">CELL("protect",E9)</f>
        <v>1</v>
      </c>
      <c r="AD9" s="7" cm="1">
        <f t="array" aca="1" ref="AD9" ca="1">CELL("protect",F9)</f>
        <v>1</v>
      </c>
      <c r="AE9" s="7" cm="1">
        <f t="array" aca="1" ref="AE9" ca="1">CELL("protect",G9)</f>
        <v>1</v>
      </c>
      <c r="AF9" s="7" cm="1">
        <f t="array" aca="1" ref="AF9" ca="1">CELL("protect",H9)</f>
        <v>1</v>
      </c>
      <c r="AG9" s="7" cm="1">
        <f t="array" aca="1" ref="AG9" ca="1">CELL("protect",I9)</f>
        <v>1</v>
      </c>
      <c r="AH9" s="7" cm="1">
        <f t="array" aca="1" ref="AH9" ca="1">CELL("protect",J9)</f>
        <v>1</v>
      </c>
      <c r="AI9" s="7" cm="1">
        <f t="array" aca="1" ref="AI9" ca="1">CELL("protect",K9)</f>
        <v>1</v>
      </c>
      <c r="AJ9" s="7" cm="1">
        <f t="array" aca="1" ref="AJ9" ca="1">CELL("protect",L9)</f>
        <v>1</v>
      </c>
      <c r="AK9" s="7"/>
      <c r="AL9" s="7"/>
      <c r="AM9" s="7"/>
    </row>
    <row r="10" spans="1:39" x14ac:dyDescent="0.25">
      <c r="A10" s="129"/>
      <c r="B10" s="393"/>
      <c r="C10" s="394"/>
      <c r="D10" s="394"/>
      <c r="E10" s="55"/>
      <c r="F10" s="855"/>
      <c r="G10" s="855"/>
      <c r="H10" s="397"/>
      <c r="I10" s="397"/>
      <c r="J10" s="397"/>
      <c r="K10" s="397"/>
      <c r="L10" s="397"/>
      <c r="N10" s="343" t="s">
        <v>1012</v>
      </c>
      <c r="Y10" s="7" cm="1">
        <f t="array" aca="1" ref="Y10" ca="1">CELL("protect",A10)</f>
        <v>1</v>
      </c>
      <c r="Z10" s="7" cm="1">
        <f t="array" aca="1" ref="Z10" ca="1">CELL("protect",B10)</f>
        <v>0</v>
      </c>
      <c r="AA10" s="7" cm="1">
        <f t="array" aca="1" ref="AA10" ca="1">CELL("protect",C10)</f>
        <v>0</v>
      </c>
      <c r="AB10" s="7" cm="1">
        <f t="array" aca="1" ref="AB10" ca="1">CELL("protect",D10)</f>
        <v>0</v>
      </c>
      <c r="AC10" s="7" cm="1">
        <f t="array" aca="1" ref="AC10" ca="1">CELL("protect",E10)</f>
        <v>1</v>
      </c>
      <c r="AD10" s="7" cm="1">
        <f t="array" aca="1" ref="AD10" ca="1">CELL("protect",F10)</f>
        <v>1</v>
      </c>
      <c r="AE10" s="7" cm="1">
        <f t="array" aca="1" ref="AE10" ca="1">CELL("protect",G10)</f>
        <v>1</v>
      </c>
      <c r="AF10" s="7" cm="1">
        <f t="array" aca="1" ref="AF10" ca="1">CELL("protect",H10)</f>
        <v>1</v>
      </c>
      <c r="AG10" s="7" cm="1">
        <f t="array" aca="1" ref="AG10" ca="1">CELL("protect",I10)</f>
        <v>1</v>
      </c>
      <c r="AH10" s="7" cm="1">
        <f t="array" aca="1" ref="AH10" ca="1">CELL("protect",J10)</f>
        <v>1</v>
      </c>
      <c r="AI10" s="7" cm="1">
        <f t="array" aca="1" ref="AI10" ca="1">CELL("protect",K10)</f>
        <v>1</v>
      </c>
      <c r="AJ10" s="7" cm="1">
        <f t="array" aca="1" ref="AJ10" ca="1">CELL("protect",L10)</f>
        <v>1</v>
      </c>
      <c r="AK10" s="7"/>
      <c r="AL10" s="7"/>
      <c r="AM10" s="7"/>
    </row>
    <row r="11" spans="1:39" x14ac:dyDescent="0.25">
      <c r="A11" s="129">
        <f>ROW()</f>
        <v>11</v>
      </c>
      <c r="B11" s="467" t="s">
        <v>1013</v>
      </c>
      <c r="C11" s="468"/>
      <c r="D11" s="392"/>
      <c r="E11" s="50"/>
      <c r="F11" s="882"/>
      <c r="G11" s="882"/>
      <c r="H11" s="883"/>
      <c r="I11" s="883"/>
      <c r="J11" s="883"/>
      <c r="K11" s="883"/>
      <c r="L11" s="883"/>
      <c r="N11" s="343" t="s">
        <v>1014</v>
      </c>
      <c r="Y11" s="7" cm="1">
        <f t="array" aca="1" ref="Y11" ca="1">CELL("protect",A11)</f>
        <v>1</v>
      </c>
      <c r="Z11" s="7" cm="1">
        <f t="array" aca="1" ref="Z11" ca="1">CELL("protect",B11)</f>
        <v>1</v>
      </c>
      <c r="AA11" s="7" cm="1">
        <f t="array" aca="1" ref="AA11" ca="1">CELL("protect",C11)</f>
        <v>1</v>
      </c>
      <c r="AB11" s="7" cm="1">
        <f t="array" aca="1" ref="AB11" ca="1">CELL("protect",D11)</f>
        <v>0</v>
      </c>
      <c r="AC11" s="7" cm="1">
        <f t="array" aca="1" ref="AC11" ca="1">CELL("protect",E11)</f>
        <v>1</v>
      </c>
      <c r="AD11" s="7" cm="1">
        <f t="array" aca="1" ref="AD11" ca="1">CELL("protect",F11)</f>
        <v>0</v>
      </c>
      <c r="AE11" s="7" cm="1">
        <f t="array" aca="1" ref="AE11" ca="1">CELL("protect",G11)</f>
        <v>0</v>
      </c>
      <c r="AF11" s="7" cm="1">
        <f t="array" aca="1" ref="AF11" ca="1">CELL("protect",H11)</f>
        <v>0</v>
      </c>
      <c r="AG11" s="7" cm="1">
        <f t="array" aca="1" ref="AG11" ca="1">CELL("protect",I11)</f>
        <v>0</v>
      </c>
      <c r="AH11" s="7" cm="1">
        <f t="array" aca="1" ref="AH11" ca="1">CELL("protect",J11)</f>
        <v>0</v>
      </c>
      <c r="AI11" s="7" cm="1">
        <f t="array" aca="1" ref="AI11" ca="1">CELL("protect",K11)</f>
        <v>0</v>
      </c>
      <c r="AJ11" s="7" cm="1">
        <f t="array" aca="1" ref="AJ11" ca="1">CELL("protect",L11)</f>
        <v>0</v>
      </c>
      <c r="AK11" s="7"/>
      <c r="AL11" s="7"/>
      <c r="AM11" s="7"/>
    </row>
    <row r="12" spans="1:39" x14ac:dyDescent="0.25">
      <c r="A12" s="129">
        <f>ROW()</f>
        <v>12</v>
      </c>
      <c r="B12" s="469" t="s">
        <v>1015</v>
      </c>
      <c r="C12" s="527">
        <v>0</v>
      </c>
      <c r="D12" s="528">
        <v>0</v>
      </c>
      <c r="E12" s="1455">
        <f t="shared" ref="E12:E48" si="0">SUM(F12:L12)</f>
        <v>0</v>
      </c>
      <c r="F12" s="908">
        <v>0</v>
      </c>
      <c r="G12" s="884">
        <f t="shared" ref="G12:G45" si="1">+$D12</f>
        <v>0</v>
      </c>
      <c r="H12" s="843">
        <f t="shared" ref="H12:L29" si="2">+$D12</f>
        <v>0</v>
      </c>
      <c r="I12" s="843">
        <f t="shared" si="2"/>
        <v>0</v>
      </c>
      <c r="J12" s="843">
        <f t="shared" si="2"/>
        <v>0</v>
      </c>
      <c r="K12" s="843">
        <f t="shared" si="2"/>
        <v>0</v>
      </c>
      <c r="L12" s="843">
        <f t="shared" si="2"/>
        <v>0</v>
      </c>
      <c r="N12" s="343"/>
      <c r="Y12" s="7" cm="1">
        <f t="array" aca="1" ref="Y12" ca="1">CELL("protect",A12)</f>
        <v>1</v>
      </c>
      <c r="Z12" s="7" cm="1">
        <f t="array" aca="1" ref="Z12" ca="1">CELL("protect",B12)</f>
        <v>1</v>
      </c>
      <c r="AA12" s="7" cm="1">
        <f t="array" aca="1" ref="AA12" ca="1">CELL("protect",C12)</f>
        <v>1</v>
      </c>
      <c r="AB12" s="7" cm="1">
        <f t="array" aca="1" ref="AB12" ca="1">CELL("protect",D12)</f>
        <v>0</v>
      </c>
      <c r="AC12" s="7" cm="1">
        <f t="array" aca="1" ref="AC12" ca="1">CELL("protect",E12)</f>
        <v>0</v>
      </c>
      <c r="AD12" s="7" cm="1">
        <f t="array" aca="1" ref="AD12" ca="1">CELL("protect",F12)</f>
        <v>0</v>
      </c>
      <c r="AE12" s="7" cm="1">
        <f t="array" aca="1" ref="AE12" ca="1">CELL("protect",G12)</f>
        <v>0</v>
      </c>
      <c r="AF12" s="7" cm="1">
        <f t="array" aca="1" ref="AF12" ca="1">CELL("protect",H12)</f>
        <v>0</v>
      </c>
      <c r="AG12" s="7" cm="1">
        <f t="array" aca="1" ref="AG12" ca="1">CELL("protect",I12)</f>
        <v>0</v>
      </c>
      <c r="AH12" s="7" cm="1">
        <f t="array" aca="1" ref="AH12" ca="1">CELL("protect",J12)</f>
        <v>0</v>
      </c>
      <c r="AI12" s="7" cm="1">
        <f t="array" aca="1" ref="AI12" ca="1">CELL("protect",K12)</f>
        <v>0</v>
      </c>
      <c r="AJ12" s="7" cm="1">
        <f t="array" aca="1" ref="AJ12" ca="1">CELL("protect",L12)</f>
        <v>0</v>
      </c>
      <c r="AK12" s="7"/>
      <c r="AL12" s="7"/>
      <c r="AM12" s="7"/>
    </row>
    <row r="13" spans="1:39" ht="45" x14ac:dyDescent="0.25">
      <c r="A13" s="887">
        <f>ROW()</f>
        <v>13</v>
      </c>
      <c r="B13" s="470" t="s">
        <v>1016</v>
      </c>
      <c r="C13" s="471">
        <v>1000000</v>
      </c>
      <c r="D13" s="256">
        <v>18546</v>
      </c>
      <c r="E13" s="1454">
        <f t="shared" si="0"/>
        <v>111276</v>
      </c>
      <c r="F13" s="909"/>
      <c r="G13" s="856">
        <f t="shared" si="1"/>
        <v>18546</v>
      </c>
      <c r="H13" s="461">
        <f t="shared" si="2"/>
        <v>18546</v>
      </c>
      <c r="I13" s="461">
        <f t="shared" si="2"/>
        <v>18546</v>
      </c>
      <c r="J13" s="461">
        <f t="shared" si="2"/>
        <v>18546</v>
      </c>
      <c r="K13" s="461">
        <f t="shared" si="2"/>
        <v>18546</v>
      </c>
      <c r="L13" s="461">
        <f t="shared" si="2"/>
        <v>18546</v>
      </c>
      <c r="N13" s="343"/>
      <c r="Y13" s="7" cm="1">
        <f t="array" aca="1" ref="Y13" ca="1">CELL("protect",A13)</f>
        <v>1</v>
      </c>
      <c r="Z13" s="7" cm="1">
        <f t="array" aca="1" ref="Z13" ca="1">CELL("protect",B13)</f>
        <v>1</v>
      </c>
      <c r="AA13" s="7" cm="1">
        <f t="array" aca="1" ref="AA13" ca="1">CELL("protect",C13)</f>
        <v>1</v>
      </c>
      <c r="AB13" s="7" cm="1">
        <f t="array" aca="1" ref="AB13" ca="1">CELL("protect",D13)</f>
        <v>0</v>
      </c>
      <c r="AC13" s="7" cm="1">
        <f t="array" aca="1" ref="AC13" ca="1">CELL("protect",E13)</f>
        <v>0</v>
      </c>
      <c r="AD13" s="7" cm="1">
        <f t="array" aca="1" ref="AD13" ca="1">CELL("protect",F13)</f>
        <v>0</v>
      </c>
      <c r="AE13" s="7" cm="1">
        <f t="array" aca="1" ref="AE13" ca="1">CELL("protect",G13)</f>
        <v>0</v>
      </c>
      <c r="AF13" s="7" cm="1">
        <f t="array" aca="1" ref="AF13" ca="1">CELL("protect",H13)</f>
        <v>0</v>
      </c>
      <c r="AG13" s="7" cm="1">
        <f t="array" aca="1" ref="AG13" ca="1">CELL("protect",I13)</f>
        <v>0</v>
      </c>
      <c r="AH13" s="7" cm="1">
        <f t="array" aca="1" ref="AH13" ca="1">CELL("protect",J13)</f>
        <v>0</v>
      </c>
      <c r="AI13" s="7" cm="1">
        <f t="array" aca="1" ref="AI13" ca="1">CELL("protect",K13)</f>
        <v>0</v>
      </c>
      <c r="AJ13" s="7" cm="1">
        <f t="array" aca="1" ref="AJ13" ca="1">CELL("protect",L13)</f>
        <v>0</v>
      </c>
      <c r="AK13" s="7"/>
      <c r="AL13" s="7"/>
      <c r="AM13" s="7"/>
    </row>
    <row r="14" spans="1:39" x14ac:dyDescent="0.25">
      <c r="A14" s="129">
        <f>ROW()</f>
        <v>14</v>
      </c>
      <c r="B14" s="472" t="s">
        <v>1017</v>
      </c>
      <c r="C14" s="473">
        <v>3000000</v>
      </c>
      <c r="D14" s="256">
        <v>9252</v>
      </c>
      <c r="E14" s="1454">
        <f t="shared" si="0"/>
        <v>55512</v>
      </c>
      <c r="F14" s="909">
        <v>0</v>
      </c>
      <c r="G14" s="856">
        <f t="shared" si="1"/>
        <v>9252</v>
      </c>
      <c r="H14" s="461">
        <f t="shared" si="2"/>
        <v>9252</v>
      </c>
      <c r="I14" s="461">
        <f t="shared" si="2"/>
        <v>9252</v>
      </c>
      <c r="J14" s="461">
        <f t="shared" si="2"/>
        <v>9252</v>
      </c>
      <c r="K14" s="461">
        <f t="shared" si="2"/>
        <v>9252</v>
      </c>
      <c r="L14" s="461">
        <f t="shared" si="2"/>
        <v>9252</v>
      </c>
      <c r="N14" s="343"/>
      <c r="Y14" s="7" cm="1">
        <f t="array" aca="1" ref="Y14" ca="1">CELL("protect",A14)</f>
        <v>1</v>
      </c>
      <c r="Z14" s="7" cm="1">
        <f t="array" aca="1" ref="Z14" ca="1">CELL("protect",B14)</f>
        <v>1</v>
      </c>
      <c r="AA14" s="7" cm="1">
        <f t="array" aca="1" ref="AA14" ca="1">CELL("protect",C14)</f>
        <v>1</v>
      </c>
      <c r="AB14" s="7" cm="1">
        <f t="array" aca="1" ref="AB14" ca="1">CELL("protect",D14)</f>
        <v>0</v>
      </c>
      <c r="AC14" s="7" cm="1">
        <f t="array" aca="1" ref="AC14" ca="1">CELL("protect",E14)</f>
        <v>0</v>
      </c>
      <c r="AD14" s="7" cm="1">
        <f t="array" aca="1" ref="AD14" ca="1">CELL("protect",F14)</f>
        <v>0</v>
      </c>
      <c r="AE14" s="7" cm="1">
        <f t="array" aca="1" ref="AE14" ca="1">CELL("protect",G14)</f>
        <v>0</v>
      </c>
      <c r="AF14" s="7" cm="1">
        <f t="array" aca="1" ref="AF14" ca="1">CELL("protect",H14)</f>
        <v>0</v>
      </c>
      <c r="AG14" s="7" cm="1">
        <f t="array" aca="1" ref="AG14" ca="1">CELL("protect",I14)</f>
        <v>0</v>
      </c>
      <c r="AH14" s="7" cm="1">
        <f t="array" aca="1" ref="AH14" ca="1">CELL("protect",J14)</f>
        <v>0</v>
      </c>
      <c r="AI14" s="7" cm="1">
        <f t="array" aca="1" ref="AI14" ca="1">CELL("protect",K14)</f>
        <v>0</v>
      </c>
      <c r="AJ14" s="7" cm="1">
        <f t="array" aca="1" ref="AJ14" ca="1">CELL("protect",L14)</f>
        <v>0</v>
      </c>
      <c r="AK14" s="7"/>
      <c r="AL14" s="7"/>
      <c r="AM14" s="7"/>
    </row>
    <row r="15" spans="1:39" x14ac:dyDescent="0.25">
      <c r="A15" s="129">
        <f>ROW()</f>
        <v>15</v>
      </c>
      <c r="B15" s="472" t="s">
        <v>1018</v>
      </c>
      <c r="C15" s="473">
        <v>1000000</v>
      </c>
      <c r="D15" s="256">
        <v>15272</v>
      </c>
      <c r="E15" s="1454">
        <f t="shared" si="0"/>
        <v>91632</v>
      </c>
      <c r="F15" s="909">
        <v>0</v>
      </c>
      <c r="G15" s="856">
        <f t="shared" si="1"/>
        <v>15272</v>
      </c>
      <c r="H15" s="461">
        <f t="shared" si="2"/>
        <v>15272</v>
      </c>
      <c r="I15" s="461">
        <f t="shared" si="2"/>
        <v>15272</v>
      </c>
      <c r="J15" s="461">
        <f t="shared" si="2"/>
        <v>15272</v>
      </c>
      <c r="K15" s="461">
        <f t="shared" si="2"/>
        <v>15272</v>
      </c>
      <c r="L15" s="461">
        <f t="shared" si="2"/>
        <v>15272</v>
      </c>
      <c r="N15" s="343" t="s">
        <v>1550</v>
      </c>
      <c r="Y15" s="7" cm="1">
        <f t="array" aca="1" ref="Y15" ca="1">CELL("protect",A15)</f>
        <v>1</v>
      </c>
      <c r="Z15" s="7" cm="1">
        <f t="array" aca="1" ref="Z15" ca="1">CELL("protect",B15)</f>
        <v>1</v>
      </c>
      <c r="AA15" s="7" cm="1">
        <f t="array" aca="1" ref="AA15" ca="1">CELL("protect",C15)</f>
        <v>1</v>
      </c>
      <c r="AB15" s="7" cm="1">
        <f t="array" aca="1" ref="AB15" ca="1">CELL("protect",D15)</f>
        <v>0</v>
      </c>
      <c r="AC15" s="7" cm="1">
        <f t="array" aca="1" ref="AC15" ca="1">CELL("protect",E15)</f>
        <v>0</v>
      </c>
      <c r="AD15" s="7" cm="1">
        <f t="array" aca="1" ref="AD15" ca="1">CELL("protect",F15)</f>
        <v>0</v>
      </c>
      <c r="AE15" s="7" cm="1">
        <f t="array" aca="1" ref="AE15" ca="1">CELL("protect",G15)</f>
        <v>0</v>
      </c>
      <c r="AF15" s="7" cm="1">
        <f t="array" aca="1" ref="AF15" ca="1">CELL("protect",H15)</f>
        <v>0</v>
      </c>
      <c r="AG15" s="7" cm="1">
        <f t="array" aca="1" ref="AG15" ca="1">CELL("protect",I15)</f>
        <v>0</v>
      </c>
      <c r="AH15" s="7" cm="1">
        <f t="array" aca="1" ref="AH15" ca="1">CELL("protect",J15)</f>
        <v>0</v>
      </c>
      <c r="AI15" s="7" cm="1">
        <f t="array" aca="1" ref="AI15" ca="1">CELL("protect",K15)</f>
        <v>0</v>
      </c>
      <c r="AJ15" s="7" cm="1">
        <f t="array" aca="1" ref="AJ15" ca="1">CELL("protect",L15)</f>
        <v>0</v>
      </c>
      <c r="AK15" s="7"/>
      <c r="AL15" s="7"/>
      <c r="AM15" s="7"/>
    </row>
    <row r="16" spans="1:39" x14ac:dyDescent="0.25">
      <c r="A16" s="129">
        <f>ROW()</f>
        <v>16</v>
      </c>
      <c r="B16" s="472" t="s">
        <v>1019</v>
      </c>
      <c r="C16" s="473">
        <v>1000000</v>
      </c>
      <c r="D16" s="256">
        <v>0</v>
      </c>
      <c r="E16" s="1454">
        <f t="shared" si="0"/>
        <v>0</v>
      </c>
      <c r="F16" s="909">
        <v>0</v>
      </c>
      <c r="G16" s="856">
        <f t="shared" si="1"/>
        <v>0</v>
      </c>
      <c r="H16" s="461">
        <f t="shared" si="2"/>
        <v>0</v>
      </c>
      <c r="I16" s="461">
        <f t="shared" si="2"/>
        <v>0</v>
      </c>
      <c r="J16" s="461">
        <f t="shared" si="2"/>
        <v>0</v>
      </c>
      <c r="K16" s="461">
        <f t="shared" si="2"/>
        <v>0</v>
      </c>
      <c r="L16" s="461">
        <f t="shared" si="2"/>
        <v>0</v>
      </c>
      <c r="N16" s="343" t="s">
        <v>1546</v>
      </c>
      <c r="Y16" s="7" cm="1">
        <f t="array" aca="1" ref="Y16" ca="1">CELL("protect",A16)</f>
        <v>1</v>
      </c>
      <c r="Z16" s="7" cm="1">
        <f t="array" aca="1" ref="Z16" ca="1">CELL("protect",B16)</f>
        <v>1</v>
      </c>
      <c r="AA16" s="7" cm="1">
        <f t="array" aca="1" ref="AA16" ca="1">CELL("protect",C16)</f>
        <v>1</v>
      </c>
      <c r="AB16" s="7" cm="1">
        <f t="array" aca="1" ref="AB16" ca="1">CELL("protect",D16)</f>
        <v>0</v>
      </c>
      <c r="AC16" s="7" cm="1">
        <f t="array" aca="1" ref="AC16" ca="1">CELL("protect",E16)</f>
        <v>0</v>
      </c>
      <c r="AD16" s="7" cm="1">
        <f t="array" aca="1" ref="AD16" ca="1">CELL("protect",F16)</f>
        <v>0</v>
      </c>
      <c r="AE16" s="7" cm="1">
        <f t="array" aca="1" ref="AE16" ca="1">CELL("protect",G16)</f>
        <v>0</v>
      </c>
      <c r="AF16" s="7" cm="1">
        <f t="array" aca="1" ref="AF16" ca="1">CELL("protect",H16)</f>
        <v>0</v>
      </c>
      <c r="AG16" s="7" cm="1">
        <f t="array" aca="1" ref="AG16" ca="1">CELL("protect",I16)</f>
        <v>0</v>
      </c>
      <c r="AH16" s="7" cm="1">
        <f t="array" aca="1" ref="AH16" ca="1">CELL("protect",J16)</f>
        <v>0</v>
      </c>
      <c r="AI16" s="7" cm="1">
        <f t="array" aca="1" ref="AI16" ca="1">CELL("protect",K16)</f>
        <v>0</v>
      </c>
      <c r="AJ16" s="7" cm="1">
        <f t="array" aca="1" ref="AJ16" ca="1">CELL("protect",L16)</f>
        <v>0</v>
      </c>
      <c r="AK16" s="7"/>
      <c r="AL16" s="7"/>
      <c r="AM16" s="7"/>
    </row>
    <row r="17" spans="1:39" x14ac:dyDescent="0.25">
      <c r="A17" s="129">
        <f>ROW()</f>
        <v>17</v>
      </c>
      <c r="B17" s="474" t="s">
        <v>1020</v>
      </c>
      <c r="C17" s="473">
        <v>1000000</v>
      </c>
      <c r="D17" s="256">
        <v>306</v>
      </c>
      <c r="E17" s="1454">
        <f t="shared" si="0"/>
        <v>1836</v>
      </c>
      <c r="F17" s="909">
        <v>0</v>
      </c>
      <c r="G17" s="856">
        <f t="shared" si="1"/>
        <v>306</v>
      </c>
      <c r="H17" s="461">
        <f t="shared" si="2"/>
        <v>306</v>
      </c>
      <c r="I17" s="461">
        <f t="shared" si="2"/>
        <v>306</v>
      </c>
      <c r="J17" s="461">
        <f t="shared" si="2"/>
        <v>306</v>
      </c>
      <c r="K17" s="461">
        <f t="shared" si="2"/>
        <v>306</v>
      </c>
      <c r="L17" s="461">
        <f t="shared" si="2"/>
        <v>306</v>
      </c>
      <c r="N17" s="343"/>
      <c r="Y17" s="7" cm="1">
        <f t="array" aca="1" ref="Y17" ca="1">CELL("protect",A17)</f>
        <v>1</v>
      </c>
      <c r="Z17" s="7" cm="1">
        <f t="array" aca="1" ref="Z17" ca="1">CELL("protect",B17)</f>
        <v>1</v>
      </c>
      <c r="AA17" s="7" cm="1">
        <f t="array" aca="1" ref="AA17" ca="1">CELL("protect",C17)</f>
        <v>1</v>
      </c>
      <c r="AB17" s="7" cm="1">
        <f t="array" aca="1" ref="AB17" ca="1">CELL("protect",D17)</f>
        <v>0</v>
      </c>
      <c r="AC17" s="7" cm="1">
        <f t="array" aca="1" ref="AC17" ca="1">CELL("protect",E17)</f>
        <v>0</v>
      </c>
      <c r="AD17" s="7" cm="1">
        <f t="array" aca="1" ref="AD17" ca="1">CELL("protect",F17)</f>
        <v>0</v>
      </c>
      <c r="AE17" s="7" cm="1">
        <f t="array" aca="1" ref="AE17" ca="1">CELL("protect",G17)</f>
        <v>0</v>
      </c>
      <c r="AF17" s="7" cm="1">
        <f t="array" aca="1" ref="AF17" ca="1">CELL("protect",H17)</f>
        <v>0</v>
      </c>
      <c r="AG17" s="7" cm="1">
        <f t="array" aca="1" ref="AG17" ca="1">CELL("protect",I17)</f>
        <v>0</v>
      </c>
      <c r="AH17" s="7" cm="1">
        <f t="array" aca="1" ref="AH17" ca="1">CELL("protect",J17)</f>
        <v>0</v>
      </c>
      <c r="AI17" s="7" cm="1">
        <f t="array" aca="1" ref="AI17" ca="1">CELL("protect",K17)</f>
        <v>0</v>
      </c>
      <c r="AJ17" s="7" cm="1">
        <f t="array" aca="1" ref="AJ17" ca="1">CELL("protect",L17)</f>
        <v>0</v>
      </c>
      <c r="AK17" s="7"/>
      <c r="AL17" s="7"/>
      <c r="AM17" s="7"/>
    </row>
    <row r="18" spans="1:39" ht="30" customHeight="1" x14ac:dyDescent="0.25">
      <c r="A18" s="887">
        <f>ROW()</f>
        <v>18</v>
      </c>
      <c r="B18" s="470" t="s">
        <v>1021</v>
      </c>
      <c r="C18" s="473">
        <v>1000000</v>
      </c>
      <c r="D18" s="256">
        <v>0</v>
      </c>
      <c r="E18" s="1454">
        <f t="shared" si="0"/>
        <v>0</v>
      </c>
      <c r="F18" s="909">
        <v>0</v>
      </c>
      <c r="G18" s="856">
        <f t="shared" si="1"/>
        <v>0</v>
      </c>
      <c r="H18" s="461">
        <f t="shared" si="2"/>
        <v>0</v>
      </c>
      <c r="I18" s="461">
        <f t="shared" si="2"/>
        <v>0</v>
      </c>
      <c r="J18" s="461">
        <f t="shared" si="2"/>
        <v>0</v>
      </c>
      <c r="K18" s="461">
        <f t="shared" si="2"/>
        <v>0</v>
      </c>
      <c r="L18" s="461">
        <f t="shared" si="2"/>
        <v>0</v>
      </c>
      <c r="N18" s="343"/>
      <c r="Y18" s="7" cm="1">
        <f t="array" aca="1" ref="Y18" ca="1">CELL("protect",A18)</f>
        <v>1</v>
      </c>
      <c r="Z18" s="7" cm="1">
        <f t="array" aca="1" ref="Z18" ca="1">CELL("protect",B18)</f>
        <v>1</v>
      </c>
      <c r="AA18" s="7" cm="1">
        <f t="array" aca="1" ref="AA18" ca="1">CELL("protect",C18)</f>
        <v>1</v>
      </c>
      <c r="AB18" s="7" cm="1">
        <f t="array" aca="1" ref="AB18" ca="1">CELL("protect",D18)</f>
        <v>0</v>
      </c>
      <c r="AC18" s="7" cm="1">
        <f t="array" aca="1" ref="AC18" ca="1">CELL("protect",E18)</f>
        <v>0</v>
      </c>
      <c r="AD18" s="7" cm="1">
        <f t="array" aca="1" ref="AD18" ca="1">CELL("protect",F18)</f>
        <v>0</v>
      </c>
      <c r="AE18" s="7" cm="1">
        <f t="array" aca="1" ref="AE18" ca="1">CELL("protect",G18)</f>
        <v>0</v>
      </c>
      <c r="AF18" s="7" cm="1">
        <f t="array" aca="1" ref="AF18" ca="1">CELL("protect",H18)</f>
        <v>0</v>
      </c>
      <c r="AG18" s="7" cm="1">
        <f t="array" aca="1" ref="AG18" ca="1">CELL("protect",I18)</f>
        <v>0</v>
      </c>
      <c r="AH18" s="7" cm="1">
        <f t="array" aca="1" ref="AH18" ca="1">CELL("protect",J18)</f>
        <v>0</v>
      </c>
      <c r="AI18" s="7" cm="1">
        <f t="array" aca="1" ref="AI18" ca="1">CELL("protect",K18)</f>
        <v>0</v>
      </c>
      <c r="AJ18" s="7" cm="1">
        <f t="array" aca="1" ref="AJ18" ca="1">CELL("protect",L18)</f>
        <v>0</v>
      </c>
      <c r="AK18" s="7"/>
      <c r="AL18" s="7"/>
      <c r="AM18" s="7"/>
    </row>
    <row r="19" spans="1:39" x14ac:dyDescent="0.25">
      <c r="A19" s="129">
        <f>ROW()</f>
        <v>19</v>
      </c>
      <c r="B19" s="472" t="s">
        <v>1022</v>
      </c>
      <c r="C19" s="473">
        <v>1000000</v>
      </c>
      <c r="D19" s="256">
        <v>336</v>
      </c>
      <c r="E19" s="1454">
        <f t="shared" si="0"/>
        <v>2016</v>
      </c>
      <c r="F19" s="909">
        <v>0</v>
      </c>
      <c r="G19" s="856">
        <f t="shared" si="1"/>
        <v>336</v>
      </c>
      <c r="H19" s="461">
        <f t="shared" si="2"/>
        <v>336</v>
      </c>
      <c r="I19" s="461">
        <f t="shared" si="2"/>
        <v>336</v>
      </c>
      <c r="J19" s="461">
        <f t="shared" si="2"/>
        <v>336</v>
      </c>
      <c r="K19" s="461">
        <f t="shared" si="2"/>
        <v>336</v>
      </c>
      <c r="L19" s="461">
        <f t="shared" si="2"/>
        <v>336</v>
      </c>
      <c r="N19" s="343"/>
      <c r="Y19" s="7" cm="1">
        <f t="array" aca="1" ref="Y19" ca="1">CELL("protect",A19)</f>
        <v>1</v>
      </c>
      <c r="Z19" s="7" cm="1">
        <f t="array" aca="1" ref="Z19" ca="1">CELL("protect",B19)</f>
        <v>1</v>
      </c>
      <c r="AA19" s="7" cm="1">
        <f t="array" aca="1" ref="AA19" ca="1">CELL("protect",C19)</f>
        <v>1</v>
      </c>
      <c r="AB19" s="7" cm="1">
        <f t="array" aca="1" ref="AB19" ca="1">CELL("protect",D19)</f>
        <v>0</v>
      </c>
      <c r="AC19" s="7" cm="1">
        <f t="array" aca="1" ref="AC19" ca="1">CELL("protect",E19)</f>
        <v>0</v>
      </c>
      <c r="AD19" s="7" cm="1">
        <f t="array" aca="1" ref="AD19" ca="1">CELL("protect",F19)</f>
        <v>0</v>
      </c>
      <c r="AE19" s="7" cm="1">
        <f t="array" aca="1" ref="AE19" ca="1">CELL("protect",G19)</f>
        <v>0</v>
      </c>
      <c r="AF19" s="7" cm="1">
        <f t="array" aca="1" ref="AF19" ca="1">CELL("protect",H19)</f>
        <v>0</v>
      </c>
      <c r="AG19" s="7" cm="1">
        <f t="array" aca="1" ref="AG19" ca="1">CELL("protect",I19)</f>
        <v>0</v>
      </c>
      <c r="AH19" s="7" cm="1">
        <f t="array" aca="1" ref="AH19" ca="1">CELL("protect",J19)</f>
        <v>0</v>
      </c>
      <c r="AI19" s="7" cm="1">
        <f t="array" aca="1" ref="AI19" ca="1">CELL("protect",K19)</f>
        <v>0</v>
      </c>
      <c r="AJ19" s="7" cm="1">
        <f t="array" aca="1" ref="AJ19" ca="1">CELL("protect",L19)</f>
        <v>0</v>
      </c>
      <c r="AK19" s="7"/>
      <c r="AL19" s="7"/>
      <c r="AM19" s="7"/>
    </row>
    <row r="20" spans="1:39" x14ac:dyDescent="0.25">
      <c r="A20" s="129">
        <f>ROW()</f>
        <v>20</v>
      </c>
      <c r="B20" s="472" t="s">
        <v>1023</v>
      </c>
      <c r="C20" s="473">
        <v>1000000</v>
      </c>
      <c r="D20" s="256">
        <v>0</v>
      </c>
      <c r="E20" s="1454">
        <f t="shared" si="0"/>
        <v>0</v>
      </c>
      <c r="F20" s="909">
        <v>0</v>
      </c>
      <c r="G20" s="856">
        <f t="shared" si="1"/>
        <v>0</v>
      </c>
      <c r="H20" s="461">
        <f t="shared" si="2"/>
        <v>0</v>
      </c>
      <c r="I20" s="461">
        <f t="shared" si="2"/>
        <v>0</v>
      </c>
      <c r="J20" s="461">
        <f t="shared" si="2"/>
        <v>0</v>
      </c>
      <c r="K20" s="461">
        <f t="shared" si="2"/>
        <v>0</v>
      </c>
      <c r="L20" s="461">
        <f t="shared" si="2"/>
        <v>0</v>
      </c>
      <c r="N20" s="343"/>
      <c r="Y20" s="7" cm="1">
        <f t="array" aca="1" ref="Y20" ca="1">CELL("protect",A20)</f>
        <v>1</v>
      </c>
      <c r="Z20" s="7" cm="1">
        <f t="array" aca="1" ref="Z20" ca="1">CELL("protect",B20)</f>
        <v>1</v>
      </c>
      <c r="AA20" s="7" cm="1">
        <f t="array" aca="1" ref="AA20" ca="1">CELL("protect",C20)</f>
        <v>1</v>
      </c>
      <c r="AB20" s="7" cm="1">
        <f t="array" aca="1" ref="AB20" ca="1">CELL("protect",D20)</f>
        <v>0</v>
      </c>
      <c r="AC20" s="7" cm="1">
        <f t="array" aca="1" ref="AC20" ca="1">CELL("protect",E20)</f>
        <v>0</v>
      </c>
      <c r="AD20" s="7" cm="1">
        <f t="array" aca="1" ref="AD20" ca="1">CELL("protect",F20)</f>
        <v>0</v>
      </c>
      <c r="AE20" s="7" cm="1">
        <f t="array" aca="1" ref="AE20" ca="1">CELL("protect",G20)</f>
        <v>0</v>
      </c>
      <c r="AF20" s="7" cm="1">
        <f t="array" aca="1" ref="AF20" ca="1">CELL("protect",H20)</f>
        <v>0</v>
      </c>
      <c r="AG20" s="7" cm="1">
        <f t="array" aca="1" ref="AG20" ca="1">CELL("protect",I20)</f>
        <v>0</v>
      </c>
      <c r="AH20" s="7" cm="1">
        <f t="array" aca="1" ref="AH20" ca="1">CELL("protect",J20)</f>
        <v>0</v>
      </c>
      <c r="AI20" s="7" cm="1">
        <f t="array" aca="1" ref="AI20" ca="1">CELL("protect",K20)</f>
        <v>0</v>
      </c>
      <c r="AJ20" s="7" cm="1">
        <f t="array" aca="1" ref="AJ20" ca="1">CELL("protect",L20)</f>
        <v>0</v>
      </c>
      <c r="AK20" s="7"/>
      <c r="AL20" s="7"/>
      <c r="AM20" s="7"/>
    </row>
    <row r="21" spans="1:39" x14ac:dyDescent="0.25">
      <c r="A21" s="129">
        <f>ROW()</f>
        <v>21</v>
      </c>
      <c r="B21" s="400"/>
      <c r="C21" s="395"/>
      <c r="D21" s="395"/>
      <c r="E21" s="1454"/>
      <c r="F21" s="910"/>
      <c r="G21" s="857"/>
      <c r="H21" s="530"/>
      <c r="I21" s="530"/>
      <c r="J21" s="530"/>
      <c r="K21" s="530"/>
      <c r="L21" s="530"/>
      <c r="N21" s="343"/>
      <c r="Y21" s="7" cm="1">
        <f t="array" aca="1" ref="Y21" ca="1">CELL("protect",A21)</f>
        <v>1</v>
      </c>
      <c r="Z21" s="7" cm="1">
        <f t="array" aca="1" ref="Z21" ca="1">CELL("protect",B21)</f>
        <v>0</v>
      </c>
      <c r="AA21" s="7" cm="1">
        <f t="array" aca="1" ref="AA21" ca="1">CELL("protect",C21)</f>
        <v>0</v>
      </c>
      <c r="AB21" s="7" cm="1">
        <f t="array" aca="1" ref="AB21" ca="1">CELL("protect",D21)</f>
        <v>0</v>
      </c>
      <c r="AC21" s="7" cm="1">
        <f t="array" aca="1" ref="AC21" ca="1">CELL("protect",E21)</f>
        <v>0</v>
      </c>
      <c r="AD21" s="7" cm="1">
        <f t="array" aca="1" ref="AD21" ca="1">CELL("protect",F21)</f>
        <v>0</v>
      </c>
      <c r="AE21" s="7" cm="1">
        <f t="array" aca="1" ref="AE21" ca="1">CELL("protect",G21)</f>
        <v>0</v>
      </c>
      <c r="AF21" s="7" cm="1">
        <f t="array" aca="1" ref="AF21" ca="1">CELL("protect",H21)</f>
        <v>0</v>
      </c>
      <c r="AG21" s="7" cm="1">
        <f t="array" aca="1" ref="AG21" ca="1">CELL("protect",I21)</f>
        <v>0</v>
      </c>
      <c r="AH21" s="7" cm="1">
        <f t="array" aca="1" ref="AH21" ca="1">CELL("protect",J21)</f>
        <v>0</v>
      </c>
      <c r="AI21" s="7" cm="1">
        <f t="array" aca="1" ref="AI21" ca="1">CELL("protect",K21)</f>
        <v>0</v>
      </c>
      <c r="AJ21" s="7" cm="1">
        <f t="array" aca="1" ref="AJ21" ca="1">CELL("protect",L21)</f>
        <v>0</v>
      </c>
      <c r="AK21" s="7"/>
      <c r="AL21" s="7"/>
      <c r="AM21" s="7"/>
    </row>
    <row r="22" spans="1:39" x14ac:dyDescent="0.25">
      <c r="A22" s="129">
        <f>ROW()</f>
        <v>22</v>
      </c>
      <c r="B22" s="467" t="s">
        <v>1024</v>
      </c>
      <c r="C22" s="906"/>
      <c r="D22" s="906"/>
      <c r="E22" s="1456"/>
      <c r="F22" s="911"/>
      <c r="G22" s="878"/>
      <c r="H22" s="879"/>
      <c r="I22" s="879"/>
      <c r="J22" s="879"/>
      <c r="K22" s="879"/>
      <c r="L22" s="879"/>
      <c r="N22" s="343"/>
      <c r="Y22" s="7"/>
      <c r="Z22" s="7"/>
      <c r="AA22" s="7"/>
      <c r="AB22" s="7"/>
      <c r="AC22" s="7"/>
      <c r="AD22" s="7"/>
      <c r="AE22" s="7"/>
      <c r="AF22" s="7"/>
      <c r="AG22" s="7"/>
      <c r="AH22" s="7"/>
      <c r="AI22" s="7"/>
      <c r="AJ22" s="7"/>
      <c r="AK22" s="7"/>
      <c r="AL22" s="7"/>
      <c r="AM22" s="7"/>
    </row>
    <row r="23" spans="1:39" x14ac:dyDescent="0.25">
      <c r="A23" s="129">
        <f>ROW()</f>
        <v>23</v>
      </c>
      <c r="B23" s="907" t="s">
        <v>1025</v>
      </c>
      <c r="C23" s="473" t="s">
        <v>1026</v>
      </c>
      <c r="D23" s="256">
        <v>0</v>
      </c>
      <c r="E23" s="1457">
        <f t="shared" ref="E23" si="3">SUM(F23:L23)</f>
        <v>0</v>
      </c>
      <c r="F23" s="909">
        <v>0</v>
      </c>
      <c r="G23" s="856">
        <v>0</v>
      </c>
      <c r="H23" s="461">
        <v>0</v>
      </c>
      <c r="I23" s="461">
        <v>0</v>
      </c>
      <c r="J23" s="461">
        <v>0</v>
      </c>
      <c r="K23" s="461">
        <v>0</v>
      </c>
      <c r="L23" s="461">
        <v>0</v>
      </c>
      <c r="N23" s="343"/>
      <c r="Y23" s="7"/>
      <c r="Z23" s="7"/>
      <c r="AA23" s="7"/>
      <c r="AB23" s="7"/>
      <c r="AC23" s="7"/>
      <c r="AD23" s="7"/>
      <c r="AE23" s="7"/>
      <c r="AF23" s="7"/>
      <c r="AG23" s="7"/>
      <c r="AH23" s="7"/>
      <c r="AI23" s="7"/>
      <c r="AJ23" s="7"/>
      <c r="AK23" s="7"/>
      <c r="AL23" s="7"/>
      <c r="AM23" s="7"/>
    </row>
    <row r="24" spans="1:39" x14ac:dyDescent="0.25">
      <c r="A24" s="129">
        <f>ROW()</f>
        <v>24</v>
      </c>
      <c r="B24" s="907" t="s">
        <v>1027</v>
      </c>
      <c r="C24" s="906"/>
      <c r="D24" s="906"/>
      <c r="E24" s="854"/>
      <c r="F24" s="911"/>
      <c r="G24" s="878"/>
      <c r="H24" s="879"/>
      <c r="I24" s="879"/>
      <c r="J24" s="879"/>
      <c r="K24" s="879"/>
      <c r="L24" s="879"/>
      <c r="N24" s="343"/>
      <c r="Y24" s="7"/>
      <c r="Z24" s="7"/>
      <c r="AA24" s="7"/>
      <c r="AB24" s="7"/>
      <c r="AC24" s="7"/>
      <c r="AD24" s="7"/>
      <c r="AE24" s="7"/>
      <c r="AF24" s="7"/>
      <c r="AG24" s="7"/>
      <c r="AH24" s="7"/>
      <c r="AI24" s="7"/>
      <c r="AJ24" s="7"/>
      <c r="AK24" s="7"/>
      <c r="AL24" s="7"/>
      <c r="AM24" s="7"/>
    </row>
    <row r="25" spans="1:39" x14ac:dyDescent="0.25">
      <c r="A25" s="129">
        <f>ROW()</f>
        <v>25</v>
      </c>
      <c r="B25" s="905"/>
      <c r="C25" s="906"/>
      <c r="D25" s="906"/>
      <c r="E25" s="854"/>
      <c r="F25" s="911"/>
      <c r="G25" s="878"/>
      <c r="H25" s="879"/>
      <c r="I25" s="879"/>
      <c r="J25" s="879"/>
      <c r="K25" s="879"/>
      <c r="L25" s="879"/>
      <c r="N25" s="343"/>
      <c r="Y25" s="7"/>
      <c r="Z25" s="7"/>
      <c r="AA25" s="7"/>
      <c r="AB25" s="7"/>
      <c r="AC25" s="7"/>
      <c r="AD25" s="7"/>
      <c r="AE25" s="7"/>
      <c r="AF25" s="7"/>
      <c r="AG25" s="7"/>
      <c r="AH25" s="7"/>
      <c r="AI25" s="7"/>
      <c r="AJ25" s="7"/>
      <c r="AK25" s="7"/>
      <c r="AL25" s="7"/>
      <c r="AM25" s="7"/>
    </row>
    <row r="26" spans="1:39" x14ac:dyDescent="0.25">
      <c r="A26" s="129">
        <f>ROW()</f>
        <v>26</v>
      </c>
      <c r="B26" s="396" t="s">
        <v>1028</v>
      </c>
      <c r="C26" s="392"/>
      <c r="D26" s="392"/>
      <c r="E26" s="854"/>
      <c r="F26" s="911"/>
      <c r="G26" s="878"/>
      <c r="H26" s="879"/>
      <c r="I26" s="879"/>
      <c r="J26" s="879"/>
      <c r="K26" s="879"/>
      <c r="L26" s="879"/>
      <c r="N26" s="343"/>
      <c r="Y26" s="7" cm="1">
        <f t="array" aca="1" ref="Y26" ca="1">CELL("protect",A26)</f>
        <v>1</v>
      </c>
      <c r="Z26" s="7" cm="1">
        <f t="array" aca="1" ref="Z26" ca="1">CELL("protect",B26)</f>
        <v>0</v>
      </c>
      <c r="AA26" s="7" cm="1">
        <f t="array" aca="1" ref="AA26" ca="1">CELL("protect",C26)</f>
        <v>0</v>
      </c>
      <c r="AB26" s="7" cm="1">
        <f t="array" aca="1" ref="AB26" ca="1">CELL("protect",D26)</f>
        <v>0</v>
      </c>
      <c r="AC26" s="7" cm="1">
        <f t="array" aca="1" ref="AC26" ca="1">CELL("protect",E26)</f>
        <v>1</v>
      </c>
      <c r="AD26" s="7" cm="1">
        <f t="array" aca="1" ref="AD26" ca="1">CELL("protect",F26)</f>
        <v>0</v>
      </c>
      <c r="AE26" s="7" cm="1">
        <f t="array" aca="1" ref="AE26" ca="1">CELL("protect",G26)</f>
        <v>0</v>
      </c>
      <c r="AF26" s="7" cm="1">
        <f t="array" aca="1" ref="AF26" ca="1">CELL("protect",H26)</f>
        <v>0</v>
      </c>
      <c r="AG26" s="7" cm="1">
        <f t="array" aca="1" ref="AG26" ca="1">CELL("protect",I26)</f>
        <v>0</v>
      </c>
      <c r="AH26" s="7" cm="1">
        <f t="array" aca="1" ref="AH26" ca="1">CELL("protect",J26)</f>
        <v>0</v>
      </c>
      <c r="AI26" s="7" cm="1">
        <f t="array" aca="1" ref="AI26" ca="1">CELL("protect",K26)</f>
        <v>0</v>
      </c>
      <c r="AJ26" s="7" cm="1">
        <f t="array" aca="1" ref="AJ26" ca="1">CELL("protect",L26)</f>
        <v>0</v>
      </c>
      <c r="AK26" s="7"/>
      <c r="AL26" s="7"/>
      <c r="AM26" s="7"/>
    </row>
    <row r="27" spans="1:39" x14ac:dyDescent="0.25">
      <c r="A27" s="129">
        <f>ROW()</f>
        <v>27</v>
      </c>
      <c r="B27" s="252" t="s">
        <v>1029</v>
      </c>
      <c r="C27" s="391"/>
      <c r="D27" s="391">
        <v>3849</v>
      </c>
      <c r="E27" s="1453">
        <f t="shared" si="0"/>
        <v>23094</v>
      </c>
      <c r="F27" s="912">
        <v>0</v>
      </c>
      <c r="G27" s="880">
        <f t="shared" si="1"/>
        <v>3849</v>
      </c>
      <c r="H27" s="881">
        <f t="shared" si="2"/>
        <v>3849</v>
      </c>
      <c r="I27" s="881">
        <f t="shared" si="2"/>
        <v>3849</v>
      </c>
      <c r="J27" s="881">
        <f t="shared" si="2"/>
        <v>3849</v>
      </c>
      <c r="K27" s="881">
        <f t="shared" si="2"/>
        <v>3849</v>
      </c>
      <c r="L27" s="881">
        <f t="shared" si="2"/>
        <v>3849</v>
      </c>
      <c r="N27" s="343"/>
      <c r="Y27" s="7" cm="1">
        <f t="array" aca="1" ref="Y27" ca="1">CELL("protect",A27)</f>
        <v>1</v>
      </c>
      <c r="Z27" s="7" cm="1">
        <f t="array" aca="1" ref="Z27" ca="1">CELL("protect",B27)</f>
        <v>0</v>
      </c>
      <c r="AA27" s="7" cm="1">
        <f t="array" aca="1" ref="AA27" ca="1">CELL("protect",C27)</f>
        <v>0</v>
      </c>
      <c r="AB27" s="7" cm="1">
        <f t="array" aca="1" ref="AB27" ca="1">CELL("protect",D27)</f>
        <v>0</v>
      </c>
      <c r="AC27" s="7" cm="1">
        <f t="array" aca="1" ref="AC27" ca="1">CELL("protect",E27)</f>
        <v>0</v>
      </c>
      <c r="AD27" s="7" cm="1">
        <f t="array" aca="1" ref="AD27" ca="1">CELL("protect",F27)</f>
        <v>0</v>
      </c>
      <c r="AE27" s="7" cm="1">
        <f t="array" aca="1" ref="AE27" ca="1">CELL("protect",G27)</f>
        <v>0</v>
      </c>
      <c r="AF27" s="7" cm="1">
        <f t="array" aca="1" ref="AF27" ca="1">CELL("protect",H27)</f>
        <v>0</v>
      </c>
      <c r="AG27" s="7" cm="1">
        <f t="array" aca="1" ref="AG27" ca="1">CELL("protect",I27)</f>
        <v>0</v>
      </c>
      <c r="AH27" s="7" cm="1">
        <f t="array" aca="1" ref="AH27" ca="1">CELL("protect",J27)</f>
        <v>0</v>
      </c>
      <c r="AI27" s="7" cm="1">
        <f t="array" aca="1" ref="AI27" ca="1">CELL("protect",K27)</f>
        <v>0</v>
      </c>
      <c r="AJ27" s="7" cm="1">
        <f t="array" aca="1" ref="AJ27" ca="1">CELL("protect",L27)</f>
        <v>0</v>
      </c>
      <c r="AK27" s="7"/>
      <c r="AL27" s="7"/>
      <c r="AM27" s="7"/>
    </row>
    <row r="28" spans="1:39" x14ac:dyDescent="0.25">
      <c r="A28" s="129">
        <f>ROW()</f>
        <v>28</v>
      </c>
      <c r="B28" s="257" t="s">
        <v>1030</v>
      </c>
      <c r="C28" s="256">
        <v>0</v>
      </c>
      <c r="D28" s="256"/>
      <c r="E28" s="1454">
        <f t="shared" si="0"/>
        <v>0</v>
      </c>
      <c r="F28" s="909">
        <v>0</v>
      </c>
      <c r="G28" s="856">
        <f t="shared" si="1"/>
        <v>0</v>
      </c>
      <c r="H28" s="461">
        <f t="shared" si="2"/>
        <v>0</v>
      </c>
      <c r="I28" s="461">
        <f t="shared" si="2"/>
        <v>0</v>
      </c>
      <c r="J28" s="461">
        <f t="shared" si="2"/>
        <v>0</v>
      </c>
      <c r="K28" s="461">
        <f t="shared" si="2"/>
        <v>0</v>
      </c>
      <c r="L28" s="461">
        <f t="shared" si="2"/>
        <v>0</v>
      </c>
      <c r="N28" s="343" t="s">
        <v>1551</v>
      </c>
      <c r="Y28" s="7" cm="1">
        <f t="array" aca="1" ref="Y28" ca="1">CELL("protect",A28)</f>
        <v>1</v>
      </c>
      <c r="Z28" s="7" cm="1">
        <f t="array" aca="1" ref="Z28" ca="1">CELL("protect",B28)</f>
        <v>0</v>
      </c>
      <c r="AA28" s="7" cm="1">
        <f t="array" aca="1" ref="AA28" ca="1">CELL("protect",C28)</f>
        <v>0</v>
      </c>
      <c r="AB28" s="7" cm="1">
        <f t="array" aca="1" ref="AB28" ca="1">CELL("protect",D28)</f>
        <v>0</v>
      </c>
      <c r="AC28" s="7" cm="1">
        <f t="array" aca="1" ref="AC28" ca="1">CELL("protect",E28)</f>
        <v>0</v>
      </c>
      <c r="AD28" s="7" cm="1">
        <f t="array" aca="1" ref="AD28" ca="1">CELL("protect",F28)</f>
        <v>0</v>
      </c>
      <c r="AE28" s="7" cm="1">
        <f t="array" aca="1" ref="AE28" ca="1">CELL("protect",G28)</f>
        <v>0</v>
      </c>
      <c r="AF28" s="7" cm="1">
        <f t="array" aca="1" ref="AF28" ca="1">CELL("protect",H28)</f>
        <v>0</v>
      </c>
      <c r="AG28" s="7" cm="1">
        <f t="array" aca="1" ref="AG28" ca="1">CELL("protect",I28)</f>
        <v>0</v>
      </c>
      <c r="AH28" s="7" cm="1">
        <f t="array" aca="1" ref="AH28" ca="1">CELL("protect",J28)</f>
        <v>0</v>
      </c>
      <c r="AI28" s="7" cm="1">
        <f t="array" aca="1" ref="AI28" ca="1">CELL("protect",K28)</f>
        <v>0</v>
      </c>
      <c r="AJ28" s="7" cm="1">
        <f t="array" aca="1" ref="AJ28" ca="1">CELL("protect",L28)</f>
        <v>0</v>
      </c>
      <c r="AK28" s="7"/>
      <c r="AL28" s="7"/>
      <c r="AM28" s="7"/>
    </row>
    <row r="29" spans="1:39" x14ac:dyDescent="0.25">
      <c r="A29" s="129">
        <f>ROW()</f>
        <v>29</v>
      </c>
      <c r="B29" s="1653" t="s">
        <v>1031</v>
      </c>
      <c r="C29" s="256">
        <v>0</v>
      </c>
      <c r="D29" s="256">
        <v>14386</v>
      </c>
      <c r="E29" s="1454">
        <f t="shared" si="0"/>
        <v>86316</v>
      </c>
      <c r="F29" s="909">
        <v>0</v>
      </c>
      <c r="G29" s="856">
        <f t="shared" si="1"/>
        <v>14386</v>
      </c>
      <c r="H29" s="461">
        <f t="shared" si="2"/>
        <v>14386</v>
      </c>
      <c r="I29" s="461">
        <f t="shared" si="2"/>
        <v>14386</v>
      </c>
      <c r="J29" s="461">
        <f t="shared" si="2"/>
        <v>14386</v>
      </c>
      <c r="K29" s="461">
        <f t="shared" si="2"/>
        <v>14386</v>
      </c>
      <c r="L29" s="461">
        <f t="shared" si="2"/>
        <v>14386</v>
      </c>
      <c r="N29" s="343"/>
      <c r="Y29" s="7" cm="1">
        <f t="array" aca="1" ref="Y29" ca="1">CELL("protect",A29)</f>
        <v>1</v>
      </c>
      <c r="Z29" s="7" cm="1">
        <f t="array" aca="1" ref="Z29" ca="1">CELL("protect",B29)</f>
        <v>0</v>
      </c>
      <c r="AA29" s="7" cm="1">
        <f t="array" aca="1" ref="AA29" ca="1">CELL("protect",C29)</f>
        <v>0</v>
      </c>
      <c r="AB29" s="7" cm="1">
        <f t="array" aca="1" ref="AB29" ca="1">CELL("protect",D29)</f>
        <v>0</v>
      </c>
      <c r="AC29" s="7" cm="1">
        <f t="array" aca="1" ref="AC29" ca="1">CELL("protect",E29)</f>
        <v>0</v>
      </c>
      <c r="AD29" s="7" cm="1">
        <f t="array" aca="1" ref="AD29" ca="1">CELL("protect",F29)</f>
        <v>0</v>
      </c>
      <c r="AE29" s="7" cm="1">
        <f t="array" aca="1" ref="AE29" ca="1">CELL("protect",G29)</f>
        <v>0</v>
      </c>
      <c r="AF29" s="7" cm="1">
        <f t="array" aca="1" ref="AF29" ca="1">CELL("protect",H29)</f>
        <v>0</v>
      </c>
      <c r="AG29" s="7" cm="1">
        <f t="array" aca="1" ref="AG29" ca="1">CELL("protect",I29)</f>
        <v>0</v>
      </c>
      <c r="AH29" s="7" cm="1">
        <f t="array" aca="1" ref="AH29" ca="1">CELL("protect",J29)</f>
        <v>0</v>
      </c>
      <c r="AI29" s="7" cm="1">
        <f t="array" aca="1" ref="AI29" ca="1">CELL("protect",K29)</f>
        <v>0</v>
      </c>
      <c r="AJ29" s="7" cm="1">
        <f t="array" aca="1" ref="AJ29" ca="1">CELL("protect",L29)</f>
        <v>0</v>
      </c>
      <c r="AK29" s="7"/>
      <c r="AL29" s="7"/>
      <c r="AM29" s="7"/>
    </row>
    <row r="30" spans="1:39" x14ac:dyDescent="0.25">
      <c r="A30" s="129">
        <f>ROW()</f>
        <v>30</v>
      </c>
      <c r="B30" s="1653" t="s">
        <v>1032</v>
      </c>
      <c r="C30" s="256">
        <v>0</v>
      </c>
      <c r="D30" s="256"/>
      <c r="E30" s="1454">
        <f t="shared" si="0"/>
        <v>0</v>
      </c>
      <c r="F30" s="909">
        <v>0</v>
      </c>
      <c r="G30" s="856">
        <f t="shared" si="1"/>
        <v>0</v>
      </c>
      <c r="H30" s="461">
        <f t="shared" ref="H30:L39" si="4">+$D30</f>
        <v>0</v>
      </c>
      <c r="I30" s="461">
        <f t="shared" si="4"/>
        <v>0</v>
      </c>
      <c r="J30" s="461">
        <f t="shared" si="4"/>
        <v>0</v>
      </c>
      <c r="K30" s="461">
        <f t="shared" si="4"/>
        <v>0</v>
      </c>
      <c r="L30" s="461">
        <f t="shared" si="4"/>
        <v>0</v>
      </c>
      <c r="N30" s="343"/>
      <c r="Y30" s="7" cm="1">
        <f t="array" aca="1" ref="Y30" ca="1">CELL("protect",A30)</f>
        <v>1</v>
      </c>
      <c r="Z30" s="7" cm="1">
        <f t="array" aca="1" ref="Z30" ca="1">CELL("protect",B30)</f>
        <v>0</v>
      </c>
      <c r="AA30" s="7" cm="1">
        <f t="array" aca="1" ref="AA30" ca="1">CELL("protect",C30)</f>
        <v>0</v>
      </c>
      <c r="AB30" s="7" cm="1">
        <f t="array" aca="1" ref="AB30" ca="1">CELL("protect",D30)</f>
        <v>0</v>
      </c>
      <c r="AC30" s="7" cm="1">
        <f t="array" aca="1" ref="AC30" ca="1">CELL("protect",E30)</f>
        <v>0</v>
      </c>
      <c r="AD30" s="7" cm="1">
        <f t="array" aca="1" ref="AD30" ca="1">CELL("protect",F30)</f>
        <v>0</v>
      </c>
      <c r="AE30" s="7" cm="1">
        <f t="array" aca="1" ref="AE30" ca="1">CELL("protect",G30)</f>
        <v>0</v>
      </c>
      <c r="AF30" s="7" cm="1">
        <f t="array" aca="1" ref="AF30" ca="1">CELL("protect",H30)</f>
        <v>0</v>
      </c>
      <c r="AG30" s="7" cm="1">
        <f t="array" aca="1" ref="AG30" ca="1">CELL("protect",I30)</f>
        <v>0</v>
      </c>
      <c r="AH30" s="7" cm="1">
        <f t="array" aca="1" ref="AH30" ca="1">CELL("protect",J30)</f>
        <v>0</v>
      </c>
      <c r="AI30" s="7" cm="1">
        <f t="array" aca="1" ref="AI30" ca="1">CELL("protect",K30)</f>
        <v>0</v>
      </c>
      <c r="AJ30" s="7" cm="1">
        <f t="array" aca="1" ref="AJ30" ca="1">CELL("protect",L30)</f>
        <v>0</v>
      </c>
      <c r="AK30" s="7"/>
      <c r="AL30" s="7"/>
      <c r="AM30" s="7"/>
    </row>
    <row r="31" spans="1:39" x14ac:dyDescent="0.25">
      <c r="A31" s="129">
        <f>ROW()</f>
        <v>31</v>
      </c>
      <c r="B31" s="1653" t="s">
        <v>1033</v>
      </c>
      <c r="C31" s="256">
        <v>0</v>
      </c>
      <c r="D31" s="256">
        <v>15377</v>
      </c>
      <c r="E31" s="1454">
        <f t="shared" si="0"/>
        <v>92262</v>
      </c>
      <c r="F31" s="909">
        <v>0</v>
      </c>
      <c r="G31" s="856">
        <f t="shared" si="1"/>
        <v>15377</v>
      </c>
      <c r="H31" s="461">
        <f t="shared" si="4"/>
        <v>15377</v>
      </c>
      <c r="I31" s="461">
        <f t="shared" si="4"/>
        <v>15377</v>
      </c>
      <c r="J31" s="461">
        <f t="shared" si="4"/>
        <v>15377</v>
      </c>
      <c r="K31" s="461">
        <f t="shared" si="4"/>
        <v>15377</v>
      </c>
      <c r="L31" s="461">
        <f t="shared" si="4"/>
        <v>15377</v>
      </c>
      <c r="N31" s="343"/>
      <c r="Y31" s="7" cm="1">
        <f t="array" aca="1" ref="Y31" ca="1">CELL("protect",A31)</f>
        <v>1</v>
      </c>
      <c r="Z31" s="7" cm="1">
        <f t="array" aca="1" ref="Z31" ca="1">CELL("protect",B31)</f>
        <v>0</v>
      </c>
      <c r="AA31" s="7" cm="1">
        <f t="array" aca="1" ref="AA31" ca="1">CELL("protect",C31)</f>
        <v>0</v>
      </c>
      <c r="AB31" s="7" cm="1">
        <f t="array" aca="1" ref="AB31" ca="1">CELL("protect",D31)</f>
        <v>0</v>
      </c>
      <c r="AC31" s="7" cm="1">
        <f t="array" aca="1" ref="AC31" ca="1">CELL("protect",E31)</f>
        <v>0</v>
      </c>
      <c r="AD31" s="7" cm="1">
        <f t="array" aca="1" ref="AD31" ca="1">CELL("protect",F31)</f>
        <v>0</v>
      </c>
      <c r="AE31" s="7" cm="1">
        <f t="array" aca="1" ref="AE31" ca="1">CELL("protect",G31)</f>
        <v>0</v>
      </c>
      <c r="AF31" s="7" cm="1">
        <f t="array" aca="1" ref="AF31" ca="1">CELL("protect",H31)</f>
        <v>0</v>
      </c>
      <c r="AG31" s="7" cm="1">
        <f t="array" aca="1" ref="AG31" ca="1">CELL("protect",I31)</f>
        <v>0</v>
      </c>
      <c r="AH31" s="7" cm="1">
        <f t="array" aca="1" ref="AH31" ca="1">CELL("protect",J31)</f>
        <v>0</v>
      </c>
      <c r="AI31" s="7" cm="1">
        <f t="array" aca="1" ref="AI31" ca="1">CELL("protect",K31)</f>
        <v>0</v>
      </c>
      <c r="AJ31" s="7" cm="1">
        <f t="array" aca="1" ref="AJ31" ca="1">CELL("protect",L31)</f>
        <v>0</v>
      </c>
      <c r="AK31" s="7"/>
      <c r="AL31" s="7"/>
      <c r="AM31" s="7"/>
    </row>
    <row r="32" spans="1:39" x14ac:dyDescent="0.25">
      <c r="A32" s="129">
        <f>ROW()</f>
        <v>32</v>
      </c>
      <c r="B32" s="1653" t="s">
        <v>1034</v>
      </c>
      <c r="C32" s="256">
        <v>0</v>
      </c>
      <c r="D32" s="256"/>
      <c r="E32" s="1454">
        <f t="shared" si="0"/>
        <v>0</v>
      </c>
      <c r="F32" s="909">
        <v>0</v>
      </c>
      <c r="G32" s="856">
        <f t="shared" si="1"/>
        <v>0</v>
      </c>
      <c r="H32" s="461">
        <f t="shared" si="4"/>
        <v>0</v>
      </c>
      <c r="I32" s="461">
        <f t="shared" si="4"/>
        <v>0</v>
      </c>
      <c r="J32" s="461">
        <f t="shared" si="4"/>
        <v>0</v>
      </c>
      <c r="K32" s="461">
        <f t="shared" si="4"/>
        <v>0</v>
      </c>
      <c r="L32" s="461">
        <f t="shared" si="4"/>
        <v>0</v>
      </c>
      <c r="N32" s="343" t="s">
        <v>1549</v>
      </c>
      <c r="Y32" s="7" cm="1">
        <f t="array" aca="1" ref="Y32" ca="1">CELL("protect",A32)</f>
        <v>1</v>
      </c>
      <c r="Z32" s="7" cm="1">
        <f t="array" aca="1" ref="Z32" ca="1">CELL("protect",B32)</f>
        <v>0</v>
      </c>
      <c r="AA32" s="7" cm="1">
        <f t="array" aca="1" ref="AA32" ca="1">CELL("protect",C32)</f>
        <v>0</v>
      </c>
      <c r="AB32" s="7" cm="1">
        <f t="array" aca="1" ref="AB32" ca="1">CELL("protect",D32)</f>
        <v>0</v>
      </c>
      <c r="AC32" s="7" cm="1">
        <f t="array" aca="1" ref="AC32" ca="1">CELL("protect",E32)</f>
        <v>0</v>
      </c>
      <c r="AD32" s="7" cm="1">
        <f t="array" aca="1" ref="AD32" ca="1">CELL("protect",F32)</f>
        <v>0</v>
      </c>
      <c r="AE32" s="7" cm="1">
        <f t="array" aca="1" ref="AE32" ca="1">CELL("protect",G32)</f>
        <v>0</v>
      </c>
      <c r="AF32" s="7" cm="1">
        <f t="array" aca="1" ref="AF32" ca="1">CELL("protect",H32)</f>
        <v>0</v>
      </c>
      <c r="AG32" s="7" cm="1">
        <f t="array" aca="1" ref="AG32" ca="1">CELL("protect",I32)</f>
        <v>0</v>
      </c>
      <c r="AH32" s="7" cm="1">
        <f t="array" aca="1" ref="AH32" ca="1">CELL("protect",J32)</f>
        <v>0</v>
      </c>
      <c r="AI32" s="7" cm="1">
        <f t="array" aca="1" ref="AI32" ca="1">CELL("protect",K32)</f>
        <v>0</v>
      </c>
      <c r="AJ32" s="7" cm="1">
        <f t="array" aca="1" ref="AJ32" ca="1">CELL("protect",L32)</f>
        <v>0</v>
      </c>
      <c r="AK32" s="7"/>
      <c r="AL32" s="7"/>
      <c r="AM32" s="7"/>
    </row>
    <row r="33" spans="1:39" x14ac:dyDescent="0.25">
      <c r="A33" s="129">
        <f>ROW()</f>
        <v>33</v>
      </c>
      <c r="B33" s="1653" t="s">
        <v>1035</v>
      </c>
      <c r="C33" s="256">
        <v>0</v>
      </c>
      <c r="D33" s="256">
        <v>0</v>
      </c>
      <c r="E33" s="1454">
        <f t="shared" si="0"/>
        <v>0</v>
      </c>
      <c r="F33" s="909">
        <v>0</v>
      </c>
      <c r="G33" s="856">
        <f t="shared" si="1"/>
        <v>0</v>
      </c>
      <c r="H33" s="461">
        <f t="shared" si="4"/>
        <v>0</v>
      </c>
      <c r="I33" s="461">
        <f t="shared" si="4"/>
        <v>0</v>
      </c>
      <c r="J33" s="461">
        <f t="shared" si="4"/>
        <v>0</v>
      </c>
      <c r="K33" s="461">
        <f t="shared" si="4"/>
        <v>0</v>
      </c>
      <c r="L33" s="461">
        <f t="shared" si="4"/>
        <v>0</v>
      </c>
      <c r="N33" s="343" t="s">
        <v>1547</v>
      </c>
      <c r="Y33" s="7" cm="1">
        <f t="array" aca="1" ref="Y33" ca="1">CELL("protect",A33)</f>
        <v>1</v>
      </c>
      <c r="Z33" s="7" cm="1">
        <f t="array" aca="1" ref="Z33" ca="1">CELL("protect",B33)</f>
        <v>0</v>
      </c>
      <c r="AA33" s="7" cm="1">
        <f t="array" aca="1" ref="AA33" ca="1">CELL("protect",C33)</f>
        <v>0</v>
      </c>
      <c r="AB33" s="7" cm="1">
        <f t="array" aca="1" ref="AB33" ca="1">CELL("protect",D33)</f>
        <v>0</v>
      </c>
      <c r="AC33" s="7" cm="1">
        <f t="array" aca="1" ref="AC33" ca="1">CELL("protect",E33)</f>
        <v>0</v>
      </c>
      <c r="AD33" s="7" cm="1">
        <f t="array" aca="1" ref="AD33" ca="1">CELL("protect",F33)</f>
        <v>0</v>
      </c>
      <c r="AE33" s="7" cm="1">
        <f t="array" aca="1" ref="AE33" ca="1">CELL("protect",G33)</f>
        <v>0</v>
      </c>
      <c r="AF33" s="7" cm="1">
        <f t="array" aca="1" ref="AF33" ca="1">CELL("protect",H33)</f>
        <v>0</v>
      </c>
      <c r="AG33" s="7" cm="1">
        <f t="array" aca="1" ref="AG33" ca="1">CELL("protect",I33)</f>
        <v>0</v>
      </c>
      <c r="AH33" s="7" cm="1">
        <f t="array" aca="1" ref="AH33" ca="1">CELL("protect",J33)</f>
        <v>0</v>
      </c>
      <c r="AI33" s="7" cm="1">
        <f t="array" aca="1" ref="AI33" ca="1">CELL("protect",K33)</f>
        <v>0</v>
      </c>
      <c r="AJ33" s="7" cm="1">
        <f t="array" aca="1" ref="AJ33" ca="1">CELL("protect",L33)</f>
        <v>0</v>
      </c>
      <c r="AK33" s="7"/>
      <c r="AL33" s="7"/>
      <c r="AM33" s="7"/>
    </row>
    <row r="34" spans="1:39" x14ac:dyDescent="0.25">
      <c r="A34" s="129">
        <f>ROW()</f>
        <v>34</v>
      </c>
      <c r="B34" s="1653" t="s">
        <v>1036</v>
      </c>
      <c r="C34" s="256">
        <v>0</v>
      </c>
      <c r="D34" s="256">
        <v>0</v>
      </c>
      <c r="E34" s="1454">
        <f t="shared" si="0"/>
        <v>0</v>
      </c>
      <c r="F34" s="909">
        <v>0</v>
      </c>
      <c r="G34" s="856">
        <f t="shared" si="1"/>
        <v>0</v>
      </c>
      <c r="H34" s="461">
        <f t="shared" si="4"/>
        <v>0</v>
      </c>
      <c r="I34" s="461">
        <f t="shared" si="4"/>
        <v>0</v>
      </c>
      <c r="J34" s="461">
        <f t="shared" si="4"/>
        <v>0</v>
      </c>
      <c r="K34" s="461">
        <f t="shared" si="4"/>
        <v>0</v>
      </c>
      <c r="L34" s="461">
        <f t="shared" si="4"/>
        <v>0</v>
      </c>
      <c r="N34" s="343" t="s">
        <v>1548</v>
      </c>
      <c r="Y34" s="7" cm="1">
        <f t="array" aca="1" ref="Y34" ca="1">CELL("protect",A34)</f>
        <v>1</v>
      </c>
      <c r="Z34" s="7" cm="1">
        <f t="array" aca="1" ref="Z34" ca="1">CELL("protect",B34)</f>
        <v>0</v>
      </c>
      <c r="AA34" s="7" cm="1">
        <f t="array" aca="1" ref="AA34" ca="1">CELL("protect",C34)</f>
        <v>0</v>
      </c>
      <c r="AB34" s="7" cm="1">
        <f t="array" aca="1" ref="AB34" ca="1">CELL("protect",D34)</f>
        <v>0</v>
      </c>
      <c r="AC34" s="7" cm="1">
        <f t="array" aca="1" ref="AC34" ca="1">CELL("protect",E34)</f>
        <v>0</v>
      </c>
      <c r="AD34" s="7" cm="1">
        <f t="array" aca="1" ref="AD34" ca="1">CELL("protect",F34)</f>
        <v>0</v>
      </c>
      <c r="AE34" s="7" cm="1">
        <f t="array" aca="1" ref="AE34" ca="1">CELL("protect",G34)</f>
        <v>0</v>
      </c>
      <c r="AF34" s="7" cm="1">
        <f t="array" aca="1" ref="AF34" ca="1">CELL("protect",H34)</f>
        <v>0</v>
      </c>
      <c r="AG34" s="7" cm="1">
        <f t="array" aca="1" ref="AG34" ca="1">CELL("protect",I34)</f>
        <v>0</v>
      </c>
      <c r="AH34" s="7" cm="1">
        <f t="array" aca="1" ref="AH34" ca="1">CELL("protect",J34)</f>
        <v>0</v>
      </c>
      <c r="AI34" s="7" cm="1">
        <f t="array" aca="1" ref="AI34" ca="1">CELL("protect",K34)</f>
        <v>0</v>
      </c>
      <c r="AJ34" s="7" cm="1">
        <f t="array" aca="1" ref="AJ34" ca="1">CELL("protect",L34)</f>
        <v>0</v>
      </c>
      <c r="AK34" s="7"/>
      <c r="AL34" s="7"/>
      <c r="AM34" s="7"/>
    </row>
    <row r="35" spans="1:39" x14ac:dyDescent="0.25">
      <c r="A35" s="129">
        <f>ROW()</f>
        <v>35</v>
      </c>
      <c r="B35" s="1653" t="s">
        <v>1037</v>
      </c>
      <c r="C35" s="256">
        <v>0</v>
      </c>
      <c r="D35" s="256">
        <v>0</v>
      </c>
      <c r="E35" s="1454">
        <f t="shared" si="0"/>
        <v>0</v>
      </c>
      <c r="F35" s="909">
        <v>0</v>
      </c>
      <c r="G35" s="856">
        <f t="shared" si="1"/>
        <v>0</v>
      </c>
      <c r="H35" s="461">
        <f t="shared" si="4"/>
        <v>0</v>
      </c>
      <c r="I35" s="461">
        <f t="shared" si="4"/>
        <v>0</v>
      </c>
      <c r="J35" s="461">
        <f t="shared" si="4"/>
        <v>0</v>
      </c>
      <c r="K35" s="461">
        <f t="shared" si="4"/>
        <v>0</v>
      </c>
      <c r="L35" s="461">
        <f t="shared" si="4"/>
        <v>0</v>
      </c>
      <c r="N35" s="343"/>
      <c r="Y35" s="7" cm="1">
        <f t="array" aca="1" ref="Y35" ca="1">CELL("protect",A35)</f>
        <v>1</v>
      </c>
      <c r="Z35" s="7" cm="1">
        <f t="array" aca="1" ref="Z35" ca="1">CELL("protect",B35)</f>
        <v>0</v>
      </c>
      <c r="AA35" s="7" cm="1">
        <f t="array" aca="1" ref="AA35" ca="1">CELL("protect",C35)</f>
        <v>0</v>
      </c>
      <c r="AB35" s="7" cm="1">
        <f t="array" aca="1" ref="AB35" ca="1">CELL("protect",D35)</f>
        <v>0</v>
      </c>
      <c r="AC35" s="7" cm="1">
        <f t="array" aca="1" ref="AC35" ca="1">CELL("protect",E35)</f>
        <v>0</v>
      </c>
      <c r="AD35" s="7" cm="1">
        <f t="array" aca="1" ref="AD35" ca="1">CELL("protect",F35)</f>
        <v>0</v>
      </c>
      <c r="AE35" s="7" cm="1">
        <f t="array" aca="1" ref="AE35" ca="1">CELL("protect",G35)</f>
        <v>0</v>
      </c>
      <c r="AF35" s="7" cm="1">
        <f t="array" aca="1" ref="AF35" ca="1">CELL("protect",H35)</f>
        <v>0</v>
      </c>
      <c r="AG35" s="7" cm="1">
        <f t="array" aca="1" ref="AG35" ca="1">CELL("protect",I35)</f>
        <v>0</v>
      </c>
      <c r="AH35" s="7" cm="1">
        <f t="array" aca="1" ref="AH35" ca="1">CELL("protect",J35)</f>
        <v>0</v>
      </c>
      <c r="AI35" s="7" cm="1">
        <f t="array" aca="1" ref="AI35" ca="1">CELL("protect",K35)</f>
        <v>0</v>
      </c>
      <c r="AJ35" s="7" cm="1">
        <f t="array" aca="1" ref="AJ35" ca="1">CELL("protect",L35)</f>
        <v>0</v>
      </c>
      <c r="AK35" s="7"/>
      <c r="AL35" s="7"/>
      <c r="AM35" s="7"/>
    </row>
    <row r="36" spans="1:39" x14ac:dyDescent="0.25">
      <c r="A36" s="129">
        <f>ROW()</f>
        <v>36</v>
      </c>
      <c r="B36" s="1653" t="s">
        <v>1038</v>
      </c>
      <c r="C36" s="256">
        <v>0</v>
      </c>
      <c r="D36" s="256">
        <v>0</v>
      </c>
      <c r="E36" s="1454">
        <f t="shared" si="0"/>
        <v>0</v>
      </c>
      <c r="F36" s="909">
        <v>0</v>
      </c>
      <c r="G36" s="856">
        <f t="shared" si="1"/>
        <v>0</v>
      </c>
      <c r="H36" s="461">
        <f t="shared" si="4"/>
        <v>0</v>
      </c>
      <c r="I36" s="461">
        <f t="shared" si="4"/>
        <v>0</v>
      </c>
      <c r="J36" s="461">
        <f t="shared" si="4"/>
        <v>0</v>
      </c>
      <c r="K36" s="461">
        <f t="shared" si="4"/>
        <v>0</v>
      </c>
      <c r="L36" s="461">
        <f t="shared" si="4"/>
        <v>0</v>
      </c>
      <c r="N36" s="343"/>
      <c r="Y36" s="7" cm="1">
        <f t="array" aca="1" ref="Y36" ca="1">CELL("protect",A36)</f>
        <v>1</v>
      </c>
      <c r="Z36" s="7" cm="1">
        <f t="array" aca="1" ref="Z36" ca="1">CELL("protect",B36)</f>
        <v>0</v>
      </c>
      <c r="AA36" s="7" cm="1">
        <f t="array" aca="1" ref="AA36" ca="1">CELL("protect",C36)</f>
        <v>0</v>
      </c>
      <c r="AB36" s="7" cm="1">
        <f t="array" aca="1" ref="AB36" ca="1">CELL("protect",D36)</f>
        <v>0</v>
      </c>
      <c r="AC36" s="7" cm="1">
        <f t="array" aca="1" ref="AC36" ca="1">CELL("protect",E36)</f>
        <v>0</v>
      </c>
      <c r="AD36" s="7" cm="1">
        <f t="array" aca="1" ref="AD36" ca="1">CELL("protect",F36)</f>
        <v>0</v>
      </c>
      <c r="AE36" s="7" cm="1">
        <f t="array" aca="1" ref="AE36" ca="1">CELL("protect",G36)</f>
        <v>0</v>
      </c>
      <c r="AF36" s="7" cm="1">
        <f t="array" aca="1" ref="AF36" ca="1">CELL("protect",H36)</f>
        <v>0</v>
      </c>
      <c r="AG36" s="7" cm="1">
        <f t="array" aca="1" ref="AG36" ca="1">CELL("protect",I36)</f>
        <v>0</v>
      </c>
      <c r="AH36" s="7" cm="1">
        <f t="array" aca="1" ref="AH36" ca="1">CELL("protect",J36)</f>
        <v>0</v>
      </c>
      <c r="AI36" s="7" cm="1">
        <f t="array" aca="1" ref="AI36" ca="1">CELL("protect",K36)</f>
        <v>0</v>
      </c>
      <c r="AJ36" s="7" cm="1">
        <f t="array" aca="1" ref="AJ36" ca="1">CELL("protect",L36)</f>
        <v>0</v>
      </c>
      <c r="AK36" s="7"/>
      <c r="AL36" s="7"/>
      <c r="AM36" s="7"/>
    </row>
    <row r="37" spans="1:39" x14ac:dyDescent="0.25">
      <c r="A37" s="129">
        <f>ROW()</f>
        <v>37</v>
      </c>
      <c r="B37" s="330" t="s">
        <v>1039</v>
      </c>
      <c r="C37" s="256">
        <v>0</v>
      </c>
      <c r="D37" s="256">
        <v>0</v>
      </c>
      <c r="E37" s="1454">
        <f t="shared" si="0"/>
        <v>0</v>
      </c>
      <c r="F37" s="909">
        <v>0</v>
      </c>
      <c r="G37" s="856">
        <f t="shared" si="1"/>
        <v>0</v>
      </c>
      <c r="H37" s="461">
        <f t="shared" si="4"/>
        <v>0</v>
      </c>
      <c r="I37" s="461">
        <f t="shared" si="4"/>
        <v>0</v>
      </c>
      <c r="J37" s="461">
        <f t="shared" si="4"/>
        <v>0</v>
      </c>
      <c r="K37" s="461">
        <f t="shared" si="4"/>
        <v>0</v>
      </c>
      <c r="L37" s="461">
        <f t="shared" si="4"/>
        <v>0</v>
      </c>
      <c r="N37" s="343"/>
      <c r="Y37" s="7" cm="1">
        <f t="array" aca="1" ref="Y37" ca="1">CELL("protect",A37)</f>
        <v>1</v>
      </c>
      <c r="Z37" s="7" cm="1">
        <f t="array" aca="1" ref="Z37" ca="1">CELL("protect",B37)</f>
        <v>0</v>
      </c>
      <c r="AA37" s="7" cm="1">
        <f t="array" aca="1" ref="AA37" ca="1">CELL("protect",C37)</f>
        <v>0</v>
      </c>
      <c r="AB37" s="7" cm="1">
        <f t="array" aca="1" ref="AB37" ca="1">CELL("protect",D37)</f>
        <v>0</v>
      </c>
      <c r="AC37" s="7" cm="1">
        <f t="array" aca="1" ref="AC37" ca="1">CELL("protect",E37)</f>
        <v>0</v>
      </c>
      <c r="AD37" s="7" cm="1">
        <f t="array" aca="1" ref="AD37" ca="1">CELL("protect",F37)</f>
        <v>0</v>
      </c>
      <c r="AE37" s="7" cm="1">
        <f t="array" aca="1" ref="AE37" ca="1">CELL("protect",G37)</f>
        <v>0</v>
      </c>
      <c r="AF37" s="7" cm="1">
        <f t="array" aca="1" ref="AF37" ca="1">CELL("protect",H37)</f>
        <v>0</v>
      </c>
      <c r="AG37" s="7" cm="1">
        <f t="array" aca="1" ref="AG37" ca="1">CELL("protect",I37)</f>
        <v>0</v>
      </c>
      <c r="AH37" s="7" cm="1">
        <f t="array" aca="1" ref="AH37" ca="1">CELL("protect",J37)</f>
        <v>0</v>
      </c>
      <c r="AI37" s="7" cm="1">
        <f t="array" aca="1" ref="AI37" ca="1">CELL("protect",K37)</f>
        <v>0</v>
      </c>
      <c r="AJ37" s="7" cm="1">
        <f t="array" aca="1" ref="AJ37" ca="1">CELL("protect",L37)</f>
        <v>0</v>
      </c>
      <c r="AK37" s="7"/>
      <c r="AL37" s="7"/>
      <c r="AM37" s="7"/>
    </row>
    <row r="38" spans="1:39" x14ac:dyDescent="0.25">
      <c r="A38" s="129">
        <f>ROW()</f>
        <v>38</v>
      </c>
      <c r="B38" s="330" t="s">
        <v>1040</v>
      </c>
      <c r="C38" s="256">
        <v>0</v>
      </c>
      <c r="D38" s="256">
        <v>0</v>
      </c>
      <c r="E38" s="1454">
        <f t="shared" si="0"/>
        <v>0</v>
      </c>
      <c r="F38" s="909">
        <v>0</v>
      </c>
      <c r="G38" s="856">
        <f t="shared" si="1"/>
        <v>0</v>
      </c>
      <c r="H38" s="461">
        <f t="shared" si="4"/>
        <v>0</v>
      </c>
      <c r="I38" s="461">
        <f t="shared" si="4"/>
        <v>0</v>
      </c>
      <c r="J38" s="461">
        <f t="shared" si="4"/>
        <v>0</v>
      </c>
      <c r="K38" s="461">
        <f t="shared" si="4"/>
        <v>0</v>
      </c>
      <c r="L38" s="461">
        <f t="shared" si="4"/>
        <v>0</v>
      </c>
      <c r="N38" s="343"/>
      <c r="Y38" s="7" cm="1">
        <f t="array" aca="1" ref="Y38" ca="1">CELL("protect",A38)</f>
        <v>1</v>
      </c>
      <c r="Z38" s="7" cm="1">
        <f t="array" aca="1" ref="Z38" ca="1">CELL("protect",B38)</f>
        <v>0</v>
      </c>
      <c r="AA38" s="7" cm="1">
        <f t="array" aca="1" ref="AA38" ca="1">CELL("protect",C38)</f>
        <v>0</v>
      </c>
      <c r="AB38" s="7" cm="1">
        <f t="array" aca="1" ref="AB38" ca="1">CELL("protect",D38)</f>
        <v>0</v>
      </c>
      <c r="AC38" s="7" cm="1">
        <f t="array" aca="1" ref="AC38" ca="1">CELL("protect",E38)</f>
        <v>0</v>
      </c>
      <c r="AD38" s="7" cm="1">
        <f t="array" aca="1" ref="AD38" ca="1">CELL("protect",F38)</f>
        <v>0</v>
      </c>
      <c r="AE38" s="7" cm="1">
        <f t="array" aca="1" ref="AE38" ca="1">CELL("protect",G38)</f>
        <v>0</v>
      </c>
      <c r="AF38" s="7" cm="1">
        <f t="array" aca="1" ref="AF38" ca="1">CELL("protect",H38)</f>
        <v>0</v>
      </c>
      <c r="AG38" s="7" cm="1">
        <f t="array" aca="1" ref="AG38" ca="1">CELL("protect",I38)</f>
        <v>0</v>
      </c>
      <c r="AH38" s="7" cm="1">
        <f t="array" aca="1" ref="AH38" ca="1">CELL("protect",J38)</f>
        <v>0</v>
      </c>
      <c r="AI38" s="7" cm="1">
        <f t="array" aca="1" ref="AI38" ca="1">CELL("protect",K38)</f>
        <v>0</v>
      </c>
      <c r="AJ38" s="7" cm="1">
        <f t="array" aca="1" ref="AJ38" ca="1">CELL("protect",L38)</f>
        <v>0</v>
      </c>
      <c r="AK38" s="7"/>
      <c r="AL38" s="7"/>
      <c r="AM38" s="7"/>
    </row>
    <row r="39" spans="1:39" x14ac:dyDescent="0.25">
      <c r="A39" s="129">
        <f>ROW()</f>
        <v>39</v>
      </c>
      <c r="B39" s="1653" t="s">
        <v>1041</v>
      </c>
      <c r="C39" s="256">
        <v>0</v>
      </c>
      <c r="D39" s="256">
        <v>0</v>
      </c>
      <c r="E39" s="1454">
        <f t="shared" si="0"/>
        <v>0</v>
      </c>
      <c r="F39" s="909">
        <v>0</v>
      </c>
      <c r="G39" s="856">
        <f t="shared" si="1"/>
        <v>0</v>
      </c>
      <c r="H39" s="461">
        <f t="shared" si="4"/>
        <v>0</v>
      </c>
      <c r="I39" s="461">
        <f t="shared" si="4"/>
        <v>0</v>
      </c>
      <c r="J39" s="461">
        <f t="shared" si="4"/>
        <v>0</v>
      </c>
      <c r="K39" s="461">
        <f t="shared" si="4"/>
        <v>0</v>
      </c>
      <c r="L39" s="461">
        <f t="shared" si="4"/>
        <v>0</v>
      </c>
      <c r="N39" s="343" t="s">
        <v>1547</v>
      </c>
      <c r="Y39" s="7" cm="1">
        <f t="array" aca="1" ref="Y39" ca="1">CELL("protect",A39)</f>
        <v>1</v>
      </c>
      <c r="Z39" s="7" cm="1">
        <f t="array" aca="1" ref="Z39" ca="1">CELL("protect",B39)</f>
        <v>0</v>
      </c>
      <c r="AA39" s="7" cm="1">
        <f t="array" aca="1" ref="AA39" ca="1">CELL("protect",C39)</f>
        <v>0</v>
      </c>
      <c r="AB39" s="7" cm="1">
        <f t="array" aca="1" ref="AB39" ca="1">CELL("protect",D39)</f>
        <v>0</v>
      </c>
      <c r="AC39" s="7" cm="1">
        <f t="array" aca="1" ref="AC39" ca="1">CELL("protect",E39)</f>
        <v>0</v>
      </c>
      <c r="AD39" s="7" cm="1">
        <f t="array" aca="1" ref="AD39" ca="1">CELL("protect",F39)</f>
        <v>0</v>
      </c>
      <c r="AE39" s="7" cm="1">
        <f t="array" aca="1" ref="AE39" ca="1">CELL("protect",G39)</f>
        <v>0</v>
      </c>
      <c r="AF39" s="7" cm="1">
        <f t="array" aca="1" ref="AF39" ca="1">CELL("protect",H39)</f>
        <v>0</v>
      </c>
      <c r="AG39" s="7" cm="1">
        <f t="array" aca="1" ref="AG39" ca="1">CELL("protect",I39)</f>
        <v>0</v>
      </c>
      <c r="AH39" s="7" cm="1">
        <f t="array" aca="1" ref="AH39" ca="1">CELL("protect",J39)</f>
        <v>0</v>
      </c>
      <c r="AI39" s="7" cm="1">
        <f t="array" aca="1" ref="AI39" ca="1">CELL("protect",K39)</f>
        <v>0</v>
      </c>
      <c r="AJ39" s="7" cm="1">
        <f t="array" aca="1" ref="AJ39" ca="1">CELL("protect",L39)</f>
        <v>0</v>
      </c>
      <c r="AK39" s="7"/>
      <c r="AL39" s="7"/>
      <c r="AM39" s="7"/>
    </row>
    <row r="40" spans="1:39" x14ac:dyDescent="0.25">
      <c r="A40" s="129">
        <f>ROW()</f>
        <v>40</v>
      </c>
      <c r="B40" s="1653" t="s">
        <v>1042</v>
      </c>
      <c r="C40" s="256"/>
      <c r="D40" s="256">
        <v>3268</v>
      </c>
      <c r="E40" s="1454">
        <f t="shared" si="0"/>
        <v>19608</v>
      </c>
      <c r="F40" s="909">
        <v>0</v>
      </c>
      <c r="G40" s="856">
        <f t="shared" si="1"/>
        <v>3268</v>
      </c>
      <c r="H40" s="461">
        <f t="shared" ref="H40:L45" si="5">+$D40</f>
        <v>3268</v>
      </c>
      <c r="I40" s="461">
        <f t="shared" si="5"/>
        <v>3268</v>
      </c>
      <c r="J40" s="461">
        <f t="shared" si="5"/>
        <v>3268</v>
      </c>
      <c r="K40" s="461">
        <f t="shared" si="5"/>
        <v>3268</v>
      </c>
      <c r="L40" s="461">
        <f t="shared" si="5"/>
        <v>3268</v>
      </c>
      <c r="N40" s="343"/>
      <c r="Y40" s="7" cm="1">
        <f t="array" aca="1" ref="Y40" ca="1">CELL("protect",A40)</f>
        <v>1</v>
      </c>
      <c r="Z40" s="7" cm="1">
        <f t="array" aca="1" ref="Z40" ca="1">CELL("protect",B40)</f>
        <v>0</v>
      </c>
      <c r="AA40" s="7" cm="1">
        <f t="array" aca="1" ref="AA40" ca="1">CELL("protect",C40)</f>
        <v>0</v>
      </c>
      <c r="AB40" s="7" cm="1">
        <f t="array" aca="1" ref="AB40" ca="1">CELL("protect",D40)</f>
        <v>0</v>
      </c>
      <c r="AC40" s="7" cm="1">
        <f t="array" aca="1" ref="AC40" ca="1">CELL("protect",E40)</f>
        <v>0</v>
      </c>
      <c r="AD40" s="7" cm="1">
        <f t="array" aca="1" ref="AD40" ca="1">CELL("protect",F40)</f>
        <v>0</v>
      </c>
      <c r="AE40" s="7" cm="1">
        <f t="array" aca="1" ref="AE40" ca="1">CELL("protect",G40)</f>
        <v>0</v>
      </c>
      <c r="AF40" s="7" cm="1">
        <f t="array" aca="1" ref="AF40" ca="1">CELL("protect",H40)</f>
        <v>0</v>
      </c>
      <c r="AG40" s="7" cm="1">
        <f t="array" aca="1" ref="AG40" ca="1">CELL("protect",I40)</f>
        <v>0</v>
      </c>
      <c r="AH40" s="7" cm="1">
        <f t="array" aca="1" ref="AH40" ca="1">CELL("protect",J40)</f>
        <v>0</v>
      </c>
      <c r="AI40" s="7" cm="1">
        <f t="array" aca="1" ref="AI40" ca="1">CELL("protect",K40)</f>
        <v>0</v>
      </c>
      <c r="AJ40" s="7" cm="1">
        <f t="array" aca="1" ref="AJ40" ca="1">CELL("protect",L40)</f>
        <v>0</v>
      </c>
      <c r="AK40" s="7"/>
      <c r="AL40" s="7"/>
      <c r="AM40" s="7"/>
    </row>
    <row r="41" spans="1:39" x14ac:dyDescent="0.25">
      <c r="A41" s="129">
        <f>ROW()</f>
        <v>41</v>
      </c>
      <c r="B41" s="1653" t="s">
        <v>1043</v>
      </c>
      <c r="C41" s="258"/>
      <c r="D41" s="258"/>
      <c r="E41" s="1454">
        <f t="shared" si="0"/>
        <v>0</v>
      </c>
      <c r="F41" s="909">
        <v>0</v>
      </c>
      <c r="G41" s="856">
        <f t="shared" si="1"/>
        <v>0</v>
      </c>
      <c r="H41" s="461">
        <f t="shared" si="5"/>
        <v>0</v>
      </c>
      <c r="I41" s="461">
        <f t="shared" si="5"/>
        <v>0</v>
      </c>
      <c r="J41" s="461">
        <f t="shared" si="5"/>
        <v>0</v>
      </c>
      <c r="K41" s="461">
        <f t="shared" si="5"/>
        <v>0</v>
      </c>
      <c r="L41" s="461">
        <f t="shared" si="5"/>
        <v>0</v>
      </c>
      <c r="N41" s="343" t="s">
        <v>1547</v>
      </c>
      <c r="Y41" s="7" cm="1">
        <f t="array" aca="1" ref="Y41" ca="1">CELL("protect",A41)</f>
        <v>1</v>
      </c>
      <c r="Z41" s="7" cm="1">
        <f t="array" aca="1" ref="Z41" ca="1">CELL("protect",B41)</f>
        <v>0</v>
      </c>
      <c r="AA41" s="7" cm="1">
        <f t="array" aca="1" ref="AA41" ca="1">CELL("protect",C41)</f>
        <v>0</v>
      </c>
      <c r="AB41" s="7" cm="1">
        <f t="array" aca="1" ref="AB41" ca="1">CELL("protect",D41)</f>
        <v>0</v>
      </c>
      <c r="AC41" s="7" cm="1">
        <f t="array" aca="1" ref="AC41" ca="1">CELL("protect",E41)</f>
        <v>0</v>
      </c>
      <c r="AD41" s="7" cm="1">
        <f t="array" aca="1" ref="AD41" ca="1">CELL("protect",F41)</f>
        <v>0</v>
      </c>
      <c r="AE41" s="7" cm="1">
        <f t="array" aca="1" ref="AE41" ca="1">CELL("protect",G41)</f>
        <v>0</v>
      </c>
      <c r="AF41" s="7" cm="1">
        <f t="array" aca="1" ref="AF41" ca="1">CELL("protect",H41)</f>
        <v>0</v>
      </c>
      <c r="AG41" s="7" cm="1">
        <f t="array" aca="1" ref="AG41" ca="1">CELL("protect",I41)</f>
        <v>0</v>
      </c>
      <c r="AH41" s="7" cm="1">
        <f t="array" aca="1" ref="AH41" ca="1">CELL("protect",J41)</f>
        <v>0</v>
      </c>
      <c r="AI41" s="7" cm="1">
        <f t="array" aca="1" ref="AI41" ca="1">CELL("protect",K41)</f>
        <v>0</v>
      </c>
      <c r="AJ41" s="7" cm="1">
        <f t="array" aca="1" ref="AJ41" ca="1">CELL("protect",L41)</f>
        <v>0</v>
      </c>
      <c r="AK41" s="7"/>
      <c r="AL41" s="7"/>
      <c r="AM41" s="7"/>
    </row>
    <row r="42" spans="1:39" x14ac:dyDescent="0.25">
      <c r="A42" s="129">
        <f>ROW()</f>
        <v>42</v>
      </c>
      <c r="B42" s="1653"/>
      <c r="C42" s="258"/>
      <c r="D42" s="258"/>
      <c r="E42" s="1454">
        <f t="shared" si="0"/>
        <v>0</v>
      </c>
      <c r="F42" s="909">
        <v>0</v>
      </c>
      <c r="G42" s="856">
        <f t="shared" si="1"/>
        <v>0</v>
      </c>
      <c r="H42" s="461">
        <f t="shared" si="5"/>
        <v>0</v>
      </c>
      <c r="I42" s="461">
        <f t="shared" si="5"/>
        <v>0</v>
      </c>
      <c r="J42" s="461">
        <f t="shared" si="5"/>
        <v>0</v>
      </c>
      <c r="K42" s="461">
        <f t="shared" si="5"/>
        <v>0</v>
      </c>
      <c r="L42" s="461">
        <f t="shared" si="5"/>
        <v>0</v>
      </c>
      <c r="N42" s="343"/>
      <c r="Y42" s="7" cm="1">
        <f t="array" aca="1" ref="Y42" ca="1">CELL("protect",A42)</f>
        <v>1</v>
      </c>
      <c r="Z42" s="7" cm="1">
        <f t="array" aca="1" ref="Z42" ca="1">CELL("protect",B42)</f>
        <v>0</v>
      </c>
      <c r="AA42" s="7" cm="1">
        <f t="array" aca="1" ref="AA42" ca="1">CELL("protect",C42)</f>
        <v>0</v>
      </c>
      <c r="AB42" s="7" cm="1">
        <f t="array" aca="1" ref="AB42" ca="1">CELL("protect",D42)</f>
        <v>0</v>
      </c>
      <c r="AC42" s="7" cm="1">
        <f t="array" aca="1" ref="AC42" ca="1">CELL("protect",E42)</f>
        <v>0</v>
      </c>
      <c r="AD42" s="7" cm="1">
        <f t="array" aca="1" ref="AD42" ca="1">CELL("protect",F42)</f>
        <v>0</v>
      </c>
      <c r="AE42" s="7" cm="1">
        <f t="array" aca="1" ref="AE42" ca="1">CELL("protect",G42)</f>
        <v>0</v>
      </c>
      <c r="AF42" s="7" cm="1">
        <f t="array" aca="1" ref="AF42" ca="1">CELL("protect",H42)</f>
        <v>0</v>
      </c>
      <c r="AG42" s="7" cm="1">
        <f t="array" aca="1" ref="AG42" ca="1">CELL("protect",I42)</f>
        <v>0</v>
      </c>
      <c r="AH42" s="7" cm="1">
        <f t="array" aca="1" ref="AH42" ca="1">CELL("protect",J42)</f>
        <v>0</v>
      </c>
      <c r="AI42" s="7" cm="1">
        <f t="array" aca="1" ref="AI42" ca="1">CELL("protect",K42)</f>
        <v>0</v>
      </c>
      <c r="AJ42" s="7" cm="1">
        <f t="array" aca="1" ref="AJ42" ca="1">CELL("protect",L42)</f>
        <v>0</v>
      </c>
      <c r="AK42" s="7"/>
      <c r="AL42" s="7"/>
      <c r="AM42" s="7"/>
    </row>
    <row r="43" spans="1:39" x14ac:dyDescent="0.25">
      <c r="A43" s="129">
        <f>ROW()</f>
        <v>43</v>
      </c>
      <c r="B43" s="1653"/>
      <c r="C43" s="258"/>
      <c r="D43" s="258"/>
      <c r="E43" s="1454">
        <f t="shared" si="0"/>
        <v>0</v>
      </c>
      <c r="F43" s="909">
        <v>0</v>
      </c>
      <c r="G43" s="856">
        <f t="shared" si="1"/>
        <v>0</v>
      </c>
      <c r="H43" s="461">
        <f t="shared" si="5"/>
        <v>0</v>
      </c>
      <c r="I43" s="461">
        <f t="shared" si="5"/>
        <v>0</v>
      </c>
      <c r="J43" s="461">
        <f t="shared" si="5"/>
        <v>0</v>
      </c>
      <c r="K43" s="461">
        <f t="shared" si="5"/>
        <v>0</v>
      </c>
      <c r="L43" s="461">
        <f t="shared" si="5"/>
        <v>0</v>
      </c>
      <c r="N43" s="343"/>
      <c r="Y43" s="7" cm="1">
        <f t="array" aca="1" ref="Y43" ca="1">CELL("protect",A43)</f>
        <v>1</v>
      </c>
      <c r="Z43" s="7" cm="1">
        <f t="array" aca="1" ref="Z43" ca="1">CELL("protect",B43)</f>
        <v>0</v>
      </c>
      <c r="AA43" s="7" cm="1">
        <f t="array" aca="1" ref="AA43" ca="1">CELL("protect",C43)</f>
        <v>0</v>
      </c>
      <c r="AB43" s="7" cm="1">
        <f t="array" aca="1" ref="AB43" ca="1">CELL("protect",D43)</f>
        <v>0</v>
      </c>
      <c r="AC43" s="7" cm="1">
        <f t="array" aca="1" ref="AC43" ca="1">CELL("protect",E43)</f>
        <v>0</v>
      </c>
      <c r="AD43" s="7" cm="1">
        <f t="array" aca="1" ref="AD43" ca="1">CELL("protect",F43)</f>
        <v>0</v>
      </c>
      <c r="AE43" s="7" cm="1">
        <f t="array" aca="1" ref="AE43" ca="1">CELL("protect",G43)</f>
        <v>0</v>
      </c>
      <c r="AF43" s="7" cm="1">
        <f t="array" aca="1" ref="AF43" ca="1">CELL("protect",H43)</f>
        <v>0</v>
      </c>
      <c r="AG43" s="7" cm="1">
        <f t="array" aca="1" ref="AG43" ca="1">CELL("protect",I43)</f>
        <v>0</v>
      </c>
      <c r="AH43" s="7" cm="1">
        <f t="array" aca="1" ref="AH43" ca="1">CELL("protect",J43)</f>
        <v>0</v>
      </c>
      <c r="AI43" s="7" cm="1">
        <f t="array" aca="1" ref="AI43" ca="1">CELL("protect",K43)</f>
        <v>0</v>
      </c>
      <c r="AJ43" s="7" cm="1">
        <f t="array" aca="1" ref="AJ43" ca="1">CELL("protect",L43)</f>
        <v>0</v>
      </c>
      <c r="AK43" s="7"/>
      <c r="AL43" s="7"/>
      <c r="AM43" s="7"/>
    </row>
    <row r="44" spans="1:39" x14ac:dyDescent="0.25">
      <c r="A44" s="129">
        <f>ROW()</f>
        <v>44</v>
      </c>
      <c r="B44" s="1653"/>
      <c r="C44" s="258"/>
      <c r="D44" s="258"/>
      <c r="E44" s="1454">
        <f t="shared" si="0"/>
        <v>0</v>
      </c>
      <c r="F44" s="909">
        <v>0</v>
      </c>
      <c r="G44" s="856">
        <f t="shared" si="1"/>
        <v>0</v>
      </c>
      <c r="H44" s="461">
        <f t="shared" si="5"/>
        <v>0</v>
      </c>
      <c r="I44" s="461">
        <f t="shared" si="5"/>
        <v>0</v>
      </c>
      <c r="J44" s="461">
        <f t="shared" si="5"/>
        <v>0</v>
      </c>
      <c r="K44" s="461">
        <f t="shared" si="5"/>
        <v>0</v>
      </c>
      <c r="L44" s="461">
        <f t="shared" si="5"/>
        <v>0</v>
      </c>
      <c r="N44" s="343"/>
      <c r="Y44" s="7" cm="1">
        <f t="array" aca="1" ref="Y44" ca="1">CELL("protect",A44)</f>
        <v>1</v>
      </c>
      <c r="Z44" s="7" cm="1">
        <f t="array" aca="1" ref="Z44" ca="1">CELL("protect",B44)</f>
        <v>0</v>
      </c>
      <c r="AA44" s="7" cm="1">
        <f t="array" aca="1" ref="AA44" ca="1">CELL("protect",C44)</f>
        <v>0</v>
      </c>
      <c r="AB44" s="7" cm="1">
        <f t="array" aca="1" ref="AB44" ca="1">CELL("protect",D44)</f>
        <v>0</v>
      </c>
      <c r="AC44" s="7" cm="1">
        <f t="array" aca="1" ref="AC44" ca="1">CELL("protect",E44)</f>
        <v>0</v>
      </c>
      <c r="AD44" s="7" cm="1">
        <f t="array" aca="1" ref="AD44" ca="1">CELL("protect",F44)</f>
        <v>0</v>
      </c>
      <c r="AE44" s="7" cm="1">
        <f t="array" aca="1" ref="AE44" ca="1">CELL("protect",G44)</f>
        <v>0</v>
      </c>
      <c r="AF44" s="7" cm="1">
        <f t="array" aca="1" ref="AF44" ca="1">CELL("protect",H44)</f>
        <v>0</v>
      </c>
      <c r="AG44" s="7" cm="1">
        <f t="array" aca="1" ref="AG44" ca="1">CELL("protect",I44)</f>
        <v>0</v>
      </c>
      <c r="AH44" s="7" cm="1">
        <f t="array" aca="1" ref="AH44" ca="1">CELL("protect",J44)</f>
        <v>0</v>
      </c>
      <c r="AI44" s="7" cm="1">
        <f t="array" aca="1" ref="AI44" ca="1">CELL("protect",K44)</f>
        <v>0</v>
      </c>
      <c r="AJ44" s="7" cm="1">
        <f t="array" aca="1" ref="AJ44" ca="1">CELL("protect",L44)</f>
        <v>0</v>
      </c>
      <c r="AK44" s="7"/>
      <c r="AL44" s="7"/>
      <c r="AM44" s="7"/>
    </row>
    <row r="45" spans="1:39" x14ac:dyDescent="0.25">
      <c r="A45" s="129">
        <f>ROW()</f>
        <v>45</v>
      </c>
      <c r="B45" s="1653"/>
      <c r="C45" s="258"/>
      <c r="D45" s="258"/>
      <c r="E45" s="1454">
        <f t="shared" si="0"/>
        <v>0</v>
      </c>
      <c r="F45" s="909">
        <v>0</v>
      </c>
      <c r="G45" s="856">
        <f t="shared" si="1"/>
        <v>0</v>
      </c>
      <c r="H45" s="461">
        <f t="shared" si="5"/>
        <v>0</v>
      </c>
      <c r="I45" s="461">
        <f t="shared" si="5"/>
        <v>0</v>
      </c>
      <c r="J45" s="461">
        <f t="shared" si="5"/>
        <v>0</v>
      </c>
      <c r="K45" s="461">
        <f t="shared" si="5"/>
        <v>0</v>
      </c>
      <c r="L45" s="461">
        <f t="shared" si="5"/>
        <v>0</v>
      </c>
      <c r="N45" s="343"/>
      <c r="Y45" s="7" cm="1">
        <f t="array" aca="1" ref="Y45" ca="1">CELL("protect",A45)</f>
        <v>1</v>
      </c>
      <c r="Z45" s="7" cm="1">
        <f t="array" aca="1" ref="Z45" ca="1">CELL("protect",B45)</f>
        <v>0</v>
      </c>
      <c r="AA45" s="7" cm="1">
        <f t="array" aca="1" ref="AA45" ca="1">CELL("protect",C45)</f>
        <v>0</v>
      </c>
      <c r="AB45" s="7" cm="1">
        <f t="array" aca="1" ref="AB45" ca="1">CELL("protect",D45)</f>
        <v>0</v>
      </c>
      <c r="AC45" s="7" cm="1">
        <f t="array" aca="1" ref="AC45" ca="1">CELL("protect",E45)</f>
        <v>0</v>
      </c>
      <c r="AD45" s="7" cm="1">
        <f t="array" aca="1" ref="AD45" ca="1">CELL("protect",F45)</f>
        <v>0</v>
      </c>
      <c r="AE45" s="7" cm="1">
        <f t="array" aca="1" ref="AE45" ca="1">CELL("protect",G45)</f>
        <v>0</v>
      </c>
      <c r="AF45" s="7" cm="1">
        <f t="array" aca="1" ref="AF45" ca="1">CELL("protect",H45)</f>
        <v>0</v>
      </c>
      <c r="AG45" s="7" cm="1">
        <f t="array" aca="1" ref="AG45" ca="1">CELL("protect",I45)</f>
        <v>0</v>
      </c>
      <c r="AH45" s="7" cm="1">
        <f t="array" aca="1" ref="AH45" ca="1">CELL("protect",J45)</f>
        <v>0</v>
      </c>
      <c r="AI45" s="7" cm="1">
        <f t="array" aca="1" ref="AI45" ca="1">CELL("protect",K45)</f>
        <v>0</v>
      </c>
      <c r="AJ45" s="7" cm="1">
        <f t="array" aca="1" ref="AJ45" ca="1">CELL("protect",L45)</f>
        <v>0</v>
      </c>
      <c r="AK45" s="7"/>
      <c r="AL45" s="7"/>
      <c r="AM45" s="7"/>
    </row>
    <row r="46" spans="1:39" x14ac:dyDescent="0.25">
      <c r="A46" s="129">
        <f>ROW()</f>
        <v>46</v>
      </c>
      <c r="B46" s="1653"/>
      <c r="C46" s="258"/>
      <c r="D46" s="258"/>
      <c r="E46" s="1454">
        <f t="shared" si="0"/>
        <v>7000</v>
      </c>
      <c r="F46" s="909">
        <v>1000</v>
      </c>
      <c r="G46" s="856">
        <v>1000</v>
      </c>
      <c r="H46" s="461">
        <v>1000</v>
      </c>
      <c r="I46" s="461">
        <v>1000</v>
      </c>
      <c r="J46" s="461">
        <v>1000</v>
      </c>
      <c r="K46" s="461">
        <v>1000</v>
      </c>
      <c r="L46" s="461">
        <v>1000</v>
      </c>
      <c r="N46" s="343"/>
      <c r="Y46" s="7" cm="1">
        <f t="array" aca="1" ref="Y46" ca="1">CELL("protect",A46)</f>
        <v>1</v>
      </c>
      <c r="Z46" s="7" cm="1">
        <f t="array" aca="1" ref="Z46" ca="1">CELL("protect",B46)</f>
        <v>0</v>
      </c>
      <c r="AA46" s="7" cm="1">
        <f t="array" aca="1" ref="AA46" ca="1">CELL("protect",C46)</f>
        <v>0</v>
      </c>
      <c r="AB46" s="7" cm="1">
        <f t="array" aca="1" ref="AB46" ca="1">CELL("protect",D46)</f>
        <v>0</v>
      </c>
      <c r="AC46" s="7" cm="1">
        <f t="array" aca="1" ref="AC46" ca="1">CELL("protect",E46)</f>
        <v>0</v>
      </c>
      <c r="AD46" s="7" cm="1">
        <f t="array" aca="1" ref="AD46" ca="1">CELL("protect",F46)</f>
        <v>0</v>
      </c>
      <c r="AE46" s="7" cm="1">
        <f t="array" aca="1" ref="AE46" ca="1">CELL("protect",G46)</f>
        <v>0</v>
      </c>
      <c r="AF46" s="7" cm="1">
        <f t="array" aca="1" ref="AF46" ca="1">CELL("protect",H46)</f>
        <v>0</v>
      </c>
      <c r="AG46" s="7" cm="1">
        <f t="array" aca="1" ref="AG46" ca="1">CELL("protect",I46)</f>
        <v>0</v>
      </c>
      <c r="AH46" s="7" cm="1">
        <f t="array" aca="1" ref="AH46" ca="1">CELL("protect",J46)</f>
        <v>0</v>
      </c>
      <c r="AI46" s="7" cm="1">
        <f t="array" aca="1" ref="AI46" ca="1">CELL("protect",K46)</f>
        <v>0</v>
      </c>
      <c r="AJ46" s="7" cm="1">
        <f t="array" aca="1" ref="AJ46" ca="1">CELL("protect",L46)</f>
        <v>0</v>
      </c>
      <c r="AK46" s="7"/>
      <c r="AL46" s="7"/>
      <c r="AM46" s="7"/>
    </row>
    <row r="47" spans="1:39" x14ac:dyDescent="0.25">
      <c r="A47" s="129">
        <f>ROW()</f>
        <v>47</v>
      </c>
      <c r="B47" s="1563" t="s">
        <v>1044</v>
      </c>
      <c r="C47" s="1562"/>
      <c r="D47" s="1562"/>
      <c r="E47" s="1454">
        <f t="shared" si="0"/>
        <v>0</v>
      </c>
      <c r="F47" s="1556" t="s">
        <v>35</v>
      </c>
      <c r="G47" s="1557" t="s">
        <v>35</v>
      </c>
      <c r="H47" s="1558" t="s">
        <v>35</v>
      </c>
      <c r="I47" s="1558" t="s">
        <v>35</v>
      </c>
      <c r="J47" s="1558" t="s">
        <v>35</v>
      </c>
      <c r="K47" s="1558" t="s">
        <v>35</v>
      </c>
      <c r="L47" s="1558" t="s">
        <v>35</v>
      </c>
      <c r="N47" s="343"/>
      <c r="Y47" s="7" cm="1">
        <f t="array" aca="1" ref="Y47" ca="1">CELL("protect",A47)</f>
        <v>1</v>
      </c>
      <c r="Z47" s="7" cm="1">
        <f t="array" aca="1" ref="Z47" ca="1">CELL("protect",B47)</f>
        <v>0</v>
      </c>
      <c r="AA47" s="7" cm="1">
        <f t="array" aca="1" ref="AA47" ca="1">CELL("protect",C47)</f>
        <v>0</v>
      </c>
      <c r="AB47" s="7" cm="1">
        <f t="array" aca="1" ref="AB47" ca="1">CELL("protect",D47)</f>
        <v>0</v>
      </c>
      <c r="AC47" s="7" cm="1">
        <f t="array" aca="1" ref="AC47" ca="1">CELL("protect",E47)</f>
        <v>0</v>
      </c>
      <c r="AD47" s="7" cm="1">
        <f t="array" aca="1" ref="AD47" ca="1">CELL("protect",F47)</f>
        <v>0</v>
      </c>
      <c r="AE47" s="7" cm="1">
        <f t="array" aca="1" ref="AE47" ca="1">CELL("protect",G47)</f>
        <v>0</v>
      </c>
      <c r="AF47" s="7" cm="1">
        <f t="array" aca="1" ref="AF47" ca="1">CELL("protect",H47)</f>
        <v>0</v>
      </c>
      <c r="AG47" s="7" cm="1">
        <f t="array" aca="1" ref="AG47" ca="1">CELL("protect",I47)</f>
        <v>0</v>
      </c>
      <c r="AH47" s="7" cm="1">
        <f t="array" aca="1" ref="AH47" ca="1">CELL("protect",J47)</f>
        <v>0</v>
      </c>
      <c r="AI47" s="7" cm="1">
        <f t="array" aca="1" ref="AI47" ca="1">CELL("protect",K47)</f>
        <v>0</v>
      </c>
      <c r="AJ47" s="7" cm="1">
        <f t="array" aca="1" ref="AJ47" ca="1">CELL("protect",L47)</f>
        <v>0</v>
      </c>
      <c r="AK47" s="7"/>
      <c r="AL47" s="7"/>
      <c r="AM47" s="7"/>
    </row>
    <row r="48" spans="1:39" x14ac:dyDescent="0.25">
      <c r="A48" s="129">
        <f>ROW()</f>
        <v>48</v>
      </c>
      <c r="B48" s="1564" t="s">
        <v>1045</v>
      </c>
      <c r="C48" s="1562"/>
      <c r="D48" s="1562"/>
      <c r="E48" s="1375">
        <f t="shared" si="0"/>
        <v>0</v>
      </c>
      <c r="F48" s="1559" t="s">
        <v>35</v>
      </c>
      <c r="G48" s="1560" t="s">
        <v>35</v>
      </c>
      <c r="H48" s="1561" t="s">
        <v>35</v>
      </c>
      <c r="I48" s="1561" t="s">
        <v>35</v>
      </c>
      <c r="J48" s="1561" t="s">
        <v>35</v>
      </c>
      <c r="K48" s="1561" t="s">
        <v>35</v>
      </c>
      <c r="L48" s="1561" t="s">
        <v>35</v>
      </c>
      <c r="N48" s="343"/>
      <c r="Y48" s="7" cm="1">
        <f t="array" aca="1" ref="Y48" ca="1">CELL("protect",A48)</f>
        <v>1</v>
      </c>
      <c r="Z48" s="7" cm="1">
        <f t="array" aca="1" ref="Z48" ca="1">CELL("protect",B48)</f>
        <v>0</v>
      </c>
      <c r="AA48" s="7" cm="1">
        <f t="array" aca="1" ref="AA48" ca="1">CELL("protect",C48)</f>
        <v>0</v>
      </c>
      <c r="AB48" s="7" cm="1">
        <f t="array" aca="1" ref="AB48" ca="1">CELL("protect",D48)</f>
        <v>0</v>
      </c>
      <c r="AC48" s="7" cm="1">
        <f t="array" aca="1" ref="AC48" ca="1">CELL("protect",E48)</f>
        <v>0</v>
      </c>
      <c r="AD48" s="7" cm="1">
        <f t="array" aca="1" ref="AD48" ca="1">CELL("protect",F48)</f>
        <v>0</v>
      </c>
      <c r="AE48" s="7" cm="1">
        <f t="array" aca="1" ref="AE48" ca="1">CELL("protect",G48)</f>
        <v>0</v>
      </c>
      <c r="AF48" s="7" cm="1">
        <f t="array" aca="1" ref="AF48" ca="1">CELL("protect",H48)</f>
        <v>0</v>
      </c>
      <c r="AG48" s="7" cm="1">
        <f t="array" aca="1" ref="AG48" ca="1">CELL("protect",I48)</f>
        <v>0</v>
      </c>
      <c r="AH48" s="7" cm="1">
        <f t="array" aca="1" ref="AH48" ca="1">CELL("protect",J48)</f>
        <v>0</v>
      </c>
      <c r="AI48" s="7" cm="1">
        <f t="array" aca="1" ref="AI48" ca="1">CELL("protect",K48)</f>
        <v>0</v>
      </c>
      <c r="AJ48" s="7" cm="1">
        <f t="array" aca="1" ref="AJ48" ca="1">CELL("protect",L48)</f>
        <v>0</v>
      </c>
      <c r="AK48" s="7"/>
      <c r="AL48" s="7"/>
      <c r="AM48" s="7"/>
    </row>
    <row r="49" spans="1:39" x14ac:dyDescent="0.25">
      <c r="A49" s="129">
        <f>ROW()</f>
        <v>49</v>
      </c>
      <c r="B49" s="357" t="s">
        <v>1046</v>
      </c>
      <c r="C49" s="358"/>
      <c r="D49" s="358"/>
      <c r="E49" s="359"/>
      <c r="F49" s="858">
        <f t="shared" ref="F49:L49" si="6">SUM(F10:F48)</f>
        <v>1000</v>
      </c>
      <c r="G49" s="858">
        <f t="shared" si="6"/>
        <v>81592</v>
      </c>
      <c r="H49" s="360">
        <f t="shared" si="6"/>
        <v>81592</v>
      </c>
      <c r="I49" s="360">
        <f t="shared" si="6"/>
        <v>81592</v>
      </c>
      <c r="J49" s="360">
        <f t="shared" si="6"/>
        <v>81592</v>
      </c>
      <c r="K49" s="360">
        <f t="shared" si="6"/>
        <v>81592</v>
      </c>
      <c r="L49" s="360">
        <f t="shared" si="6"/>
        <v>81592</v>
      </c>
      <c r="N49" s="343"/>
      <c r="Y49" s="7" cm="1">
        <f t="array" aca="1" ref="Y49" ca="1">CELL("protect",A49)</f>
        <v>1</v>
      </c>
      <c r="Z49" s="7" cm="1">
        <f t="array" aca="1" ref="Z49" ca="1">CELL("protect",B49)</f>
        <v>0</v>
      </c>
      <c r="AA49" s="7" cm="1">
        <f t="array" aca="1" ref="AA49" ca="1">CELL("protect",C49)</f>
        <v>0</v>
      </c>
      <c r="AB49" s="7" cm="1">
        <f t="array" aca="1" ref="AB49" ca="1">CELL("protect",D49)</f>
        <v>0</v>
      </c>
      <c r="AC49" s="7" cm="1">
        <f t="array" aca="1" ref="AC49" ca="1">CELL("protect",E49)</f>
        <v>1</v>
      </c>
      <c r="AD49" s="7" cm="1">
        <f t="array" aca="1" ref="AD49" ca="1">CELL("protect",F49)</f>
        <v>1</v>
      </c>
      <c r="AE49" s="7" cm="1">
        <f t="array" aca="1" ref="AE49" ca="1">CELL("protect",G49)</f>
        <v>1</v>
      </c>
      <c r="AF49" s="7" cm="1">
        <f t="array" aca="1" ref="AF49" ca="1">CELL("protect",H49)</f>
        <v>1</v>
      </c>
      <c r="AG49" s="7" cm="1">
        <f t="array" aca="1" ref="AG49" ca="1">CELL("protect",I49)</f>
        <v>1</v>
      </c>
      <c r="AH49" s="7" cm="1">
        <f t="array" aca="1" ref="AH49" ca="1">CELL("protect",J49)</f>
        <v>1</v>
      </c>
      <c r="AI49" s="7" cm="1">
        <f t="array" aca="1" ref="AI49" ca="1">CELL("protect",K49)</f>
        <v>1</v>
      </c>
      <c r="AJ49" s="7" cm="1">
        <f t="array" aca="1" ref="AJ49" ca="1">CELL("protect",L49)</f>
        <v>1</v>
      </c>
      <c r="AK49" s="7"/>
      <c r="AL49" s="7"/>
      <c r="AM49" s="7"/>
    </row>
    <row r="50" spans="1:39" x14ac:dyDescent="0.25">
      <c r="A50" s="129">
        <f>ROW()</f>
        <v>50</v>
      </c>
      <c r="B50" s="354" t="s">
        <v>1047</v>
      </c>
      <c r="C50" s="353"/>
      <c r="D50" s="885">
        <v>0.02</v>
      </c>
      <c r="E50" s="886"/>
      <c r="F50" s="355">
        <f t="shared" ref="F50:L50" si="7">+F49*((1+$D$50)^F7-1)</f>
        <v>0</v>
      </c>
      <c r="G50" s="355">
        <f t="shared" si="7"/>
        <v>1631.8400000000015</v>
      </c>
      <c r="H50" s="356">
        <f t="shared" si="7"/>
        <v>3296.3167999999991</v>
      </c>
      <c r="I50" s="356">
        <f t="shared" si="7"/>
        <v>4994.0831359999938</v>
      </c>
      <c r="J50" s="356">
        <f t="shared" si="7"/>
        <v>6725.804798719998</v>
      </c>
      <c r="K50" s="356">
        <f t="shared" si="7"/>
        <v>8492.1608946944016</v>
      </c>
      <c r="L50" s="356">
        <f t="shared" si="7"/>
        <v>10293.844112588295</v>
      </c>
      <c r="N50" s="343"/>
      <c r="Y50" s="7" cm="1">
        <f t="array" aca="1" ref="Y50" ca="1">CELL("protect",A50)</f>
        <v>1</v>
      </c>
      <c r="Z50" s="7" cm="1">
        <f t="array" aca="1" ref="Z50" ca="1">CELL("protect",B50)</f>
        <v>0</v>
      </c>
      <c r="AA50" s="7" cm="1">
        <f t="array" aca="1" ref="AA50" ca="1">CELL("protect",C50)</f>
        <v>0</v>
      </c>
      <c r="AB50" s="7" cm="1">
        <f t="array" aca="1" ref="AB50" ca="1">CELL("protect",D50)</f>
        <v>0</v>
      </c>
      <c r="AC50" s="7" cm="1">
        <f t="array" aca="1" ref="AC50" ca="1">CELL("protect",E50)</f>
        <v>1</v>
      </c>
      <c r="AD50" s="7" cm="1">
        <f t="array" aca="1" ref="AD50" ca="1">CELL("protect",F50)</f>
        <v>1</v>
      </c>
      <c r="AE50" s="7" cm="1">
        <f t="array" aca="1" ref="AE50" ca="1">CELL("protect",G50)</f>
        <v>1</v>
      </c>
      <c r="AF50" s="7" cm="1">
        <f t="array" aca="1" ref="AF50" ca="1">CELL("protect",H50)</f>
        <v>1</v>
      </c>
      <c r="AG50" s="7" cm="1">
        <f t="array" aca="1" ref="AG50" ca="1">CELL("protect",I50)</f>
        <v>1</v>
      </c>
      <c r="AH50" s="7" cm="1">
        <f t="array" aca="1" ref="AH50" ca="1">CELL("protect",J50)</f>
        <v>1</v>
      </c>
      <c r="AI50" s="7" cm="1">
        <f t="array" aca="1" ref="AI50" ca="1">CELL("protect",K50)</f>
        <v>1</v>
      </c>
      <c r="AJ50" s="7" cm="1">
        <f t="array" aca="1" ref="AJ50" ca="1">CELL("protect",L50)</f>
        <v>1</v>
      </c>
      <c r="AK50" s="7"/>
      <c r="AL50" s="7"/>
      <c r="AM50" s="7"/>
    </row>
    <row r="51" spans="1:39" ht="15.75" x14ac:dyDescent="0.25">
      <c r="A51" s="129">
        <f>ROW()</f>
        <v>51</v>
      </c>
      <c r="D51" s="1186">
        <f>SUM(D10:D48)</f>
        <v>80592</v>
      </c>
      <c r="E51" s="238">
        <f>SUM(E10:E48)</f>
        <v>490552</v>
      </c>
      <c r="F51" s="238">
        <f>SUM(F10:F48)</f>
        <v>1000</v>
      </c>
      <c r="G51" s="238">
        <f t="shared" ref="G51:L51" si="8">SUM(G10:G48)+G50</f>
        <v>83223.839999999997</v>
      </c>
      <c r="H51" s="238">
        <f t="shared" si="8"/>
        <v>84888.316800000001</v>
      </c>
      <c r="I51" s="238">
        <f t="shared" si="8"/>
        <v>86586.083136000001</v>
      </c>
      <c r="J51" s="238">
        <f t="shared" si="8"/>
        <v>88317.804798719997</v>
      </c>
      <c r="K51" s="238">
        <f t="shared" si="8"/>
        <v>90084.160894694403</v>
      </c>
      <c r="L51" s="238">
        <f t="shared" si="8"/>
        <v>91885.844112588296</v>
      </c>
      <c r="N51" s="343"/>
      <c r="Y51" s="7" cm="1">
        <f t="array" aca="1" ref="Y51" ca="1">CELL("protect",A51)</f>
        <v>1</v>
      </c>
      <c r="Z51" s="7" cm="1">
        <f t="array" aca="1" ref="Z51" ca="1">CELL("protect",B51)</f>
        <v>1</v>
      </c>
      <c r="AA51" s="7" cm="1">
        <f t="array" aca="1" ref="AA51" ca="1">CELL("protect",C51)</f>
        <v>1</v>
      </c>
      <c r="AB51" s="7" cm="1">
        <f t="array" aca="1" ref="AB51" ca="1">CELL("protect",D51)</f>
        <v>1</v>
      </c>
      <c r="AC51" s="7" cm="1">
        <f t="array" aca="1" ref="AC51" ca="1">CELL("protect",E51)</f>
        <v>1</v>
      </c>
      <c r="AD51" s="7" cm="1">
        <f t="array" aca="1" ref="AD51" ca="1">CELL("protect",F51)</f>
        <v>1</v>
      </c>
      <c r="AE51" s="7" cm="1">
        <f t="array" aca="1" ref="AE51" ca="1">CELL("protect",G51)</f>
        <v>1</v>
      </c>
      <c r="AF51" s="7" cm="1">
        <f t="array" aca="1" ref="AF51" ca="1">CELL("protect",H51)</f>
        <v>1</v>
      </c>
      <c r="AG51" s="7" cm="1">
        <f t="array" aca="1" ref="AG51" ca="1">CELL("protect",I51)</f>
        <v>1</v>
      </c>
      <c r="AH51" s="7" cm="1">
        <f t="array" aca="1" ref="AH51" ca="1">CELL("protect",J51)</f>
        <v>1</v>
      </c>
      <c r="AI51" s="7" cm="1">
        <f t="array" aca="1" ref="AI51" ca="1">CELL("protect",K51)</f>
        <v>1</v>
      </c>
      <c r="AJ51" s="7" cm="1">
        <f t="array" aca="1" ref="AJ51" ca="1">CELL("protect",L51)</f>
        <v>1</v>
      </c>
      <c r="AK51" s="7"/>
      <c r="AL51" s="7"/>
      <c r="AM51" s="7"/>
    </row>
    <row r="52" spans="1:39" x14ac:dyDescent="0.25">
      <c r="A52" s="129">
        <f>ROW()</f>
        <v>52</v>
      </c>
      <c r="B52" s="183" t="s">
        <v>1048</v>
      </c>
      <c r="Y52" s="7" cm="1">
        <f t="array" aca="1" ref="Y52" ca="1">CELL("protect",A52)</f>
        <v>1</v>
      </c>
      <c r="Z52" s="7" cm="1">
        <f t="array" aca="1" ref="Z52" ca="1">CELL("protect",B52)</f>
        <v>1</v>
      </c>
      <c r="AA52" s="7" cm="1">
        <f t="array" aca="1" ref="AA52" ca="1">CELL("protect",C52)</f>
        <v>1</v>
      </c>
      <c r="AB52" s="7" cm="1">
        <f t="array" aca="1" ref="AB52" ca="1">CELL("protect",D52)</f>
        <v>1</v>
      </c>
      <c r="AC52" s="7" cm="1">
        <f t="array" aca="1" ref="AC52" ca="1">CELL("protect",E52)</f>
        <v>1</v>
      </c>
      <c r="AD52" s="7" cm="1">
        <f t="array" aca="1" ref="AD52" ca="1">CELL("protect",F52)</f>
        <v>1</v>
      </c>
      <c r="AE52" s="7" cm="1">
        <f t="array" aca="1" ref="AE52" ca="1">CELL("protect",G52)</f>
        <v>1</v>
      </c>
      <c r="AF52" s="7" cm="1">
        <f t="array" aca="1" ref="AF52" ca="1">CELL("protect",H52)</f>
        <v>1</v>
      </c>
      <c r="AG52" s="7" cm="1">
        <f t="array" aca="1" ref="AG52" ca="1">CELL("protect",I52)</f>
        <v>1</v>
      </c>
      <c r="AH52" s="7" cm="1">
        <f t="array" aca="1" ref="AH52" ca="1">CELL("protect",J52)</f>
        <v>1</v>
      </c>
      <c r="AI52" s="7" cm="1">
        <f t="array" aca="1" ref="AI52" ca="1">CELL("protect",K52)</f>
        <v>1</v>
      </c>
      <c r="AJ52" s="7" cm="1">
        <f t="array" aca="1" ref="AJ52" ca="1">CELL("protect",L52)</f>
        <v>1</v>
      </c>
      <c r="AK52" s="7"/>
      <c r="AL52" s="7"/>
      <c r="AM52" s="7"/>
    </row>
    <row r="53" spans="1:39" x14ac:dyDescent="0.25">
      <c r="A53" s="129">
        <f>ROW()</f>
        <v>53</v>
      </c>
      <c r="B53" s="183" t="s">
        <v>1049</v>
      </c>
      <c r="Y53" s="7" cm="1">
        <f t="array" aca="1" ref="Y53" ca="1">CELL("protect",A53)</f>
        <v>1</v>
      </c>
      <c r="Z53" s="7" cm="1">
        <f t="array" aca="1" ref="Z53" ca="1">CELL("protect",B53)</f>
        <v>1</v>
      </c>
      <c r="AA53" s="7" cm="1">
        <f t="array" aca="1" ref="AA53" ca="1">CELL("protect",C53)</f>
        <v>1</v>
      </c>
      <c r="AB53" s="7" cm="1">
        <f t="array" aca="1" ref="AB53" ca="1">CELL("protect",D53)</f>
        <v>1</v>
      </c>
      <c r="AC53" s="7" cm="1">
        <f t="array" aca="1" ref="AC53" ca="1">CELL("protect",E53)</f>
        <v>1</v>
      </c>
      <c r="AD53" s="7" cm="1">
        <f t="array" aca="1" ref="AD53" ca="1">CELL("protect",F53)</f>
        <v>1</v>
      </c>
      <c r="AE53" s="7" cm="1">
        <f t="array" aca="1" ref="AE53" ca="1">CELL("protect",G53)</f>
        <v>1</v>
      </c>
      <c r="AF53" s="7" cm="1">
        <f t="array" aca="1" ref="AF53" ca="1">CELL("protect",H53)</f>
        <v>1</v>
      </c>
      <c r="AG53" s="7" cm="1">
        <f t="array" aca="1" ref="AG53" ca="1">CELL("protect",I53)</f>
        <v>1</v>
      </c>
      <c r="AH53" s="7" cm="1">
        <f t="array" aca="1" ref="AH53" ca="1">CELL("protect",J53)</f>
        <v>1</v>
      </c>
      <c r="AI53" s="7" cm="1">
        <f t="array" aca="1" ref="AI53" ca="1">CELL("protect",K53)</f>
        <v>1</v>
      </c>
      <c r="AJ53" s="7" cm="1">
        <f t="array" aca="1" ref="AJ53" ca="1">CELL("protect",L53)</f>
        <v>1</v>
      </c>
      <c r="AK53" s="7"/>
      <c r="AL53" s="7"/>
      <c r="AM53" s="7"/>
    </row>
    <row r="54" spans="1:39" x14ac:dyDescent="0.25">
      <c r="A54" s="129">
        <f>ROW()</f>
        <v>54</v>
      </c>
      <c r="B54" s="183" t="s">
        <v>1050</v>
      </c>
      <c r="G54" s="352"/>
      <c r="H54" s="352"/>
      <c r="I54" s="352"/>
      <c r="J54" s="352"/>
      <c r="K54" s="352"/>
      <c r="L54" s="352"/>
      <c r="Y54" s="7" cm="1">
        <f t="array" aca="1" ref="Y54" ca="1">CELL("protect",A54)</f>
        <v>1</v>
      </c>
      <c r="Z54" s="7" cm="1">
        <f t="array" aca="1" ref="Z54" ca="1">CELL("protect",B54)</f>
        <v>1</v>
      </c>
      <c r="AA54" s="7" cm="1">
        <f t="array" aca="1" ref="AA54" ca="1">CELL("protect",C54)</f>
        <v>1</v>
      </c>
      <c r="AB54" s="7" cm="1">
        <f t="array" aca="1" ref="AB54" ca="1">CELL("protect",D54)</f>
        <v>1</v>
      </c>
      <c r="AC54" s="7" cm="1">
        <f t="array" aca="1" ref="AC54" ca="1">CELL("protect",E54)</f>
        <v>1</v>
      </c>
      <c r="AD54" s="7" cm="1">
        <f t="array" aca="1" ref="AD54" ca="1">CELL("protect",F54)</f>
        <v>1</v>
      </c>
      <c r="AE54" s="7" cm="1">
        <f t="array" aca="1" ref="AE54" ca="1">CELL("protect",G54)</f>
        <v>1</v>
      </c>
      <c r="AF54" s="7" cm="1">
        <f t="array" aca="1" ref="AF54" ca="1">CELL("protect",H54)</f>
        <v>1</v>
      </c>
      <c r="AG54" s="7" cm="1">
        <f t="array" aca="1" ref="AG54" ca="1">CELL("protect",I54)</f>
        <v>1</v>
      </c>
      <c r="AH54" s="7" cm="1">
        <f t="array" aca="1" ref="AH54" ca="1">CELL("protect",J54)</f>
        <v>1</v>
      </c>
      <c r="AI54" s="7" cm="1">
        <f t="array" aca="1" ref="AI54" ca="1">CELL("protect",K54)</f>
        <v>1</v>
      </c>
      <c r="AJ54" s="7" cm="1">
        <f t="array" aca="1" ref="AJ54" ca="1">CELL("protect",L54)</f>
        <v>1</v>
      </c>
      <c r="AK54" s="7"/>
      <c r="AL54" s="7"/>
      <c r="AM54" s="7"/>
    </row>
    <row r="55" spans="1:39" x14ac:dyDescent="0.25">
      <c r="A55" s="129">
        <f>ROW()</f>
        <v>55</v>
      </c>
      <c r="Y55" s="7" cm="1">
        <f t="array" aca="1" ref="Y55" ca="1">CELL("protect",A55)</f>
        <v>1</v>
      </c>
      <c r="Z55" s="7" cm="1">
        <f t="array" aca="1" ref="Z55" ca="1">CELL("protect",B55)</f>
        <v>1</v>
      </c>
      <c r="AA55" s="7" cm="1">
        <f t="array" aca="1" ref="AA55" ca="1">CELL("protect",C55)</f>
        <v>1</v>
      </c>
      <c r="AB55" s="7" cm="1">
        <f t="array" aca="1" ref="AB55" ca="1">CELL("protect",D55)</f>
        <v>1</v>
      </c>
      <c r="AC55" s="7" cm="1">
        <f t="array" aca="1" ref="AC55" ca="1">CELL("protect",E55)</f>
        <v>1</v>
      </c>
      <c r="AD55" s="7" cm="1">
        <f t="array" aca="1" ref="AD55" ca="1">CELL("protect",F55)</f>
        <v>1</v>
      </c>
      <c r="AE55" s="7" cm="1">
        <f t="array" aca="1" ref="AE55" ca="1">CELL("protect",G55)</f>
        <v>1</v>
      </c>
      <c r="AF55" s="7" cm="1">
        <f t="array" aca="1" ref="AF55" ca="1">CELL("protect",H55)</f>
        <v>1</v>
      </c>
      <c r="AG55" s="7" cm="1">
        <f t="array" aca="1" ref="AG55" ca="1">CELL("protect",I55)</f>
        <v>1</v>
      </c>
      <c r="AH55" s="7" cm="1">
        <f t="array" aca="1" ref="AH55" ca="1">CELL("protect",J55)</f>
        <v>1</v>
      </c>
      <c r="AI55" s="7" cm="1">
        <f t="array" aca="1" ref="AI55" ca="1">CELL("protect",K55)</f>
        <v>1</v>
      </c>
      <c r="AJ55" s="7" cm="1">
        <f t="array" aca="1" ref="AJ55" ca="1">CELL("protect",L55)</f>
        <v>1</v>
      </c>
      <c r="AK55" s="7"/>
      <c r="AL55" s="7"/>
      <c r="AM55" s="7"/>
    </row>
    <row r="56" spans="1:39" x14ac:dyDescent="0.25">
      <c r="A56" s="129">
        <f>ROW()</f>
        <v>56</v>
      </c>
    </row>
    <row r="57" spans="1:39" x14ac:dyDescent="0.25">
      <c r="A57" s="129">
        <f>ROW()</f>
        <v>57</v>
      </c>
    </row>
    <row r="58" spans="1:39" x14ac:dyDescent="0.25">
      <c r="A58" s="129">
        <f>ROW()</f>
        <v>58</v>
      </c>
    </row>
    <row r="59" spans="1:39" x14ac:dyDescent="0.25">
      <c r="A59" s="129">
        <f>ROW()</f>
        <v>59</v>
      </c>
    </row>
    <row r="60" spans="1:39" x14ac:dyDescent="0.25">
      <c r="A60" s="129">
        <f>ROW()</f>
        <v>60</v>
      </c>
    </row>
    <row r="61" spans="1:39" x14ac:dyDescent="0.25">
      <c r="A61" s="129">
        <f>ROW()</f>
        <v>61</v>
      </c>
    </row>
    <row r="62" spans="1:39" x14ac:dyDescent="0.25">
      <c r="A62" s="129">
        <f>ROW()</f>
        <v>62</v>
      </c>
    </row>
    <row r="63" spans="1:39" x14ac:dyDescent="0.25">
      <c r="A63" s="129">
        <f>ROW()</f>
        <v>63</v>
      </c>
    </row>
    <row r="64" spans="1:39" x14ac:dyDescent="0.25">
      <c r="A64" s="129">
        <f>ROW()</f>
        <v>64</v>
      </c>
    </row>
    <row r="65" spans="1:1" x14ac:dyDescent="0.25">
      <c r="A65" s="129">
        <f>ROW()</f>
        <v>65</v>
      </c>
    </row>
    <row r="66" spans="1:1" x14ac:dyDescent="0.25">
      <c r="A66" s="129">
        <f>ROW()</f>
        <v>66</v>
      </c>
    </row>
    <row r="67" spans="1:1" x14ac:dyDescent="0.25">
      <c r="A67" s="129">
        <f>ROW()</f>
        <v>67</v>
      </c>
    </row>
    <row r="68" spans="1:1" x14ac:dyDescent="0.25">
      <c r="A68" s="129">
        <f>ROW()</f>
        <v>68</v>
      </c>
    </row>
    <row r="69" spans="1:1" x14ac:dyDescent="0.25">
      <c r="A69" s="129">
        <f>ROW()</f>
        <v>69</v>
      </c>
    </row>
    <row r="70" spans="1:1" x14ac:dyDescent="0.25">
      <c r="A70" s="129">
        <f>ROW()</f>
        <v>70</v>
      </c>
    </row>
    <row r="71" spans="1:1" x14ac:dyDescent="0.25">
      <c r="A71" s="129">
        <f>ROW()</f>
        <v>71</v>
      </c>
    </row>
    <row r="72" spans="1:1" x14ac:dyDescent="0.25">
      <c r="A72" s="129">
        <f>ROW()</f>
        <v>72</v>
      </c>
    </row>
    <row r="73" spans="1:1" x14ac:dyDescent="0.25">
      <c r="A73" s="129">
        <f>ROW()</f>
        <v>73</v>
      </c>
    </row>
    <row r="74" spans="1:1" x14ac:dyDescent="0.25">
      <c r="A74" s="129">
        <f>ROW()</f>
        <v>74</v>
      </c>
    </row>
    <row r="75" spans="1:1" x14ac:dyDescent="0.25">
      <c r="A75" s="129">
        <f>ROW()</f>
        <v>75</v>
      </c>
    </row>
    <row r="76" spans="1:1" x14ac:dyDescent="0.25">
      <c r="A76" s="129">
        <f>ROW()</f>
        <v>76</v>
      </c>
    </row>
    <row r="77" spans="1:1" x14ac:dyDescent="0.25">
      <c r="A77" s="129">
        <f>ROW()</f>
        <v>77</v>
      </c>
    </row>
    <row r="78" spans="1:1" x14ac:dyDescent="0.25">
      <c r="A78" s="129">
        <f>ROW()</f>
        <v>78</v>
      </c>
    </row>
    <row r="79" spans="1:1" x14ac:dyDescent="0.25">
      <c r="A79" s="129">
        <f>ROW()</f>
        <v>79</v>
      </c>
    </row>
    <row r="80" spans="1:1" x14ac:dyDescent="0.25">
      <c r="A80" s="129">
        <f>ROW()</f>
        <v>80</v>
      </c>
    </row>
    <row r="81" spans="1:1" x14ac:dyDescent="0.25">
      <c r="A81" s="129">
        <f>ROW()</f>
        <v>81</v>
      </c>
    </row>
    <row r="82" spans="1:1" x14ac:dyDescent="0.25">
      <c r="A82" s="129">
        <f>ROW()</f>
        <v>82</v>
      </c>
    </row>
    <row r="83" spans="1:1" x14ac:dyDescent="0.25">
      <c r="A83" s="129">
        <f>ROW()</f>
        <v>83</v>
      </c>
    </row>
    <row r="84" spans="1:1" x14ac:dyDescent="0.25">
      <c r="A84" s="129">
        <f>ROW()</f>
        <v>84</v>
      </c>
    </row>
    <row r="85" spans="1:1" x14ac:dyDescent="0.25">
      <c r="A85" s="129">
        <f>ROW()</f>
        <v>85</v>
      </c>
    </row>
    <row r="86" spans="1:1" x14ac:dyDescent="0.25">
      <c r="A86" s="129">
        <f>ROW()</f>
        <v>86</v>
      </c>
    </row>
    <row r="87" spans="1:1" x14ac:dyDescent="0.25">
      <c r="A87" s="129">
        <f>ROW()</f>
        <v>87</v>
      </c>
    </row>
    <row r="88" spans="1:1" x14ac:dyDescent="0.25">
      <c r="A88" s="129">
        <f>ROW()</f>
        <v>88</v>
      </c>
    </row>
    <row r="89" spans="1:1" x14ac:dyDescent="0.25">
      <c r="A89" s="129">
        <f>ROW()</f>
        <v>89</v>
      </c>
    </row>
    <row r="90" spans="1:1" x14ac:dyDescent="0.25">
      <c r="A90" s="129">
        <f>ROW()</f>
        <v>90</v>
      </c>
    </row>
    <row r="91" spans="1:1" x14ac:dyDescent="0.25">
      <c r="A91" s="129">
        <f>ROW()</f>
        <v>91</v>
      </c>
    </row>
    <row r="92" spans="1:1" x14ac:dyDescent="0.25">
      <c r="A92" s="129">
        <f>ROW()</f>
        <v>92</v>
      </c>
    </row>
    <row r="93" spans="1:1" x14ac:dyDescent="0.25">
      <c r="A93" s="129">
        <f>ROW()</f>
        <v>93</v>
      </c>
    </row>
    <row r="94" spans="1:1" x14ac:dyDescent="0.25">
      <c r="A94" s="129">
        <f>ROW()</f>
        <v>94</v>
      </c>
    </row>
    <row r="95" spans="1:1" x14ac:dyDescent="0.25">
      <c r="A95" s="129">
        <f>ROW()</f>
        <v>95</v>
      </c>
    </row>
    <row r="96" spans="1:1" x14ac:dyDescent="0.25">
      <c r="A96" s="129">
        <f>ROW()</f>
        <v>96</v>
      </c>
    </row>
    <row r="97" spans="1:1" x14ac:dyDescent="0.25">
      <c r="A97" s="129">
        <f>ROW()</f>
        <v>97</v>
      </c>
    </row>
    <row r="98" spans="1:1" x14ac:dyDescent="0.25">
      <c r="A98" s="129">
        <f>ROW()</f>
        <v>98</v>
      </c>
    </row>
    <row r="99" spans="1:1" x14ac:dyDescent="0.25">
      <c r="A99" s="129">
        <f>ROW()</f>
        <v>99</v>
      </c>
    </row>
    <row r="100" spans="1:1" x14ac:dyDescent="0.25">
      <c r="A100" s="129">
        <f>ROW()</f>
        <v>100</v>
      </c>
    </row>
  </sheetData>
  <sheetProtection algorithmName="SHA-512" hashValue="yVQQoY3COz8bk1ezp1HlvQpxCJDkOlQPIIh0qhqO0jLrz1/fZnT4X0d5o1KWHVqL8KlFgocRudHVsOwqLqDJzg==" saltValue="dMLd97ssJQQulYgyHJH/+A==" spinCount="100000" sheet="1" objects="1" scenarios="1"/>
  <conditionalFormatting sqref="C1">
    <cfRule type="expression" dxfId="16" priority="4" stopIfTrue="1">
      <formula>MOD(ROW(),2)=0</formula>
    </cfRule>
  </conditionalFormatting>
  <conditionalFormatting sqref="Y1:AM55">
    <cfRule type="cellIs" dxfId="15" priority="3" stopIfTrue="1" operator="equal">
      <formula>0</formula>
    </cfRule>
  </conditionalFormatting>
  <hyperlinks>
    <hyperlink ref="C1" location="HypLink1" display="HypLink1" xr:uid="{AC32C744-B1F5-4D26-8E2F-8A9254C786B3}"/>
  </hyperlinks>
  <pageMargins left="0.25" right="0.25" top="0.5" bottom="0.45" header="0.25" footer="0.25"/>
  <pageSetup scale="72" fitToHeight="0" orientation="landscape" r:id="rId1"/>
  <headerFooter>
    <oddHeader xml:space="preserve">&amp;L &amp;C &amp;R </oddHeader>
    <oddFooter>&amp;L&amp;7&amp;D  at &amp;T Mike 702.486.8879&amp;C&amp;7&amp;F  &amp;A&amp;R&amp;7Page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00"/>
  </sheetPr>
  <dimension ref="A1:P47"/>
  <sheetViews>
    <sheetView workbookViewId="0">
      <selection activeCell="E67" sqref="E67"/>
    </sheetView>
  </sheetViews>
  <sheetFormatPr defaultColWidth="8.7109375" defaultRowHeight="15" x14ac:dyDescent="0.25"/>
  <cols>
    <col min="1" max="1" width="6.7109375" style="33" bestFit="1" customWidth="1"/>
    <col min="2" max="2" width="29.28515625" style="33" customWidth="1"/>
    <col min="3" max="3" width="12.5703125" style="33" customWidth="1"/>
    <col min="4" max="4" width="9.42578125" style="33" customWidth="1"/>
    <col min="5" max="5" width="7.28515625" style="33" customWidth="1"/>
    <col min="6" max="6" width="10.42578125" style="33" customWidth="1"/>
    <col min="7" max="7" width="11" style="33" customWidth="1"/>
    <col min="8" max="14" width="14.7109375" style="33" customWidth="1"/>
    <col min="15" max="15" width="3.42578125" style="33" customWidth="1"/>
    <col min="16" max="16" width="76.5703125" style="307" customWidth="1"/>
    <col min="17" max="18" width="10.5703125" style="33" bestFit="1" customWidth="1"/>
    <col min="19" max="19" width="20.28515625" style="33" customWidth="1"/>
    <col min="20" max="16384" width="8.7109375" style="33"/>
  </cols>
  <sheetData>
    <row r="1" spans="1:16" ht="24" customHeight="1" x14ac:dyDescent="0.25">
      <c r="A1" s="1793" t="s">
        <v>1051</v>
      </c>
      <c r="B1" s="1793"/>
      <c r="C1" s="1793"/>
      <c r="D1" s="1793"/>
      <c r="E1" s="65"/>
      <c r="F1" s="260"/>
      <c r="G1" s="408" t="s">
        <v>3</v>
      </c>
    </row>
    <row r="2" spans="1:16" ht="15.75" x14ac:dyDescent="0.25">
      <c r="A2" s="114" t="str">
        <f>SchoolName</f>
        <v>Odyssey Charter School</v>
      </c>
      <c r="B2" s="115"/>
      <c r="C2" s="114"/>
      <c r="D2" s="115"/>
      <c r="E2" s="65"/>
      <c r="F2" s="32"/>
    </row>
    <row r="3" spans="1:16" x14ac:dyDescent="0.25">
      <c r="A3" s="39" t="s">
        <v>80</v>
      </c>
    </row>
    <row r="4" spans="1:16" x14ac:dyDescent="0.25">
      <c r="A4" s="40" t="s">
        <v>81</v>
      </c>
    </row>
    <row r="5" spans="1:16" x14ac:dyDescent="0.25">
      <c r="A5" s="30" t="str">
        <f ca="1">CELL("filename")</f>
        <v>\\lvraiders\users\sguthrie\Documents\Charter\Change of Sponsorship\[240126-SPCSA-Odyssey Charter School Application Workbook-AS-IS-Original Version.xlsx]Instructions</v>
      </c>
    </row>
    <row r="7" spans="1:16" x14ac:dyDescent="0.25">
      <c r="A7" s="64"/>
      <c r="B7" s="31"/>
    </row>
    <row r="8" spans="1:16" x14ac:dyDescent="0.25">
      <c r="A8" s="64"/>
      <c r="B8" s="31"/>
    </row>
    <row r="9" spans="1:16" x14ac:dyDescent="0.25">
      <c r="A9" s="64"/>
      <c r="B9" s="31"/>
    </row>
    <row r="10" spans="1:16" x14ac:dyDescent="0.25">
      <c r="A10" s="64"/>
      <c r="H10" s="889"/>
      <c r="I10" s="889" t="s">
        <v>1052</v>
      </c>
      <c r="J10" s="890"/>
      <c r="K10" s="890"/>
      <c r="L10" s="890"/>
      <c r="M10" s="890"/>
      <c r="N10" s="891"/>
      <c r="P10" s="1365" t="s">
        <v>103</v>
      </c>
    </row>
    <row r="11" spans="1:16" x14ac:dyDescent="0.25">
      <c r="A11" s="64"/>
      <c r="H11" s="1639">
        <v>0</v>
      </c>
      <c r="I11" s="727" t="s">
        <v>806</v>
      </c>
      <c r="J11" s="892" t="s">
        <v>807</v>
      </c>
      <c r="K11" s="892" t="s">
        <v>808</v>
      </c>
      <c r="L11" s="892" t="s">
        <v>809</v>
      </c>
      <c r="M11" s="892" t="s">
        <v>810</v>
      </c>
      <c r="N11" s="893" t="s">
        <v>811</v>
      </c>
      <c r="P11" s="462"/>
    </row>
    <row r="12" spans="1:16" ht="15.75" x14ac:dyDescent="0.25">
      <c r="A12" s="480"/>
      <c r="F12" s="66"/>
      <c r="G12" s="66"/>
      <c r="H12" s="894">
        <f>+I12-1</f>
        <v>2024</v>
      </c>
      <c r="I12" s="895">
        <f>Cover!E11</f>
        <v>2025</v>
      </c>
      <c r="J12" s="896">
        <f>+I13</f>
        <v>2026</v>
      </c>
      <c r="K12" s="896">
        <f>+J13</f>
        <v>2027</v>
      </c>
      <c r="L12" s="896">
        <f>+K13</f>
        <v>2028</v>
      </c>
      <c r="M12" s="896">
        <f>+L13</f>
        <v>2029</v>
      </c>
      <c r="N12" s="897">
        <f>+M13</f>
        <v>2030</v>
      </c>
      <c r="P12" s="343"/>
    </row>
    <row r="13" spans="1:16" ht="15.75" x14ac:dyDescent="0.25">
      <c r="A13" s="480"/>
      <c r="F13" s="67"/>
      <c r="G13" s="67"/>
      <c r="H13" s="754">
        <f>+I13-1</f>
        <v>2025</v>
      </c>
      <c r="I13" s="754">
        <f t="shared" ref="I13:N13" si="0">+I12+1</f>
        <v>2026</v>
      </c>
      <c r="J13" s="755">
        <f t="shared" si="0"/>
        <v>2027</v>
      </c>
      <c r="K13" s="755">
        <f t="shared" si="0"/>
        <v>2028</v>
      </c>
      <c r="L13" s="755">
        <f t="shared" si="0"/>
        <v>2029</v>
      </c>
      <c r="M13" s="755">
        <f t="shared" si="0"/>
        <v>2030</v>
      </c>
      <c r="N13" s="756">
        <f t="shared" si="0"/>
        <v>2031</v>
      </c>
      <c r="P13" s="343"/>
    </row>
    <row r="14" spans="1:16" ht="18.75" x14ac:dyDescent="0.3">
      <c r="A14" s="480">
        <f>ROW()</f>
        <v>14</v>
      </c>
      <c r="B14" s="78" t="s">
        <v>296</v>
      </c>
      <c r="C14" s="1640"/>
      <c r="F14" s="66"/>
      <c r="G14" s="66"/>
      <c r="H14" s="245"/>
      <c r="I14" s="246"/>
      <c r="J14" s="246"/>
      <c r="K14" s="246"/>
      <c r="L14" s="246"/>
      <c r="M14" s="246"/>
      <c r="N14" s="246"/>
      <c r="P14" s="343"/>
    </row>
    <row r="15" spans="1:16" x14ac:dyDescent="0.25">
      <c r="A15" s="480">
        <f>ROW()</f>
        <v>15</v>
      </c>
      <c r="B15" s="33" t="s">
        <v>297</v>
      </c>
      <c r="C15" s="99"/>
      <c r="H15" s="888">
        <v>0</v>
      </c>
      <c r="I15" s="494">
        <f t="shared" ref="I15:N15" si="1">COUNTIF(I18:I30,"&gt;0")</f>
        <v>13</v>
      </c>
      <c r="J15" s="494">
        <f t="shared" si="1"/>
        <v>13</v>
      </c>
      <c r="K15" s="494">
        <f t="shared" si="1"/>
        <v>13</v>
      </c>
      <c r="L15" s="494">
        <f t="shared" si="1"/>
        <v>13</v>
      </c>
      <c r="M15" s="494">
        <f t="shared" si="1"/>
        <v>13</v>
      </c>
      <c r="N15" s="494">
        <f t="shared" si="1"/>
        <v>13</v>
      </c>
      <c r="P15" s="343"/>
    </row>
    <row r="16" spans="1:16" x14ac:dyDescent="0.25">
      <c r="A16" s="480">
        <f>ROW()</f>
        <v>16</v>
      </c>
      <c r="B16" s="63" t="s">
        <v>298</v>
      </c>
      <c r="C16" s="1641"/>
      <c r="D16" s="63"/>
      <c r="E16" s="63"/>
      <c r="F16" s="63"/>
      <c r="G16" s="63"/>
      <c r="H16" s="838">
        <v>0</v>
      </c>
      <c r="I16" s="494">
        <f>+' Enrol &amp; Rev'!G19</f>
        <v>0</v>
      </c>
      <c r="J16" s="494">
        <f>+' Enrol &amp; Rev'!H19</f>
        <v>0</v>
      </c>
      <c r="K16" s="494">
        <f>+' Enrol &amp; Rev'!I19</f>
        <v>0</v>
      </c>
      <c r="L16" s="494">
        <f>+' Enrol &amp; Rev'!J19</f>
        <v>0</v>
      </c>
      <c r="M16" s="494">
        <f>+' Enrol &amp; Rev'!K19</f>
        <v>0</v>
      </c>
      <c r="N16" s="494">
        <f>+' Enrol &amp; Rev'!L19</f>
        <v>0</v>
      </c>
      <c r="P16" s="343"/>
    </row>
    <row r="17" spans="1:16" x14ac:dyDescent="0.25">
      <c r="A17" s="480">
        <f>ROW()</f>
        <v>17</v>
      </c>
      <c r="B17" s="41"/>
      <c r="C17" s="1209"/>
      <c r="D17" s="306"/>
      <c r="E17" s="306"/>
      <c r="F17" s="259"/>
      <c r="G17" s="259"/>
      <c r="H17" s="259"/>
      <c r="I17" s="259"/>
      <c r="J17" s="259"/>
      <c r="K17" s="259"/>
      <c r="L17" s="259"/>
      <c r="M17" s="259"/>
      <c r="N17" s="259"/>
      <c r="P17" s="343"/>
    </row>
    <row r="18" spans="1:16" x14ac:dyDescent="0.25">
      <c r="A18" s="480">
        <f>ROW()</f>
        <v>18</v>
      </c>
      <c r="B18" s="143" t="s">
        <v>299</v>
      </c>
      <c r="C18" s="68"/>
      <c r="D18" s="41"/>
      <c r="E18" s="41"/>
      <c r="H18" s="835"/>
      <c r="I18" s="601">
        <f>+'Mkt Res'!E14</f>
        <v>48.12</v>
      </c>
      <c r="J18" s="601">
        <f>+'Mkt Res'!F14</f>
        <v>48.12</v>
      </c>
      <c r="K18" s="601">
        <f>+'Mkt Res'!G14</f>
        <v>48.12</v>
      </c>
      <c r="L18" s="601">
        <f>+'Mkt Res'!H14</f>
        <v>48.12</v>
      </c>
      <c r="M18" s="601">
        <f>+'Mkt Res'!I14</f>
        <v>48.12</v>
      </c>
      <c r="N18" s="601">
        <f>+'Mkt Res'!J14</f>
        <v>48.12</v>
      </c>
      <c r="P18" s="343"/>
    </row>
    <row r="19" spans="1:16" x14ac:dyDescent="0.25">
      <c r="A19" s="480">
        <f>ROW()</f>
        <v>19</v>
      </c>
      <c r="B19" s="70" t="s">
        <v>300</v>
      </c>
      <c r="C19" s="71"/>
      <c r="D19" s="70"/>
      <c r="E19" s="70"/>
      <c r="F19" s="72"/>
      <c r="G19" s="72"/>
      <c r="H19" s="836"/>
      <c r="I19" s="600">
        <f>+'Mkt Res'!E15</f>
        <v>43.88</v>
      </c>
      <c r="J19" s="600">
        <f>+'Mkt Res'!F15</f>
        <v>43.88</v>
      </c>
      <c r="K19" s="600">
        <f>+'Mkt Res'!G15</f>
        <v>43.88</v>
      </c>
      <c r="L19" s="600">
        <f>+'Mkt Res'!H15</f>
        <v>43.88</v>
      </c>
      <c r="M19" s="600">
        <f>+'Mkt Res'!I15</f>
        <v>43.88</v>
      </c>
      <c r="N19" s="600">
        <f>+'Mkt Res'!J15</f>
        <v>43.88</v>
      </c>
      <c r="P19" s="343"/>
    </row>
    <row r="20" spans="1:16" x14ac:dyDescent="0.25">
      <c r="A20" s="480">
        <f>ROW()</f>
        <v>20</v>
      </c>
      <c r="B20" s="70" t="s">
        <v>301</v>
      </c>
      <c r="C20" s="71"/>
      <c r="D20" s="70"/>
      <c r="E20" s="70"/>
      <c r="F20" s="72"/>
      <c r="G20" s="72"/>
      <c r="H20" s="836"/>
      <c r="I20" s="600">
        <f>+'Mkt Res'!E16</f>
        <v>53.08</v>
      </c>
      <c r="J20" s="600">
        <f>+'Mkt Res'!F16</f>
        <v>53.08</v>
      </c>
      <c r="K20" s="600">
        <f>+'Mkt Res'!G16</f>
        <v>53.08</v>
      </c>
      <c r="L20" s="600">
        <f>+'Mkt Res'!H16</f>
        <v>53.08</v>
      </c>
      <c r="M20" s="600">
        <f>+'Mkt Res'!I16</f>
        <v>53.08</v>
      </c>
      <c r="N20" s="600">
        <f>+'Mkt Res'!J16</f>
        <v>53.08</v>
      </c>
      <c r="P20" s="343"/>
    </row>
    <row r="21" spans="1:16" x14ac:dyDescent="0.25">
      <c r="A21" s="480">
        <f>ROW()</f>
        <v>21</v>
      </c>
      <c r="B21" s="70" t="s">
        <v>302</v>
      </c>
      <c r="C21" s="71"/>
      <c r="D21" s="70"/>
      <c r="E21" s="70"/>
      <c r="F21" s="72"/>
      <c r="G21" s="72"/>
      <c r="H21" s="836"/>
      <c r="I21" s="600">
        <f>+'Mkt Res'!E17</f>
        <v>60.61</v>
      </c>
      <c r="J21" s="600">
        <f>+'Mkt Res'!F17</f>
        <v>60.61</v>
      </c>
      <c r="K21" s="600">
        <f>+'Mkt Res'!G17</f>
        <v>60.61</v>
      </c>
      <c r="L21" s="600">
        <f>+'Mkt Res'!H17</f>
        <v>60.61</v>
      </c>
      <c r="M21" s="600">
        <f>+'Mkt Res'!I17</f>
        <v>60.61</v>
      </c>
      <c r="N21" s="600">
        <f>+'Mkt Res'!J17</f>
        <v>60.61</v>
      </c>
      <c r="P21" s="343"/>
    </row>
    <row r="22" spans="1:16" x14ac:dyDescent="0.25">
      <c r="A22" s="480">
        <f>ROW()</f>
        <v>22</v>
      </c>
      <c r="B22" s="70" t="s">
        <v>303</v>
      </c>
      <c r="C22" s="71"/>
      <c r="D22" s="70"/>
      <c r="E22" s="70"/>
      <c r="F22" s="72"/>
      <c r="G22" s="72"/>
      <c r="H22" s="836"/>
      <c r="I22" s="600">
        <f>+'Mkt Res'!E18</f>
        <v>72.260000000000005</v>
      </c>
      <c r="J22" s="600">
        <f>+'Mkt Res'!F18</f>
        <v>72.260000000000005</v>
      </c>
      <c r="K22" s="600">
        <f>+'Mkt Res'!G18</f>
        <v>72.260000000000005</v>
      </c>
      <c r="L22" s="600">
        <f>+'Mkt Res'!H18</f>
        <v>72.260000000000005</v>
      </c>
      <c r="M22" s="600">
        <f>+'Mkt Res'!I18</f>
        <v>72.260000000000005</v>
      </c>
      <c r="N22" s="600">
        <f>+'Mkt Res'!J18</f>
        <v>72.260000000000005</v>
      </c>
      <c r="P22" s="343"/>
    </row>
    <row r="23" spans="1:16" x14ac:dyDescent="0.25">
      <c r="A23" s="480">
        <f>ROW()</f>
        <v>23</v>
      </c>
      <c r="B23" s="70" t="s">
        <v>304</v>
      </c>
      <c r="C23" s="71"/>
      <c r="D23" s="70"/>
      <c r="E23" s="70"/>
      <c r="F23" s="72"/>
      <c r="G23" s="72"/>
      <c r="H23" s="836"/>
      <c r="I23" s="600">
        <f>+'Mkt Res'!E19</f>
        <v>75.150000000000006</v>
      </c>
      <c r="J23" s="600">
        <f>+'Mkt Res'!F19</f>
        <v>75.150000000000006</v>
      </c>
      <c r="K23" s="600">
        <f>+'Mkt Res'!G19</f>
        <v>75.150000000000006</v>
      </c>
      <c r="L23" s="600">
        <f>+'Mkt Res'!H19</f>
        <v>75.150000000000006</v>
      </c>
      <c r="M23" s="600">
        <f>+'Mkt Res'!I19</f>
        <v>75.150000000000006</v>
      </c>
      <c r="N23" s="600">
        <f>+'Mkt Res'!J19</f>
        <v>75.150000000000006</v>
      </c>
      <c r="P23" s="343"/>
    </row>
    <row r="24" spans="1:16" x14ac:dyDescent="0.25">
      <c r="A24" s="480">
        <f>ROW()</f>
        <v>24</v>
      </c>
      <c r="B24" s="70" t="s">
        <v>305</v>
      </c>
      <c r="C24" s="71"/>
      <c r="D24" s="70"/>
      <c r="E24" s="70"/>
      <c r="F24" s="72"/>
      <c r="G24" s="72"/>
      <c r="H24" s="836"/>
      <c r="I24" s="600">
        <f>+'Mkt Res'!E20</f>
        <v>164.84</v>
      </c>
      <c r="J24" s="600">
        <f>+'Mkt Res'!F20</f>
        <v>164.84</v>
      </c>
      <c r="K24" s="600">
        <f>+'Mkt Res'!G20</f>
        <v>164.84</v>
      </c>
      <c r="L24" s="600">
        <f>+'Mkt Res'!H20</f>
        <v>164.84</v>
      </c>
      <c r="M24" s="600">
        <f>+'Mkt Res'!I20</f>
        <v>164.84</v>
      </c>
      <c r="N24" s="600">
        <f>+'Mkt Res'!J20</f>
        <v>164.84</v>
      </c>
      <c r="P24" s="343"/>
    </row>
    <row r="25" spans="1:16" x14ac:dyDescent="0.25">
      <c r="A25" s="480">
        <f>ROW()</f>
        <v>25</v>
      </c>
      <c r="B25" s="70" t="s">
        <v>306</v>
      </c>
      <c r="C25" s="71"/>
      <c r="D25" s="70"/>
      <c r="E25" s="70"/>
      <c r="F25" s="72"/>
      <c r="G25" s="72"/>
      <c r="H25" s="836"/>
      <c r="I25" s="600">
        <f>+'Mkt Res'!E21</f>
        <v>218.49</v>
      </c>
      <c r="J25" s="600">
        <f>+'Mkt Res'!F21</f>
        <v>218.49</v>
      </c>
      <c r="K25" s="600">
        <f>+'Mkt Res'!G21</f>
        <v>218.49</v>
      </c>
      <c r="L25" s="600">
        <f>+'Mkt Res'!H21</f>
        <v>218.49</v>
      </c>
      <c r="M25" s="600">
        <f>+'Mkt Res'!I21</f>
        <v>218.49</v>
      </c>
      <c r="N25" s="600">
        <f>+'Mkt Res'!J21</f>
        <v>218.49</v>
      </c>
      <c r="P25" s="343"/>
    </row>
    <row r="26" spans="1:16" x14ac:dyDescent="0.25">
      <c r="A26" s="480">
        <f>ROW()</f>
        <v>26</v>
      </c>
      <c r="B26" s="70" t="s">
        <v>307</v>
      </c>
      <c r="C26" s="71"/>
      <c r="D26" s="70"/>
      <c r="E26" s="70"/>
      <c r="F26" s="72"/>
      <c r="G26" s="72"/>
      <c r="H26" s="836"/>
      <c r="I26" s="600">
        <f>+'Mkt Res'!E22</f>
        <v>220.76</v>
      </c>
      <c r="J26" s="600">
        <f>+'Mkt Res'!F22</f>
        <v>220.76</v>
      </c>
      <c r="K26" s="600">
        <f>+'Mkt Res'!G22</f>
        <v>220.76</v>
      </c>
      <c r="L26" s="600">
        <f>+'Mkt Res'!H22</f>
        <v>220.76</v>
      </c>
      <c r="M26" s="600">
        <f>+'Mkt Res'!I22</f>
        <v>220.76</v>
      </c>
      <c r="N26" s="600">
        <f>+'Mkt Res'!J22</f>
        <v>220.76</v>
      </c>
      <c r="P26" s="343"/>
    </row>
    <row r="27" spans="1:16" x14ac:dyDescent="0.25">
      <c r="A27" s="480">
        <f>ROW()</f>
        <v>27</v>
      </c>
      <c r="B27" s="70" t="s">
        <v>308</v>
      </c>
      <c r="C27" s="71"/>
      <c r="D27" s="70"/>
      <c r="E27" s="70"/>
      <c r="F27" s="72"/>
      <c r="G27" s="72"/>
      <c r="H27" s="836"/>
      <c r="I27" s="600">
        <f>+'Mkt Res'!E23</f>
        <v>273.95999999999998</v>
      </c>
      <c r="J27" s="600">
        <f>+'Mkt Res'!F23</f>
        <v>273.95999999999998</v>
      </c>
      <c r="K27" s="600">
        <f>+'Mkt Res'!G23</f>
        <v>273.95999999999998</v>
      </c>
      <c r="L27" s="600">
        <f>+'Mkt Res'!H23</f>
        <v>273.95999999999998</v>
      </c>
      <c r="M27" s="600">
        <f>+'Mkt Res'!I23</f>
        <v>273.95999999999998</v>
      </c>
      <c r="N27" s="600">
        <f>+'Mkt Res'!J23</f>
        <v>273.95999999999998</v>
      </c>
      <c r="P27" s="343"/>
    </row>
    <row r="28" spans="1:16" x14ac:dyDescent="0.25">
      <c r="A28" s="480">
        <f>ROW()</f>
        <v>28</v>
      </c>
      <c r="B28" s="70" t="s">
        <v>309</v>
      </c>
      <c r="C28" s="71"/>
      <c r="D28" s="70"/>
      <c r="E28" s="70"/>
      <c r="F28" s="72"/>
      <c r="G28" s="72"/>
      <c r="H28" s="836"/>
      <c r="I28" s="600">
        <f>+'Mkt Res'!E24</f>
        <v>302.51</v>
      </c>
      <c r="J28" s="600">
        <f>+'Mkt Res'!F24</f>
        <v>302.51</v>
      </c>
      <c r="K28" s="600">
        <f>+'Mkt Res'!G24</f>
        <v>302.51</v>
      </c>
      <c r="L28" s="600">
        <f>+'Mkt Res'!H24</f>
        <v>302.51</v>
      </c>
      <c r="M28" s="600">
        <f>+'Mkt Res'!I24</f>
        <v>302.51</v>
      </c>
      <c r="N28" s="600">
        <f>+'Mkt Res'!J24</f>
        <v>302.51</v>
      </c>
      <c r="P28" s="343"/>
    </row>
    <row r="29" spans="1:16" x14ac:dyDescent="0.25">
      <c r="A29" s="480">
        <f>ROW()</f>
        <v>29</v>
      </c>
      <c r="B29" s="70" t="s">
        <v>310</v>
      </c>
      <c r="C29" s="71"/>
      <c r="D29" s="70"/>
      <c r="E29" s="70"/>
      <c r="F29" s="72"/>
      <c r="G29" s="72"/>
      <c r="H29" s="836"/>
      <c r="I29" s="600">
        <f>+'Mkt Res'!E25</f>
        <v>390.51</v>
      </c>
      <c r="J29" s="600">
        <f>+'Mkt Res'!F25</f>
        <v>390.51</v>
      </c>
      <c r="K29" s="600">
        <f>+'Mkt Res'!G25</f>
        <v>390.51</v>
      </c>
      <c r="L29" s="600">
        <f>+'Mkt Res'!H25</f>
        <v>390.51</v>
      </c>
      <c r="M29" s="600">
        <f>+'Mkt Res'!I25</f>
        <v>390.51</v>
      </c>
      <c r="N29" s="600">
        <f>+'Mkt Res'!J25</f>
        <v>390.51</v>
      </c>
      <c r="P29" s="343"/>
    </row>
    <row r="30" spans="1:16" x14ac:dyDescent="0.25">
      <c r="A30" s="480">
        <f>ROW()</f>
        <v>30</v>
      </c>
      <c r="B30" s="70" t="s">
        <v>311</v>
      </c>
      <c r="C30" s="71"/>
      <c r="D30" s="70"/>
      <c r="E30" s="70"/>
      <c r="F30" s="72"/>
      <c r="G30" s="63"/>
      <c r="H30" s="837"/>
      <c r="I30" s="602">
        <f>+'Mkt Res'!E26</f>
        <v>395.85</v>
      </c>
      <c r="J30" s="602">
        <f>+'Mkt Res'!F26</f>
        <v>395.85</v>
      </c>
      <c r="K30" s="602">
        <f>+'Mkt Res'!G26</f>
        <v>395.85</v>
      </c>
      <c r="L30" s="602">
        <f>+'Mkt Res'!H26</f>
        <v>395.85</v>
      </c>
      <c r="M30" s="602">
        <f>+'Mkt Res'!I26</f>
        <v>395.85</v>
      </c>
      <c r="N30" s="602">
        <f>+'Mkt Res'!J26</f>
        <v>395.85</v>
      </c>
      <c r="P30" s="343"/>
    </row>
    <row r="31" spans="1:16" x14ac:dyDescent="0.25">
      <c r="A31" s="480">
        <f>ROW()</f>
        <v>31</v>
      </c>
      <c r="B31" s="170" t="s">
        <v>312</v>
      </c>
      <c r="C31" s="1210"/>
      <c r="D31" s="1210"/>
      <c r="E31" s="1210"/>
      <c r="F31" s="1210"/>
      <c r="G31" s="74"/>
      <c r="H31" s="104"/>
      <c r="I31" s="181">
        <f t="shared" ref="I31:N31" si="2">SUM(I18:I30)</f>
        <v>2320.02</v>
      </c>
      <c r="J31" s="181">
        <f t="shared" si="2"/>
        <v>2320.02</v>
      </c>
      <c r="K31" s="181">
        <f t="shared" si="2"/>
        <v>2320.02</v>
      </c>
      <c r="L31" s="181">
        <f t="shared" si="2"/>
        <v>2320.02</v>
      </c>
      <c r="M31" s="181">
        <f t="shared" si="2"/>
        <v>2320.02</v>
      </c>
      <c r="N31" s="181">
        <f t="shared" si="2"/>
        <v>2320.02</v>
      </c>
      <c r="P31" s="343"/>
    </row>
    <row r="32" spans="1:16" x14ac:dyDescent="0.25">
      <c r="A32" s="480">
        <f>ROW()</f>
        <v>32</v>
      </c>
      <c r="B32" s="41" t="s">
        <v>313</v>
      </c>
      <c r="C32" s="41"/>
      <c r="D32" s="41"/>
      <c r="E32" s="41"/>
      <c r="H32" s="182"/>
      <c r="I32" s="124">
        <f>IFERROR(I31/I16,0)</f>
        <v>0</v>
      </c>
      <c r="J32" s="124">
        <f t="shared" ref="J32:N32" si="3">IFERROR(J31/J16,0)</f>
        <v>0</v>
      </c>
      <c r="K32" s="124">
        <f t="shared" si="3"/>
        <v>0</v>
      </c>
      <c r="L32" s="124">
        <f t="shared" si="3"/>
        <v>0</v>
      </c>
      <c r="M32" s="124">
        <f t="shared" si="3"/>
        <v>0</v>
      </c>
      <c r="N32" s="124">
        <f t="shared" si="3"/>
        <v>0</v>
      </c>
      <c r="P32" s="343"/>
    </row>
    <row r="33" spans="1:16" x14ac:dyDescent="0.25">
      <c r="A33" s="480">
        <f>ROW()</f>
        <v>33</v>
      </c>
      <c r="P33" s="343"/>
    </row>
    <row r="34" spans="1:16" ht="18.75" x14ac:dyDescent="0.3">
      <c r="A34" s="480">
        <f>ROW()</f>
        <v>34</v>
      </c>
      <c r="B34" s="1792" t="s">
        <v>1053</v>
      </c>
      <c r="C34" s="1792"/>
      <c r="D34" s="1792"/>
      <c r="E34" s="1792"/>
      <c r="F34" s="1792"/>
      <c r="G34" s="1458"/>
      <c r="H34" s="740">
        <f>+H11</f>
        <v>0</v>
      </c>
      <c r="I34" s="740" t="str">
        <f t="shared" ref="I34:N34" si="4">+I11</f>
        <v>SY 1</v>
      </c>
      <c r="J34" s="740" t="str">
        <f t="shared" si="4"/>
        <v>SY 2</v>
      </c>
      <c r="K34" s="740" t="str">
        <f t="shared" si="4"/>
        <v>SY 3</v>
      </c>
      <c r="L34" s="740" t="str">
        <f t="shared" si="4"/>
        <v>SY 4</v>
      </c>
      <c r="M34" s="740" t="str">
        <f t="shared" si="4"/>
        <v>SY 5</v>
      </c>
      <c r="N34" s="740" t="str">
        <f t="shared" si="4"/>
        <v>SY 6</v>
      </c>
      <c r="P34" s="343"/>
    </row>
    <row r="35" spans="1:16" x14ac:dyDescent="0.25">
      <c r="A35" s="480">
        <f>ROW()</f>
        <v>35</v>
      </c>
      <c r="B35" s="1459" t="s">
        <v>1054</v>
      </c>
      <c r="C35" s="1459" t="s">
        <v>1055</v>
      </c>
      <c r="D35" s="1459"/>
      <c r="E35" s="1459"/>
      <c r="F35" s="1459"/>
      <c r="G35" s="1460" t="s">
        <v>343</v>
      </c>
      <c r="H35" s="757">
        <f>H13</f>
        <v>2025</v>
      </c>
      <c r="I35" s="757">
        <f t="shared" ref="I35:N35" si="5">I13</f>
        <v>2026</v>
      </c>
      <c r="J35" s="757">
        <f t="shared" si="5"/>
        <v>2027</v>
      </c>
      <c r="K35" s="757">
        <f t="shared" si="5"/>
        <v>2028</v>
      </c>
      <c r="L35" s="757">
        <f t="shared" si="5"/>
        <v>2029</v>
      </c>
      <c r="M35" s="757">
        <f t="shared" si="5"/>
        <v>2030</v>
      </c>
      <c r="N35" s="757">
        <f t="shared" si="5"/>
        <v>2031</v>
      </c>
      <c r="P35" s="343"/>
    </row>
    <row r="36" spans="1:16" x14ac:dyDescent="0.25">
      <c r="A36" s="480">
        <f>ROW()</f>
        <v>36</v>
      </c>
      <c r="B36" s="609" t="s">
        <v>1545</v>
      </c>
      <c r="C36" s="609"/>
      <c r="D36" s="609"/>
      <c r="E36" s="609"/>
      <c r="F36" s="609"/>
      <c r="G36" s="1461">
        <f>SUM(H36:N36)</f>
        <v>1659000</v>
      </c>
      <c r="H36" s="261">
        <v>237000</v>
      </c>
      <c r="I36" s="261">
        <v>237000</v>
      </c>
      <c r="J36" s="261">
        <v>237000</v>
      </c>
      <c r="K36" s="261">
        <v>237000</v>
      </c>
      <c r="L36" s="261">
        <v>237000</v>
      </c>
      <c r="M36" s="261">
        <v>237000</v>
      </c>
      <c r="N36" s="261">
        <v>237000</v>
      </c>
      <c r="P36" s="343"/>
    </row>
    <row r="37" spans="1:16" x14ac:dyDescent="0.25">
      <c r="A37" s="480">
        <f>ROW()</f>
        <v>37</v>
      </c>
      <c r="B37" s="1653"/>
      <c r="C37" s="1653"/>
      <c r="D37" s="1653"/>
      <c r="E37" s="1653"/>
      <c r="F37" s="1653"/>
      <c r="G37" s="1462">
        <f t="shared" ref="G37:G43" si="6">SUM(H37:N37)</f>
        <v>0</v>
      </c>
      <c r="H37" s="262">
        <v>0</v>
      </c>
      <c r="I37" s="262">
        <v>0</v>
      </c>
      <c r="J37" s="262">
        <v>0</v>
      </c>
      <c r="K37" s="262">
        <v>0</v>
      </c>
      <c r="L37" s="262">
        <v>0</v>
      </c>
      <c r="M37" s="262">
        <v>0</v>
      </c>
      <c r="N37" s="262">
        <v>0</v>
      </c>
      <c r="P37" s="343"/>
    </row>
    <row r="38" spans="1:16" x14ac:dyDescent="0.25">
      <c r="A38" s="480">
        <f>ROW()</f>
        <v>38</v>
      </c>
      <c r="B38" s="1653"/>
      <c r="C38" s="1653"/>
      <c r="D38" s="1653"/>
      <c r="E38" s="1653"/>
      <c r="F38" s="1653"/>
      <c r="G38" s="1462">
        <f t="shared" si="6"/>
        <v>0</v>
      </c>
      <c r="H38" s="262">
        <v>0</v>
      </c>
      <c r="I38" s="262">
        <v>0</v>
      </c>
      <c r="J38" s="262">
        <v>0</v>
      </c>
      <c r="K38" s="262">
        <v>0</v>
      </c>
      <c r="L38" s="262">
        <v>0</v>
      </c>
      <c r="M38" s="262">
        <v>0</v>
      </c>
      <c r="N38" s="262">
        <v>0</v>
      </c>
      <c r="P38" s="343"/>
    </row>
    <row r="39" spans="1:16" x14ac:dyDescent="0.25">
      <c r="A39" s="480">
        <f>ROW()</f>
        <v>39</v>
      </c>
      <c r="B39" s="1653"/>
      <c r="C39" s="1653"/>
      <c r="D39" s="1653"/>
      <c r="E39" s="1653"/>
      <c r="F39" s="1653"/>
      <c r="G39" s="1462">
        <f t="shared" si="6"/>
        <v>0</v>
      </c>
      <c r="H39" s="262">
        <v>0</v>
      </c>
      <c r="I39" s="262">
        <v>0</v>
      </c>
      <c r="J39" s="262">
        <v>0</v>
      </c>
      <c r="K39" s="262">
        <v>0</v>
      </c>
      <c r="L39" s="262">
        <v>0</v>
      </c>
      <c r="M39" s="262">
        <v>0</v>
      </c>
      <c r="N39" s="262">
        <v>0</v>
      </c>
      <c r="P39" s="343"/>
    </row>
    <row r="40" spans="1:16" x14ac:dyDescent="0.25">
      <c r="A40" s="480">
        <f>ROW()</f>
        <v>40</v>
      </c>
      <c r="B40" s="1653"/>
      <c r="C40" s="1653"/>
      <c r="D40" s="1653"/>
      <c r="E40" s="1653"/>
      <c r="F40" s="1653"/>
      <c r="G40" s="1462">
        <f t="shared" si="6"/>
        <v>0</v>
      </c>
      <c r="H40" s="262">
        <v>0</v>
      </c>
      <c r="I40" s="262">
        <v>0</v>
      </c>
      <c r="J40" s="262">
        <v>0</v>
      </c>
      <c r="K40" s="262">
        <v>0</v>
      </c>
      <c r="L40" s="262">
        <v>0</v>
      </c>
      <c r="M40" s="262">
        <v>0</v>
      </c>
      <c r="N40" s="262">
        <v>0</v>
      </c>
      <c r="P40" s="343"/>
    </row>
    <row r="41" spans="1:16" x14ac:dyDescent="0.25">
      <c r="A41" s="480">
        <f>ROW()</f>
        <v>41</v>
      </c>
      <c r="B41" s="1653"/>
      <c r="C41" s="1653"/>
      <c r="D41" s="1653"/>
      <c r="E41" s="1653"/>
      <c r="F41" s="1653"/>
      <c r="G41" s="1462">
        <f t="shared" si="6"/>
        <v>0</v>
      </c>
      <c r="H41" s="262">
        <v>0</v>
      </c>
      <c r="I41" s="262">
        <v>0</v>
      </c>
      <c r="J41" s="262">
        <v>0</v>
      </c>
      <c r="K41" s="262">
        <v>0</v>
      </c>
      <c r="L41" s="262">
        <v>0</v>
      </c>
      <c r="M41" s="262">
        <v>0</v>
      </c>
      <c r="N41" s="262">
        <v>0</v>
      </c>
      <c r="P41" s="343"/>
    </row>
    <row r="42" spans="1:16" x14ac:dyDescent="0.25">
      <c r="A42" s="480">
        <f>ROW()</f>
        <v>42</v>
      </c>
      <c r="B42" s="1653"/>
      <c r="C42" s="1653"/>
      <c r="D42" s="1653"/>
      <c r="E42" s="1653"/>
      <c r="F42" s="1653"/>
      <c r="G42" s="1462">
        <f t="shared" si="6"/>
        <v>0</v>
      </c>
      <c r="H42" s="262">
        <v>0</v>
      </c>
      <c r="I42" s="262">
        <v>0</v>
      </c>
      <c r="J42" s="262">
        <v>0</v>
      </c>
      <c r="K42" s="262">
        <v>0</v>
      </c>
      <c r="L42" s="262">
        <v>0</v>
      </c>
      <c r="M42" s="262">
        <v>0</v>
      </c>
      <c r="N42" s="262">
        <v>0</v>
      </c>
      <c r="P42" s="343"/>
    </row>
    <row r="43" spans="1:16" x14ac:dyDescent="0.25">
      <c r="A43" s="480">
        <f>ROW()</f>
        <v>43</v>
      </c>
      <c r="B43" s="608"/>
      <c r="C43" s="608"/>
      <c r="D43" s="608"/>
      <c r="E43" s="608"/>
      <c r="F43" s="608"/>
      <c r="G43" s="1463">
        <f t="shared" si="6"/>
        <v>0</v>
      </c>
      <c r="H43" s="263">
        <v>0</v>
      </c>
      <c r="I43" s="263">
        <v>0</v>
      </c>
      <c r="J43" s="263">
        <v>0</v>
      </c>
      <c r="K43" s="263">
        <v>0</v>
      </c>
      <c r="L43" s="263">
        <v>0</v>
      </c>
      <c r="M43" s="263">
        <v>0</v>
      </c>
      <c r="N43" s="263">
        <v>0</v>
      </c>
      <c r="P43" s="343"/>
    </row>
    <row r="44" spans="1:16" x14ac:dyDescent="0.25">
      <c r="A44" s="480">
        <f>ROW()</f>
        <v>44</v>
      </c>
      <c r="B44" s="33" t="s">
        <v>1056</v>
      </c>
      <c r="C44" s="605"/>
      <c r="D44" s="605"/>
      <c r="G44" s="606">
        <f>SUM(H44:N44)</f>
        <v>1659000</v>
      </c>
      <c r="H44" s="607">
        <f t="shared" ref="H44:N44" si="7">SUM(H36:H43)</f>
        <v>237000</v>
      </c>
      <c r="I44" s="607">
        <f t="shared" si="7"/>
        <v>237000</v>
      </c>
      <c r="J44" s="607">
        <f t="shared" si="7"/>
        <v>237000</v>
      </c>
      <c r="K44" s="607">
        <f t="shared" si="7"/>
        <v>237000</v>
      </c>
      <c r="L44" s="607">
        <f t="shared" si="7"/>
        <v>237000</v>
      </c>
      <c r="M44" s="607">
        <f t="shared" si="7"/>
        <v>237000</v>
      </c>
      <c r="N44" s="607">
        <f t="shared" si="7"/>
        <v>237000</v>
      </c>
      <c r="P44" s="343"/>
    </row>
    <row r="45" spans="1:16" x14ac:dyDescent="0.25">
      <c r="G45" s="221">
        <f t="shared" ref="G45:N45" si="8">IFERROR(G44/$G$44,0)</f>
        <v>1</v>
      </c>
      <c r="H45" s="221">
        <f t="shared" si="8"/>
        <v>0.14285714285714285</v>
      </c>
      <c r="I45" s="221">
        <f t="shared" si="8"/>
        <v>0.14285714285714285</v>
      </c>
      <c r="J45" s="221">
        <f t="shared" si="8"/>
        <v>0.14285714285714285</v>
      </c>
      <c r="K45" s="221">
        <f t="shared" si="8"/>
        <v>0.14285714285714285</v>
      </c>
      <c r="L45" s="221">
        <f t="shared" si="8"/>
        <v>0.14285714285714285</v>
      </c>
      <c r="M45" s="221">
        <f t="shared" si="8"/>
        <v>0.14285714285714285</v>
      </c>
      <c r="N45" s="221">
        <f t="shared" si="8"/>
        <v>0.14285714285714285</v>
      </c>
      <c r="P45" s="343"/>
    </row>
    <row r="46" spans="1:16" x14ac:dyDescent="0.25">
      <c r="P46" s="343"/>
    </row>
    <row r="47" spans="1:16" x14ac:dyDescent="0.25">
      <c r="P47" s="343"/>
    </row>
  </sheetData>
  <sheetProtection algorithmName="SHA-512" hashValue="5UTAAnejzPBDHAIqXQTDEI6v7UtQmhbl8TrwVymrw/GiYtN8f4tT0SnujYlvv+yGxff6QNTOtsN4ilBBh8mgnw==" saltValue="jv+Q+FJde2Y+ZIh8R47dug==" spinCount="100000" sheet="1" objects="1" scenarios="1"/>
  <mergeCells count="2">
    <mergeCell ref="B34:F34"/>
    <mergeCell ref="A1:D1"/>
  </mergeCells>
  <conditionalFormatting sqref="B18:G30">
    <cfRule type="expression" dxfId="14" priority="11" stopIfTrue="1">
      <formula>MOD(ROW(),2)=0</formula>
    </cfRule>
  </conditionalFormatting>
  <conditionalFormatting sqref="G1">
    <cfRule type="expression" dxfId="13" priority="4" stopIfTrue="1">
      <formula>MOD(ROW(),2)=0</formula>
    </cfRule>
  </conditionalFormatting>
  <conditionalFormatting sqref="H15:N16">
    <cfRule type="cellIs" dxfId="12" priority="13" stopIfTrue="1" operator="equal">
      <formula>0</formula>
    </cfRule>
  </conditionalFormatting>
  <conditionalFormatting sqref="H18:N30">
    <cfRule type="cellIs" dxfId="11" priority="12" stopIfTrue="1" operator="equal">
      <formula>0</formula>
    </cfRule>
  </conditionalFormatting>
  <hyperlinks>
    <hyperlink ref="G1" location="HypLink1" display="HypLink1" xr:uid="{805FECA2-5C0A-46B0-99E2-B0B827F3BE70}"/>
  </hyperlinks>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00"/>
  </sheetPr>
  <dimension ref="A1:M86"/>
  <sheetViews>
    <sheetView workbookViewId="0">
      <selection activeCell="I13" sqref="I13"/>
    </sheetView>
  </sheetViews>
  <sheetFormatPr defaultColWidth="8.7109375" defaultRowHeight="15" x14ac:dyDescent="0.25"/>
  <cols>
    <col min="1" max="1" width="6.7109375" style="33" bestFit="1" customWidth="1"/>
    <col min="2" max="2" width="47.7109375" style="33" customWidth="1"/>
    <col min="3" max="3" width="10.28515625" style="33" customWidth="1"/>
    <col min="4" max="4" width="14.5703125" style="33" customWidth="1"/>
    <col min="5" max="5" width="20.7109375" style="33" customWidth="1"/>
    <col min="6" max="6" width="13.42578125" style="33" customWidth="1"/>
    <col min="7" max="7" width="12.5703125" style="33" customWidth="1"/>
    <col min="8" max="8" width="12.7109375" style="33" customWidth="1"/>
    <col min="9" max="9" width="12.28515625" style="33" customWidth="1"/>
    <col min="10" max="10" width="14" style="33" customWidth="1"/>
    <col min="11" max="11" width="14.7109375" style="33" customWidth="1"/>
    <col min="12" max="12" width="3.28515625" style="33" customWidth="1"/>
    <col min="13" max="13" width="61.7109375" style="307" customWidth="1"/>
    <col min="14" max="16384" width="8.7109375" style="33"/>
  </cols>
  <sheetData>
    <row r="1" spans="1:13" ht="18" x14ac:dyDescent="0.25">
      <c r="A1" s="123" t="s">
        <v>1057</v>
      </c>
      <c r="B1" s="35"/>
      <c r="C1" s="408" t="s">
        <v>3</v>
      </c>
      <c r="D1" s="80" t="s">
        <v>1058</v>
      </c>
      <c r="I1" s="31"/>
      <c r="J1" s="31"/>
      <c r="K1" s="31"/>
    </row>
    <row r="2" spans="1:13" ht="15.75" x14ac:dyDescent="0.25">
      <c r="A2" s="114" t="str">
        <f>SchoolName</f>
        <v>Odyssey Charter School</v>
      </c>
      <c r="B2" s="38"/>
      <c r="D2" s="80" t="s">
        <v>1059</v>
      </c>
      <c r="I2" s="94"/>
      <c r="J2" s="94"/>
      <c r="K2" s="141"/>
      <c r="L2" s="142"/>
      <c r="M2" s="1469"/>
    </row>
    <row r="3" spans="1:13" x14ac:dyDescent="0.25">
      <c r="A3" s="39" t="s">
        <v>80</v>
      </c>
      <c r="D3" s="243" t="s">
        <v>1060</v>
      </c>
      <c r="I3" s="97"/>
      <c r="J3" s="97"/>
      <c r="K3" s="141"/>
      <c r="L3" s="142"/>
      <c r="M3" s="1469"/>
    </row>
    <row r="4" spans="1:13" x14ac:dyDescent="0.25">
      <c r="A4" s="40" t="s">
        <v>81</v>
      </c>
      <c r="D4" s="80" t="s">
        <v>1061</v>
      </c>
      <c r="I4" s="31"/>
      <c r="J4" s="31"/>
      <c r="K4" s="31"/>
    </row>
    <row r="5" spans="1:13" x14ac:dyDescent="0.25">
      <c r="A5" s="30" t="str">
        <f ca="1">CELL("filename")</f>
        <v>\\lvraiders\users\sguthrie\Documents\Charter\Change of Sponsorship\[240126-SPCSA-Odyssey Charter School Application Workbook-AS-IS-Original Version.xlsx]Instructions</v>
      </c>
      <c r="I5" s="94"/>
      <c r="J5" s="94"/>
      <c r="K5" s="141"/>
      <c r="L5" s="142"/>
      <c r="M5" s="1469"/>
    </row>
    <row r="6" spans="1:13" x14ac:dyDescent="0.25">
      <c r="A6" s="64"/>
      <c r="B6" s="31" t="s">
        <v>1062</v>
      </c>
      <c r="C6" s="31"/>
    </row>
    <row r="7" spans="1:13" x14ac:dyDescent="0.25">
      <c r="A7" s="64"/>
      <c r="B7" s="31" t="s">
        <v>1063</v>
      </c>
      <c r="C7" s="65"/>
      <c r="E7" s="65" t="s">
        <v>1064</v>
      </c>
      <c r="F7" s="244"/>
    </row>
    <row r="8" spans="1:13" x14ac:dyDescent="0.25">
      <c r="A8" s="64"/>
      <c r="B8" s="31" t="s">
        <v>1065</v>
      </c>
      <c r="C8" s="32"/>
      <c r="E8" s="32" t="s">
        <v>342</v>
      </c>
      <c r="F8" s="32"/>
    </row>
    <row r="9" spans="1:13" x14ac:dyDescent="0.25">
      <c r="A9" s="346"/>
      <c r="B9" s="31"/>
      <c r="D9" s="32"/>
      <c r="E9" s="1639">
        <v>0</v>
      </c>
      <c r="F9" s="758" t="s">
        <v>806</v>
      </c>
      <c r="G9" s="758" t="s">
        <v>807</v>
      </c>
      <c r="H9" s="758" t="s">
        <v>808</v>
      </c>
      <c r="I9" s="758" t="s">
        <v>809</v>
      </c>
      <c r="J9" s="758" t="s">
        <v>810</v>
      </c>
      <c r="K9" s="1214" t="s">
        <v>811</v>
      </c>
    </row>
    <row r="10" spans="1:13" ht="15.75" x14ac:dyDescent="0.25">
      <c r="A10" s="346"/>
      <c r="B10" s="31"/>
      <c r="D10" s="283"/>
      <c r="E10" s="759">
        <f>+F10-1</f>
        <v>2024</v>
      </c>
      <c r="F10" s="760">
        <f>' Enrol &amp; Rev'!G10</f>
        <v>2025</v>
      </c>
      <c r="G10" s="761">
        <f>+F11</f>
        <v>2026</v>
      </c>
      <c r="H10" s="761">
        <f>+G11</f>
        <v>2027</v>
      </c>
      <c r="I10" s="761">
        <f>+H11</f>
        <v>2028</v>
      </c>
      <c r="J10" s="761">
        <f>+I11</f>
        <v>2029</v>
      </c>
      <c r="K10" s="762">
        <f>+J11</f>
        <v>2030</v>
      </c>
    </row>
    <row r="11" spans="1:13" ht="15.75" x14ac:dyDescent="0.25">
      <c r="A11" s="346"/>
      <c r="B11" s="31"/>
      <c r="D11" s="292" t="s">
        <v>156</v>
      </c>
      <c r="E11" s="763">
        <f>+F11-1</f>
        <v>2025</v>
      </c>
      <c r="F11" s="764">
        <f t="shared" ref="F11:K11" si="0">+F10+1</f>
        <v>2026</v>
      </c>
      <c r="G11" s="764">
        <f t="shared" si="0"/>
        <v>2027</v>
      </c>
      <c r="H11" s="764">
        <f t="shared" si="0"/>
        <v>2028</v>
      </c>
      <c r="I11" s="764">
        <f t="shared" si="0"/>
        <v>2029</v>
      </c>
      <c r="J11" s="764">
        <f t="shared" si="0"/>
        <v>2030</v>
      </c>
      <c r="K11" s="765">
        <f t="shared" si="0"/>
        <v>2031</v>
      </c>
      <c r="M11" s="1365" t="s">
        <v>103</v>
      </c>
    </row>
    <row r="12" spans="1:13" ht="15.75" x14ac:dyDescent="0.25">
      <c r="A12" s="346">
        <f>ROW()</f>
        <v>12</v>
      </c>
      <c r="B12" s="1642" t="s">
        <v>584</v>
      </c>
      <c r="C12" s="1643"/>
      <c r="D12" s="1644"/>
      <c r="E12" s="578"/>
      <c r="F12" s="662">
        <f>'Mkt Res'!E27</f>
        <v>2320.02</v>
      </c>
      <c r="G12" s="662">
        <f>'Mkt Res'!F27</f>
        <v>2320.02</v>
      </c>
      <c r="H12" s="662">
        <f>'Mkt Res'!G27</f>
        <v>2320.02</v>
      </c>
      <c r="I12" s="662">
        <f>'Mkt Res'!H27</f>
        <v>2320.02</v>
      </c>
      <c r="J12" s="662">
        <f>'Mkt Res'!I27</f>
        <v>2320.02</v>
      </c>
      <c r="K12" s="662">
        <f>'Mkt Res'!J27</f>
        <v>2320.02</v>
      </c>
      <c r="M12" s="462"/>
    </row>
    <row r="13" spans="1:13" ht="15.75" x14ac:dyDescent="0.25">
      <c r="A13" s="898">
        <f>ROW()</f>
        <v>13</v>
      </c>
      <c r="B13" s="524" t="s">
        <v>587</v>
      </c>
      <c r="C13" s="626"/>
      <c r="D13" s="663">
        <f>SUM(E13:K13)</f>
        <v>161923020.73033231</v>
      </c>
      <c r="E13" s="627"/>
      <c r="F13" s="665">
        <f>+' Enrol &amp; Rev'!G145</f>
        <v>26987576.88896</v>
      </c>
      <c r="G13" s="665">
        <f>+' Enrol &amp; Rev'!H145</f>
        <v>26987088.768274467</v>
      </c>
      <c r="H13" s="665">
        <f>+' Enrol &amp; Rev'!I145</f>
        <v>26987088.768274467</v>
      </c>
      <c r="I13" s="665">
        <f>+' Enrol &amp; Rev'!J145</f>
        <v>26987088.768274467</v>
      </c>
      <c r="J13" s="665">
        <f>+' Enrol &amp; Rev'!K145</f>
        <v>26987088.768274467</v>
      </c>
      <c r="K13" s="665">
        <f>+' Enrol &amp; Rev'!L145</f>
        <v>26987088.768274467</v>
      </c>
      <c r="M13" s="343"/>
    </row>
    <row r="14" spans="1:13" ht="15.75" x14ac:dyDescent="0.25">
      <c r="A14" s="898">
        <f>ROW()</f>
        <v>14</v>
      </c>
      <c r="B14" s="72" t="s">
        <v>1066</v>
      </c>
      <c r="C14" s="618"/>
      <c r="D14" s="664">
        <f>SUM(E14:K14)</f>
        <v>180763782.39675245</v>
      </c>
      <c r="E14" s="666">
        <f>SUM(Summary!F48:F51,Summary!F44:F46)</f>
        <v>23698222.721774668</v>
      </c>
      <c r="F14" s="667">
        <f>SUM(Summary!G48:G51,Summary!G44:G46)</f>
        <v>25536758.889337171</v>
      </c>
      <c r="G14" s="667">
        <f>SUM(Summary!H48:H51,Summary!H44:H46)</f>
        <v>25782339.947586544</v>
      </c>
      <c r="H14" s="667">
        <f>SUM(Summary!I48:I51,Summary!I44:I46)</f>
        <v>26036332.692815401</v>
      </c>
      <c r="I14" s="667">
        <f>SUM(Summary!J48:J51,Summary!J44:J46)</f>
        <v>26297928.242737763</v>
      </c>
      <c r="J14" s="667">
        <f>SUM(Summary!K48:K51,Summary!K44:K46)</f>
        <v>26567354.34194117</v>
      </c>
      <c r="K14" s="667">
        <f>SUM(Summary!L48:L51,Summary!L44:L46)</f>
        <v>26844845.560559716</v>
      </c>
      <c r="M14" s="343"/>
    </row>
    <row r="15" spans="1:13" ht="15.75" x14ac:dyDescent="0.25">
      <c r="A15" s="898">
        <f>ROW()</f>
        <v>15</v>
      </c>
      <c r="B15" s="668" t="s">
        <v>1067</v>
      </c>
      <c r="C15" s="618"/>
      <c r="D15" s="1467" t="s">
        <v>1068</v>
      </c>
      <c r="E15" s="666"/>
      <c r="F15" s="667"/>
      <c r="G15" s="667"/>
      <c r="H15" s="667"/>
      <c r="I15" s="667"/>
      <c r="J15" s="667"/>
      <c r="K15" s="667"/>
      <c r="M15" s="343"/>
    </row>
    <row r="16" spans="1:13" ht="15.75" x14ac:dyDescent="0.25">
      <c r="A16" s="898">
        <f>ROW()</f>
        <v>16</v>
      </c>
      <c r="B16" s="668" t="s">
        <v>1069</v>
      </c>
      <c r="C16" s="72"/>
      <c r="D16" s="619"/>
      <c r="E16" s="619"/>
      <c r="F16" s="447"/>
      <c r="G16" s="620"/>
      <c r="H16" s="620"/>
      <c r="I16" s="620"/>
      <c r="J16" s="620"/>
      <c r="K16" s="620"/>
      <c r="M16" s="343"/>
    </row>
    <row r="17" spans="1:13" ht="15.75" x14ac:dyDescent="0.25">
      <c r="A17" s="898">
        <f>ROW()</f>
        <v>17</v>
      </c>
      <c r="B17" s="929" t="s">
        <v>1070</v>
      </c>
      <c r="D17" s="836"/>
      <c r="E17" s="930"/>
      <c r="F17" s="100"/>
      <c r="G17" s="931"/>
      <c r="H17" s="931"/>
      <c r="I17" s="931"/>
      <c r="J17" s="931"/>
      <c r="K17" s="931"/>
      <c r="M17" s="343"/>
    </row>
    <row r="18" spans="1:13" ht="15.75" x14ac:dyDescent="0.25">
      <c r="A18" s="898">
        <f>ROW()</f>
        <v>18</v>
      </c>
      <c r="B18" s="929" t="s">
        <v>1071</v>
      </c>
      <c r="D18" s="836"/>
      <c r="E18" s="930"/>
      <c r="F18" s="100"/>
      <c r="G18" s="931"/>
      <c r="H18" s="931"/>
      <c r="I18" s="931"/>
      <c r="J18" s="931"/>
      <c r="K18" s="931"/>
      <c r="M18" s="343"/>
    </row>
    <row r="19" spans="1:13" ht="15.75" x14ac:dyDescent="0.25">
      <c r="A19" s="898">
        <f>ROW()</f>
        <v>19</v>
      </c>
      <c r="B19" s="929" t="s">
        <v>1072</v>
      </c>
      <c r="D19" s="836"/>
      <c r="E19" s="1225" t="s">
        <v>1073</v>
      </c>
      <c r="F19" s="100"/>
      <c r="G19" s="931"/>
      <c r="H19" s="931"/>
      <c r="I19" s="931"/>
      <c r="J19" s="931"/>
      <c r="K19" s="931"/>
      <c r="M19" s="343"/>
    </row>
    <row r="20" spans="1:13" ht="15.75" x14ac:dyDescent="0.25">
      <c r="A20" s="898">
        <f>ROW()</f>
        <v>20</v>
      </c>
      <c r="B20" s="929" t="s">
        <v>1074</v>
      </c>
      <c r="D20" s="836"/>
      <c r="E20" s="930"/>
      <c r="F20" s="100"/>
      <c r="G20" s="931"/>
      <c r="H20" s="931"/>
      <c r="I20" s="931"/>
      <c r="J20" s="931"/>
      <c r="K20" s="931"/>
      <c r="M20" s="343"/>
    </row>
    <row r="21" spans="1:13" ht="15.75" x14ac:dyDescent="0.25">
      <c r="A21" s="898">
        <f>ROW()</f>
        <v>21</v>
      </c>
      <c r="B21" s="929" t="s">
        <v>1075</v>
      </c>
      <c r="D21" s="836"/>
      <c r="E21" s="930"/>
      <c r="F21" s="100"/>
      <c r="G21" s="931"/>
      <c r="H21" s="931"/>
      <c r="I21" s="931"/>
      <c r="J21" s="931"/>
      <c r="K21" s="931"/>
      <c r="M21" s="343"/>
    </row>
    <row r="22" spans="1:13" ht="15.75" x14ac:dyDescent="0.25">
      <c r="A22" s="898">
        <f>ROW()</f>
        <v>22</v>
      </c>
      <c r="B22" s="929" t="s">
        <v>1075</v>
      </c>
      <c r="D22" s="836"/>
      <c r="E22" s="930"/>
      <c r="F22" s="100"/>
      <c r="G22" s="931"/>
      <c r="H22" s="931"/>
      <c r="I22" s="931"/>
      <c r="J22" s="931"/>
      <c r="K22" s="931"/>
      <c r="M22" s="343"/>
    </row>
    <row r="23" spans="1:13" ht="15.75" x14ac:dyDescent="0.25">
      <c r="A23" s="898">
        <f>ROW()</f>
        <v>23</v>
      </c>
      <c r="B23" s="929"/>
      <c r="D23" s="250"/>
      <c r="E23" s="930"/>
      <c r="F23" s="100"/>
      <c r="G23" s="931"/>
      <c r="H23" s="931"/>
      <c r="I23" s="931"/>
      <c r="J23" s="931"/>
      <c r="K23" s="931"/>
      <c r="M23" s="343"/>
    </row>
    <row r="24" spans="1:13" x14ac:dyDescent="0.25">
      <c r="A24" s="898">
        <f>ROW()</f>
        <v>24</v>
      </c>
      <c r="B24" s="464" t="s">
        <v>1076</v>
      </c>
      <c r="C24" s="617"/>
      <c r="D24" s="322"/>
      <c r="E24" s="621"/>
      <c r="F24" s="621"/>
      <c r="G24" s="621"/>
      <c r="H24" s="621"/>
      <c r="I24" s="621"/>
      <c r="J24" s="621"/>
      <c r="K24" s="621"/>
      <c r="M24" s="343"/>
    </row>
    <row r="25" spans="1:13" x14ac:dyDescent="0.25">
      <c r="A25" s="898">
        <f>ROW()</f>
        <v>25</v>
      </c>
      <c r="B25" s="932"/>
      <c r="C25" s="843">
        <v>0</v>
      </c>
      <c r="D25" s="1464">
        <f>SUM(E25:K25)</f>
        <v>0</v>
      </c>
      <c r="E25" s="814">
        <v>0</v>
      </c>
      <c r="F25" s="814">
        <v>0</v>
      </c>
      <c r="G25" s="814">
        <v>0</v>
      </c>
      <c r="H25" s="814">
        <v>0</v>
      </c>
      <c r="I25" s="814">
        <v>0</v>
      </c>
      <c r="J25" s="814">
        <v>0</v>
      </c>
      <c r="K25" s="814">
        <v>0</v>
      </c>
      <c r="M25" s="343"/>
    </row>
    <row r="26" spans="1:13" x14ac:dyDescent="0.25">
      <c r="A26" s="898">
        <f>ROW()</f>
        <v>26</v>
      </c>
      <c r="B26" s="839"/>
      <c r="C26" s="529">
        <v>0</v>
      </c>
      <c r="D26" s="1465">
        <f>SUM(E26:K26)</f>
        <v>0</v>
      </c>
      <c r="E26" s="623">
        <v>0</v>
      </c>
      <c r="F26" s="623">
        <v>0</v>
      </c>
      <c r="G26" s="623">
        <v>0</v>
      </c>
      <c r="H26" s="623">
        <v>0</v>
      </c>
      <c r="I26" s="623">
        <v>0</v>
      </c>
      <c r="J26" s="623">
        <v>0</v>
      </c>
      <c r="K26" s="623">
        <v>0</v>
      </c>
      <c r="M26" s="343"/>
    </row>
    <row r="27" spans="1:13" x14ac:dyDescent="0.25">
      <c r="A27" s="898">
        <f>ROW()</f>
        <v>27</v>
      </c>
      <c r="B27" s="300"/>
      <c r="C27" s="529"/>
      <c r="D27" s="1465"/>
      <c r="E27" s="623">
        <v>0</v>
      </c>
      <c r="F27" s="623">
        <v>0</v>
      </c>
      <c r="G27" s="623">
        <v>0</v>
      </c>
      <c r="H27" s="623">
        <v>0</v>
      </c>
      <c r="I27" s="623">
        <v>0</v>
      </c>
      <c r="J27" s="623">
        <v>0</v>
      </c>
      <c r="K27" s="623">
        <v>0</v>
      </c>
      <c r="M27" s="343"/>
    </row>
    <row r="28" spans="1:13" x14ac:dyDescent="0.25">
      <c r="A28" s="898">
        <f>ROW()</f>
        <v>28</v>
      </c>
      <c r="B28" s="839"/>
      <c r="C28" s="840">
        <v>0</v>
      </c>
      <c r="D28" s="1465">
        <f>SUM(E28:K28)</f>
        <v>0</v>
      </c>
      <c r="E28" s="623">
        <v>0</v>
      </c>
      <c r="F28" s="623">
        <v>0</v>
      </c>
      <c r="G28" s="623">
        <v>0</v>
      </c>
      <c r="H28" s="623">
        <v>0</v>
      </c>
      <c r="I28" s="623">
        <v>0</v>
      </c>
      <c r="J28" s="623">
        <v>0</v>
      </c>
      <c r="K28" s="623">
        <v>0</v>
      </c>
      <c r="M28" s="343"/>
    </row>
    <row r="29" spans="1:13" x14ac:dyDescent="0.25">
      <c r="A29" s="898">
        <f>ROW()</f>
        <v>29</v>
      </c>
      <c r="B29" s="839"/>
      <c r="C29" s="840">
        <v>0</v>
      </c>
      <c r="D29" s="1465">
        <f>SUM(E29:K29)</f>
        <v>0</v>
      </c>
      <c r="E29" s="623">
        <v>0</v>
      </c>
      <c r="F29" s="623">
        <v>0</v>
      </c>
      <c r="G29" s="623">
        <v>0</v>
      </c>
      <c r="H29" s="623">
        <v>0</v>
      </c>
      <c r="I29" s="623">
        <v>0</v>
      </c>
      <c r="J29" s="623">
        <v>0</v>
      </c>
      <c r="K29" s="623">
        <v>0</v>
      </c>
      <c r="M29" s="343"/>
    </row>
    <row r="30" spans="1:13" x14ac:dyDescent="0.25">
      <c r="A30" s="898">
        <f>ROW()</f>
        <v>30</v>
      </c>
      <c r="B30" s="300" t="s">
        <v>1077</v>
      </c>
      <c r="C30" s="529"/>
      <c r="D30" s="1465"/>
      <c r="E30" s="623">
        <v>0</v>
      </c>
      <c r="F30" s="623">
        <v>0</v>
      </c>
      <c r="G30" s="623">
        <v>0</v>
      </c>
      <c r="H30" s="623">
        <v>0</v>
      </c>
      <c r="I30" s="623">
        <v>0</v>
      </c>
      <c r="J30" s="623">
        <v>0</v>
      </c>
      <c r="K30" s="623">
        <v>0</v>
      </c>
      <c r="M30" s="343"/>
    </row>
    <row r="31" spans="1:13" x14ac:dyDescent="0.25">
      <c r="A31" s="898">
        <f>ROW()</f>
        <v>31</v>
      </c>
      <c r="B31" s="839" t="s">
        <v>1078</v>
      </c>
      <c r="C31" s="840">
        <v>0</v>
      </c>
      <c r="D31" s="1465">
        <f>SUM(E31:K31)</f>
        <v>0</v>
      </c>
      <c r="E31" s="623">
        <v>0</v>
      </c>
      <c r="F31" s="623">
        <v>0</v>
      </c>
      <c r="G31" s="623">
        <v>0</v>
      </c>
      <c r="H31" s="623">
        <v>0</v>
      </c>
      <c r="I31" s="623">
        <v>0</v>
      </c>
      <c r="J31" s="623">
        <v>0</v>
      </c>
      <c r="K31" s="623">
        <v>0</v>
      </c>
      <c r="M31" s="343"/>
    </row>
    <row r="32" spans="1:13" x14ac:dyDescent="0.25">
      <c r="A32" s="898">
        <f>ROW()</f>
        <v>32</v>
      </c>
      <c r="B32" s="839" t="s">
        <v>1079</v>
      </c>
      <c r="C32" s="840">
        <v>0</v>
      </c>
      <c r="D32" s="1465">
        <f>SUM(E32:K32)</f>
        <v>0</v>
      </c>
      <c r="E32" s="623">
        <v>0</v>
      </c>
      <c r="F32" s="623">
        <v>0</v>
      </c>
      <c r="G32" s="623">
        <v>0</v>
      </c>
      <c r="H32" s="623">
        <v>0</v>
      </c>
      <c r="I32" s="623">
        <v>0</v>
      </c>
      <c r="J32" s="623">
        <v>0</v>
      </c>
      <c r="K32" s="623">
        <v>0</v>
      </c>
      <c r="M32" s="343"/>
    </row>
    <row r="33" spans="1:13" x14ac:dyDescent="0.25">
      <c r="A33" s="898">
        <f>ROW()</f>
        <v>33</v>
      </c>
      <c r="B33" s="300" t="s">
        <v>1077</v>
      </c>
      <c r="C33" s="840"/>
      <c r="D33" s="1465"/>
      <c r="E33" s="623">
        <v>0</v>
      </c>
      <c r="F33" s="623">
        <v>0</v>
      </c>
      <c r="G33" s="623">
        <v>0</v>
      </c>
      <c r="H33" s="623">
        <v>0</v>
      </c>
      <c r="I33" s="623">
        <v>0</v>
      </c>
      <c r="J33" s="623">
        <v>0</v>
      </c>
      <c r="K33" s="623">
        <v>0</v>
      </c>
      <c r="M33" s="343"/>
    </row>
    <row r="34" spans="1:13" x14ac:dyDescent="0.25">
      <c r="A34" s="898">
        <f>ROW()</f>
        <v>34</v>
      </c>
      <c r="B34" s="839" t="s">
        <v>1080</v>
      </c>
      <c r="C34" s="840">
        <v>0</v>
      </c>
      <c r="D34" s="1465">
        <f>SUM(E34:K34)</f>
        <v>0</v>
      </c>
      <c r="E34" s="623">
        <v>0</v>
      </c>
      <c r="F34" s="623">
        <v>0</v>
      </c>
      <c r="G34" s="623">
        <v>0</v>
      </c>
      <c r="H34" s="623">
        <v>0</v>
      </c>
      <c r="I34" s="623">
        <v>0</v>
      </c>
      <c r="J34" s="623">
        <v>0</v>
      </c>
      <c r="K34" s="623">
        <v>0</v>
      </c>
      <c r="M34" s="343"/>
    </row>
    <row r="35" spans="1:13" x14ac:dyDescent="0.25">
      <c r="A35" s="898">
        <f>ROW()</f>
        <v>35</v>
      </c>
      <c r="B35" s="839" t="s">
        <v>1081</v>
      </c>
      <c r="C35" s="840">
        <v>0</v>
      </c>
      <c r="D35" s="1465">
        <f>SUM(E35:K35)</f>
        <v>0</v>
      </c>
      <c r="E35" s="623">
        <v>0</v>
      </c>
      <c r="F35" s="623">
        <v>0</v>
      </c>
      <c r="G35" s="623">
        <v>0</v>
      </c>
      <c r="H35" s="623">
        <v>0</v>
      </c>
      <c r="I35" s="623">
        <v>0</v>
      </c>
      <c r="J35" s="623">
        <v>0</v>
      </c>
      <c r="K35" s="623">
        <v>0</v>
      </c>
      <c r="M35" s="343"/>
    </row>
    <row r="36" spans="1:13" x14ac:dyDescent="0.25">
      <c r="A36" s="898">
        <f>ROW()</f>
        <v>36</v>
      </c>
      <c r="B36" s="300" t="s">
        <v>1077</v>
      </c>
      <c r="C36" s="840"/>
      <c r="D36" s="1465"/>
      <c r="E36" s="623">
        <v>0</v>
      </c>
      <c r="F36" s="623">
        <v>0</v>
      </c>
      <c r="G36" s="623">
        <v>0</v>
      </c>
      <c r="H36" s="623">
        <v>0</v>
      </c>
      <c r="I36" s="623">
        <v>0</v>
      </c>
      <c r="J36" s="623">
        <v>0</v>
      </c>
      <c r="K36" s="623">
        <v>0</v>
      </c>
      <c r="M36" s="343"/>
    </row>
    <row r="37" spans="1:13" x14ac:dyDescent="0.25">
      <c r="A37" s="898">
        <f>ROW()</f>
        <v>37</v>
      </c>
      <c r="B37" s="839" t="s">
        <v>1082</v>
      </c>
      <c r="C37" s="840"/>
      <c r="D37" s="1465"/>
      <c r="E37" s="623">
        <v>0</v>
      </c>
      <c r="F37" s="623">
        <v>0</v>
      </c>
      <c r="G37" s="623">
        <v>0</v>
      </c>
      <c r="H37" s="623">
        <v>0</v>
      </c>
      <c r="I37" s="623">
        <v>0</v>
      </c>
      <c r="J37" s="623">
        <v>0</v>
      </c>
      <c r="K37" s="623">
        <v>0</v>
      </c>
      <c r="M37" s="343"/>
    </row>
    <row r="38" spans="1:13" x14ac:dyDescent="0.25">
      <c r="A38" s="898">
        <f>ROW()</f>
        <v>38</v>
      </c>
      <c r="B38" s="841" t="s">
        <v>1082</v>
      </c>
      <c r="C38" s="842"/>
      <c r="D38" s="1466">
        <f>SUM(E38:K38)</f>
        <v>0</v>
      </c>
      <c r="E38" s="624">
        <v>0</v>
      </c>
      <c r="F38" s="624">
        <v>0</v>
      </c>
      <c r="G38" s="624">
        <v>0</v>
      </c>
      <c r="H38" s="624">
        <v>0</v>
      </c>
      <c r="I38" s="624">
        <v>0</v>
      </c>
      <c r="J38" s="624">
        <v>0</v>
      </c>
      <c r="K38" s="624">
        <v>0</v>
      </c>
      <c r="M38" s="343"/>
    </row>
    <row r="39" spans="1:13" x14ac:dyDescent="0.25">
      <c r="A39" s="898">
        <f>ROW()</f>
        <v>39</v>
      </c>
      <c r="B39" s="248"/>
      <c r="C39" s="249"/>
      <c r="D39" s="625">
        <f>SUM(E39:K39)</f>
        <v>0</v>
      </c>
      <c r="E39" s="625">
        <f t="shared" ref="E39:K39" si="1">SUM(E25:E38)</f>
        <v>0</v>
      </c>
      <c r="F39" s="625">
        <f t="shared" si="1"/>
        <v>0</v>
      </c>
      <c r="G39" s="625">
        <f t="shared" si="1"/>
        <v>0</v>
      </c>
      <c r="H39" s="625">
        <f t="shared" si="1"/>
        <v>0</v>
      </c>
      <c r="I39" s="625">
        <f t="shared" si="1"/>
        <v>0</v>
      </c>
      <c r="J39" s="625">
        <f t="shared" si="1"/>
        <v>0</v>
      </c>
      <c r="K39" s="625">
        <f t="shared" si="1"/>
        <v>0</v>
      </c>
      <c r="M39" s="343"/>
    </row>
    <row r="40" spans="1:13" x14ac:dyDescent="0.25">
      <c r="A40" s="898">
        <f>ROW()</f>
        <v>40</v>
      </c>
      <c r="B40" s="325" t="s">
        <v>1083</v>
      </c>
      <c r="F40" s="249"/>
      <c r="G40" s="247"/>
      <c r="H40" s="250"/>
      <c r="I40" s="54"/>
      <c r="J40" s="54"/>
      <c r="K40" s="54"/>
      <c r="L40" s="140"/>
      <c r="M40" s="343"/>
    </row>
    <row r="41" spans="1:13" x14ac:dyDescent="0.25">
      <c r="A41" s="898">
        <f>ROW()</f>
        <v>41</v>
      </c>
      <c r="B41" s="325" t="s">
        <v>1084</v>
      </c>
      <c r="F41" s="249"/>
      <c r="G41" s="247"/>
      <c r="H41" s="250"/>
      <c r="I41" s="54"/>
      <c r="J41" s="54"/>
      <c r="K41" s="54"/>
      <c r="L41" s="140"/>
      <c r="M41" s="343"/>
    </row>
    <row r="42" spans="1:13" x14ac:dyDescent="0.25">
      <c r="A42" s="898">
        <f>ROW()</f>
        <v>42</v>
      </c>
      <c r="B42" s="325"/>
      <c r="F42" s="249"/>
      <c r="G42" s="247"/>
      <c r="H42" s="250"/>
      <c r="I42" s="54"/>
      <c r="J42" s="54"/>
      <c r="K42" s="54"/>
      <c r="L42" s="140"/>
      <c r="M42" s="343"/>
    </row>
    <row r="43" spans="1:13" x14ac:dyDescent="0.25">
      <c r="A43" s="898">
        <f>ROW()</f>
        <v>43</v>
      </c>
      <c r="B43" s="325"/>
      <c r="F43" s="249"/>
      <c r="G43" s="247"/>
      <c r="H43" s="250"/>
      <c r="I43" s="54"/>
      <c r="J43" s="54"/>
      <c r="K43" s="54"/>
      <c r="L43" s="140"/>
      <c r="M43" s="343"/>
    </row>
    <row r="44" spans="1:13" x14ac:dyDescent="0.25">
      <c r="A44" s="898">
        <f>ROW()</f>
        <v>44</v>
      </c>
      <c r="B44" s="325"/>
      <c r="D44" s="1794" t="s">
        <v>1085</v>
      </c>
      <c r="E44" s="1795"/>
      <c r="F44" s="1796"/>
      <c r="G44" s="247"/>
      <c r="H44" s="1794" t="s">
        <v>1086</v>
      </c>
      <c r="I44" s="1795"/>
      <c r="J44" s="1796"/>
      <c r="K44" s="54"/>
      <c r="L44" s="140"/>
      <c r="M44" s="343"/>
    </row>
    <row r="45" spans="1:13" x14ac:dyDescent="0.25">
      <c r="A45" s="898">
        <f>ROW()</f>
        <v>45</v>
      </c>
      <c r="B45" s="248"/>
      <c r="D45" s="32" t="s">
        <v>1087</v>
      </c>
      <c r="E45" s="326" t="s">
        <v>1088</v>
      </c>
      <c r="F45" s="32" t="s">
        <v>1089</v>
      </c>
      <c r="G45" s="247"/>
      <c r="H45" s="32" t="s">
        <v>1087</v>
      </c>
      <c r="I45" s="326" t="s">
        <v>1090</v>
      </c>
      <c r="J45" s="32" t="s">
        <v>1010</v>
      </c>
      <c r="K45" s="54"/>
      <c r="L45" s="140"/>
      <c r="M45" s="343"/>
    </row>
    <row r="46" spans="1:13" x14ac:dyDescent="0.25">
      <c r="A46" s="898">
        <f>ROW()</f>
        <v>46</v>
      </c>
      <c r="B46" s="248"/>
      <c r="D46" s="32" t="s">
        <v>1091</v>
      </c>
      <c r="E46" s="32" t="s">
        <v>1092</v>
      </c>
      <c r="F46" s="32" t="s">
        <v>1093</v>
      </c>
      <c r="G46" s="247"/>
      <c r="H46" s="32" t="s">
        <v>1091</v>
      </c>
      <c r="I46" s="32" t="s">
        <v>1094</v>
      </c>
      <c r="J46" s="32" t="s">
        <v>1093</v>
      </c>
      <c r="K46" s="54"/>
      <c r="L46" s="140"/>
      <c r="M46" s="343"/>
    </row>
    <row r="47" spans="1:13" ht="15.75" x14ac:dyDescent="0.25">
      <c r="A47" s="898">
        <f>ROW()</f>
        <v>47</v>
      </c>
      <c r="B47" s="327" t="s">
        <v>1095</v>
      </c>
      <c r="C47" s="63"/>
      <c r="D47" s="57" t="s">
        <v>1096</v>
      </c>
      <c r="E47" s="57" t="s">
        <v>1096</v>
      </c>
      <c r="F47" s="57" t="s">
        <v>1096</v>
      </c>
      <c r="G47" s="247"/>
      <c r="H47" s="57" t="s">
        <v>1096</v>
      </c>
      <c r="I47" s="57" t="s">
        <v>1096</v>
      </c>
      <c r="J47" s="57" t="s">
        <v>1096</v>
      </c>
      <c r="K47" s="54"/>
      <c r="L47" s="140"/>
      <c r="M47" s="343"/>
    </row>
    <row r="48" spans="1:13" ht="30" x14ac:dyDescent="0.25">
      <c r="A48" s="898">
        <f>ROW()</f>
        <v>48</v>
      </c>
      <c r="B48" s="328" t="s">
        <v>1097</v>
      </c>
      <c r="C48" s="41"/>
      <c r="D48" s="307"/>
      <c r="E48" s="899"/>
      <c r="F48" s="899" t="s">
        <v>1544</v>
      </c>
      <c r="G48" s="1468"/>
      <c r="H48" s="923"/>
      <c r="I48" s="924"/>
      <c r="J48" s="900"/>
      <c r="K48" s="54"/>
      <c r="L48" s="54"/>
      <c r="M48" s="343" t="s">
        <v>1098</v>
      </c>
    </row>
    <row r="49" spans="1:13" x14ac:dyDescent="0.25">
      <c r="A49" s="898">
        <f>ROW()</f>
        <v>49</v>
      </c>
      <c r="B49" s="328" t="s">
        <v>1099</v>
      </c>
      <c r="C49" s="41"/>
      <c r="D49" s="899"/>
      <c r="E49" s="899"/>
      <c r="F49" s="255"/>
      <c r="G49" s="1468"/>
      <c r="H49" s="925"/>
      <c r="I49" s="899"/>
      <c r="J49" s="255"/>
      <c r="K49" s="54"/>
      <c r="L49" s="54"/>
      <c r="M49" s="343"/>
    </row>
    <row r="50" spans="1:13" x14ac:dyDescent="0.25">
      <c r="A50" s="898">
        <f>ROW()</f>
        <v>50</v>
      </c>
      <c r="B50" s="70" t="s">
        <v>1100</v>
      </c>
      <c r="C50" s="70"/>
      <c r="D50" s="254"/>
      <c r="E50" s="254"/>
      <c r="F50" s="255"/>
      <c r="G50" s="1468"/>
      <c r="H50" s="926"/>
      <c r="I50" s="254"/>
      <c r="J50" s="255"/>
      <c r="K50" s="54"/>
      <c r="L50" s="54"/>
      <c r="M50" s="343"/>
    </row>
    <row r="51" spans="1:13" x14ac:dyDescent="0.25">
      <c r="A51" s="898">
        <f>ROW()</f>
        <v>51</v>
      </c>
      <c r="B51" s="70" t="s">
        <v>1101</v>
      </c>
      <c r="C51" s="70"/>
      <c r="D51" s="254"/>
      <c r="E51" s="254"/>
      <c r="F51" s="255"/>
      <c r="G51" s="1468"/>
      <c r="H51" s="926"/>
      <c r="I51" s="254"/>
      <c r="J51" s="255"/>
      <c r="K51" s="54"/>
      <c r="L51" s="54"/>
      <c r="M51" s="343"/>
    </row>
    <row r="52" spans="1:13" x14ac:dyDescent="0.25">
      <c r="A52" s="898">
        <f>ROW()</f>
        <v>52</v>
      </c>
      <c r="B52" s="70" t="s">
        <v>1102</v>
      </c>
      <c r="C52" s="70"/>
      <c r="D52" s="254"/>
      <c r="E52" s="254"/>
      <c r="F52" s="255"/>
      <c r="G52" s="1468"/>
      <c r="H52" s="926"/>
      <c r="I52" s="254"/>
      <c r="J52" s="255"/>
      <c r="K52" s="54"/>
      <c r="L52" s="54"/>
      <c r="M52" s="343"/>
    </row>
    <row r="53" spans="1:13" x14ac:dyDescent="0.25">
      <c r="A53" s="898">
        <f>ROW()</f>
        <v>53</v>
      </c>
      <c r="B53" s="70" t="s">
        <v>1103</v>
      </c>
      <c r="C53" s="70"/>
      <c r="D53" s="254"/>
      <c r="E53" s="254"/>
      <c r="F53" s="255"/>
      <c r="G53" s="1468"/>
      <c r="H53" s="926"/>
      <c r="I53" s="254"/>
      <c r="J53" s="255"/>
      <c r="K53" s="54"/>
      <c r="L53" s="54"/>
      <c r="M53" s="343"/>
    </row>
    <row r="54" spans="1:13" x14ac:dyDescent="0.25">
      <c r="A54" s="898">
        <f>ROW()</f>
        <v>54</v>
      </c>
      <c r="B54" s="70" t="s">
        <v>1104</v>
      </c>
      <c r="C54" s="70"/>
      <c r="D54" s="254"/>
      <c r="E54" s="254"/>
      <c r="F54" s="255"/>
      <c r="G54" s="1468"/>
      <c r="H54" s="926"/>
      <c r="I54" s="254"/>
      <c r="J54" s="255"/>
      <c r="K54" s="54"/>
      <c r="L54" s="54"/>
      <c r="M54" s="343"/>
    </row>
    <row r="55" spans="1:13" x14ac:dyDescent="0.25">
      <c r="A55" s="898">
        <f>ROW()</f>
        <v>55</v>
      </c>
      <c r="B55" s="70" t="s">
        <v>1105</v>
      </c>
      <c r="C55" s="70"/>
      <c r="D55" s="254"/>
      <c r="E55" s="254"/>
      <c r="F55" s="255"/>
      <c r="G55" s="1468"/>
      <c r="H55" s="926"/>
      <c r="I55" s="254"/>
      <c r="J55" s="255"/>
      <c r="K55" s="54"/>
      <c r="L55" s="54"/>
      <c r="M55" s="343"/>
    </row>
    <row r="56" spans="1:13" x14ac:dyDescent="0.25">
      <c r="A56" s="898">
        <f>ROW()</f>
        <v>56</v>
      </c>
      <c r="B56" s="70" t="s">
        <v>1106</v>
      </c>
      <c r="C56" s="70"/>
      <c r="D56" s="254"/>
      <c r="E56" s="254"/>
      <c r="F56" s="255"/>
      <c r="G56" s="1468"/>
      <c r="H56" s="926"/>
      <c r="I56" s="254"/>
      <c r="J56" s="255"/>
      <c r="K56" s="54"/>
      <c r="L56" s="54"/>
      <c r="M56" s="343"/>
    </row>
    <row r="57" spans="1:13" x14ac:dyDescent="0.25">
      <c r="A57" s="898">
        <f>ROW()</f>
        <v>57</v>
      </c>
      <c r="B57" s="70" t="s">
        <v>1107</v>
      </c>
      <c r="C57" s="70"/>
      <c r="D57" s="254"/>
      <c r="E57" s="254"/>
      <c r="F57" s="255"/>
      <c r="G57" s="1468"/>
      <c r="H57" s="926"/>
      <c r="I57" s="254"/>
      <c r="J57" s="255"/>
      <c r="K57" s="54"/>
      <c r="L57" s="54"/>
      <c r="M57" s="343"/>
    </row>
    <row r="58" spans="1:13" x14ac:dyDescent="0.25">
      <c r="A58" s="898">
        <f>ROW()</f>
        <v>58</v>
      </c>
      <c r="B58" s="70" t="s">
        <v>1108</v>
      </c>
      <c r="C58" s="70"/>
      <c r="D58" s="254"/>
      <c r="E58" s="254"/>
      <c r="F58" s="255"/>
      <c r="G58" s="1468"/>
      <c r="H58" s="926"/>
      <c r="I58" s="254"/>
      <c r="J58" s="255"/>
      <c r="K58" s="54"/>
      <c r="L58" s="54"/>
      <c r="M58" s="343"/>
    </row>
    <row r="59" spans="1:13" x14ac:dyDescent="0.25">
      <c r="A59" s="898">
        <f>ROW()</f>
        <v>59</v>
      </c>
      <c r="B59" s="70" t="s">
        <v>1109</v>
      </c>
      <c r="C59" s="70"/>
      <c r="D59" s="254"/>
      <c r="E59" s="254"/>
      <c r="F59" s="255"/>
      <c r="G59" s="1468"/>
      <c r="H59" s="926"/>
      <c r="I59" s="254"/>
      <c r="J59" s="255"/>
      <c r="K59" s="54"/>
      <c r="L59" s="54"/>
      <c r="M59" s="343"/>
    </row>
    <row r="60" spans="1:13" x14ac:dyDescent="0.25">
      <c r="A60" s="898">
        <f>ROW()</f>
        <v>60</v>
      </c>
      <c r="B60" s="70" t="s">
        <v>1110</v>
      </c>
      <c r="C60" s="70"/>
      <c r="D60" s="254"/>
      <c r="E60" s="254"/>
      <c r="F60" s="255"/>
      <c r="G60" s="1468"/>
      <c r="H60" s="926"/>
      <c r="I60" s="254"/>
      <c r="J60" s="255"/>
      <c r="K60" s="54"/>
      <c r="L60" s="54"/>
      <c r="M60" s="343"/>
    </row>
    <row r="61" spans="1:13" x14ac:dyDescent="0.25">
      <c r="A61" s="898">
        <f>ROW()</f>
        <v>61</v>
      </c>
      <c r="B61" s="70" t="s">
        <v>1111</v>
      </c>
      <c r="C61" s="70"/>
      <c r="D61" s="254"/>
      <c r="E61" s="254"/>
      <c r="F61" s="255"/>
      <c r="G61" s="1468"/>
      <c r="H61" s="926"/>
      <c r="I61" s="254"/>
      <c r="J61" s="255"/>
      <c r="K61" s="54"/>
      <c r="L61" s="54"/>
      <c r="M61" s="343"/>
    </row>
    <row r="62" spans="1:13" x14ac:dyDescent="0.25">
      <c r="A62" s="898">
        <f>ROW()</f>
        <v>62</v>
      </c>
      <c r="B62" s="70" t="s">
        <v>1112</v>
      </c>
      <c r="C62" s="70"/>
      <c r="D62" s="254"/>
      <c r="E62" s="254"/>
      <c r="F62" s="255"/>
      <c r="G62" s="1468"/>
      <c r="H62" s="926"/>
      <c r="I62" s="254"/>
      <c r="J62" s="255"/>
      <c r="K62" s="54"/>
      <c r="L62" s="54"/>
      <c r="M62" s="343"/>
    </row>
    <row r="63" spans="1:13" x14ac:dyDescent="0.25">
      <c r="A63" s="898">
        <f>ROW()</f>
        <v>63</v>
      </c>
      <c r="B63" s="70" t="s">
        <v>1113</v>
      </c>
      <c r="C63" s="70"/>
      <c r="D63" s="254"/>
      <c r="E63" s="254"/>
      <c r="F63" s="255"/>
      <c r="G63" s="1468"/>
      <c r="H63" s="926"/>
      <c r="I63" s="254"/>
      <c r="J63" s="255"/>
      <c r="K63" s="54"/>
      <c r="L63" s="54"/>
      <c r="M63" s="343"/>
    </row>
    <row r="64" spans="1:13" x14ac:dyDescent="0.25">
      <c r="A64" s="898">
        <f>ROW()</f>
        <v>64</v>
      </c>
      <c r="B64" s="70" t="s">
        <v>1114</v>
      </c>
      <c r="C64" s="70"/>
      <c r="D64" s="254"/>
      <c r="E64" s="254"/>
      <c r="F64" s="255"/>
      <c r="G64" s="1468"/>
      <c r="H64" s="926"/>
      <c r="I64" s="254"/>
      <c r="J64" s="255"/>
      <c r="K64" s="54"/>
      <c r="L64" s="54"/>
      <c r="M64" s="343"/>
    </row>
    <row r="65" spans="1:13" x14ac:dyDescent="0.25">
      <c r="A65" s="898">
        <f>ROW()</f>
        <v>65</v>
      </c>
      <c r="B65" s="70" t="s">
        <v>1115</v>
      </c>
      <c r="C65" s="70"/>
      <c r="D65" s="254"/>
      <c r="E65" s="254"/>
      <c r="F65" s="255"/>
      <c r="G65" s="1468"/>
      <c r="H65" s="926"/>
      <c r="I65" s="254"/>
      <c r="J65" s="255"/>
      <c r="K65" s="54"/>
      <c r="L65" s="54"/>
      <c r="M65" s="343"/>
    </row>
    <row r="66" spans="1:13" x14ac:dyDescent="0.25">
      <c r="A66" s="898">
        <f>ROW()</f>
        <v>66</v>
      </c>
      <c r="B66" s="70" t="s">
        <v>1116</v>
      </c>
      <c r="C66" s="70"/>
      <c r="D66" s="254"/>
      <c r="E66" s="254"/>
      <c r="F66" s="255"/>
      <c r="G66" s="1468"/>
      <c r="H66" s="926"/>
      <c r="I66" s="254"/>
      <c r="J66" s="255"/>
      <c r="K66" s="54"/>
      <c r="L66" s="54"/>
      <c r="M66" s="343"/>
    </row>
    <row r="67" spans="1:13" x14ac:dyDescent="0.25">
      <c r="A67" s="898">
        <f>ROW()</f>
        <v>67</v>
      </c>
      <c r="B67" s="70" t="s">
        <v>1117</v>
      </c>
      <c r="C67" s="70"/>
      <c r="D67" s="254"/>
      <c r="E67" s="254"/>
      <c r="F67" s="255"/>
      <c r="G67" s="1468"/>
      <c r="H67" s="926"/>
      <c r="I67" s="254"/>
      <c r="J67" s="255"/>
      <c r="K67" s="54"/>
      <c r="L67" s="54"/>
      <c r="M67" s="343"/>
    </row>
    <row r="68" spans="1:13" x14ac:dyDescent="0.25">
      <c r="A68" s="898">
        <f>ROW()</f>
        <v>68</v>
      </c>
      <c r="B68" s="70" t="s">
        <v>1118</v>
      </c>
      <c r="C68" s="70"/>
      <c r="D68" s="254"/>
      <c r="E68" s="254"/>
      <c r="F68" s="255"/>
      <c r="G68" s="1468"/>
      <c r="H68" s="926"/>
      <c r="I68" s="254"/>
      <c r="J68" s="255"/>
      <c r="K68" s="54"/>
      <c r="L68" s="54"/>
      <c r="M68" s="343"/>
    </row>
    <row r="69" spans="1:13" x14ac:dyDescent="0.25">
      <c r="A69" s="898">
        <f>ROW()</f>
        <v>69</v>
      </c>
      <c r="B69" s="70" t="s">
        <v>1119</v>
      </c>
      <c r="C69" s="70"/>
      <c r="D69" s="254"/>
      <c r="E69" s="254"/>
      <c r="F69" s="255"/>
      <c r="G69" s="1468"/>
      <c r="H69" s="926"/>
      <c r="I69" s="254"/>
      <c r="J69" s="255"/>
      <c r="K69" s="54"/>
      <c r="L69" s="54"/>
      <c r="M69" s="343"/>
    </row>
    <row r="70" spans="1:13" x14ac:dyDescent="0.25">
      <c r="A70" s="898">
        <f>ROW()</f>
        <v>70</v>
      </c>
      <c r="B70" s="70" t="s">
        <v>1120</v>
      </c>
      <c r="C70" s="70"/>
      <c r="D70" s="254"/>
      <c r="E70" s="254"/>
      <c r="F70" s="255"/>
      <c r="G70" s="1468"/>
      <c r="H70" s="926"/>
      <c r="I70" s="254"/>
      <c r="J70" s="255"/>
      <c r="K70" s="54"/>
      <c r="L70" s="54"/>
      <c r="M70" s="343"/>
    </row>
    <row r="71" spans="1:13" x14ac:dyDescent="0.25">
      <c r="A71" s="898">
        <f>ROW()</f>
        <v>71</v>
      </c>
      <c r="B71" s="70" t="s">
        <v>1121</v>
      </c>
      <c r="C71" s="70"/>
      <c r="D71" s="254"/>
      <c r="E71" s="254"/>
      <c r="F71" s="255"/>
      <c r="G71" s="1468"/>
      <c r="H71" s="926"/>
      <c r="I71" s="254"/>
      <c r="J71" s="255"/>
      <c r="K71" s="54"/>
      <c r="L71" s="54"/>
      <c r="M71" s="343"/>
    </row>
    <row r="72" spans="1:13" x14ac:dyDescent="0.25">
      <c r="A72" s="898">
        <f>ROW()</f>
        <v>72</v>
      </c>
      <c r="B72" s="70" t="s">
        <v>1122</v>
      </c>
      <c r="C72" s="70"/>
      <c r="D72" s="254"/>
      <c r="E72" s="254"/>
      <c r="F72" s="255"/>
      <c r="G72" s="1468"/>
      <c r="H72" s="926"/>
      <c r="I72" s="254"/>
      <c r="J72" s="255"/>
      <c r="K72" s="54"/>
      <c r="L72" s="54"/>
      <c r="M72" s="343"/>
    </row>
    <row r="73" spans="1:13" x14ac:dyDescent="0.25">
      <c r="A73" s="898">
        <f>ROW()</f>
        <v>73</v>
      </c>
      <c r="B73" s="70" t="s">
        <v>1123</v>
      </c>
      <c r="C73" s="70"/>
      <c r="D73" s="254"/>
      <c r="E73" s="254"/>
      <c r="F73" s="255"/>
      <c r="G73" s="1468"/>
      <c r="H73" s="926"/>
      <c r="I73" s="254"/>
      <c r="J73" s="255"/>
      <c r="K73" s="54"/>
      <c r="L73" s="54"/>
      <c r="M73" s="343"/>
    </row>
    <row r="74" spans="1:13" x14ac:dyDescent="0.25">
      <c r="A74" s="898">
        <f>ROW()</f>
        <v>74</v>
      </c>
      <c r="B74" s="70" t="s">
        <v>1124</v>
      </c>
      <c r="C74" s="70"/>
      <c r="D74" s="254"/>
      <c r="E74" s="254"/>
      <c r="F74" s="255"/>
      <c r="G74" s="1468"/>
      <c r="H74" s="926"/>
      <c r="I74" s="254"/>
      <c r="J74" s="255"/>
      <c r="K74" s="54"/>
      <c r="L74" s="54"/>
      <c r="M74" s="343"/>
    </row>
    <row r="75" spans="1:13" x14ac:dyDescent="0.25">
      <c r="A75" s="898">
        <f>ROW()</f>
        <v>75</v>
      </c>
      <c r="B75" s="70" t="s">
        <v>1125</v>
      </c>
      <c r="C75" s="70"/>
      <c r="D75" s="254"/>
      <c r="E75" s="254"/>
      <c r="F75" s="255"/>
      <c r="G75" s="1468"/>
      <c r="H75" s="926"/>
      <c r="I75" s="254"/>
      <c r="J75" s="255"/>
      <c r="K75" s="54"/>
      <c r="L75" s="54"/>
      <c r="M75" s="343"/>
    </row>
    <row r="76" spans="1:13" x14ac:dyDescent="0.25">
      <c r="A76" s="898">
        <f>ROW()</f>
        <v>76</v>
      </c>
      <c r="B76" s="70" t="s">
        <v>1126</v>
      </c>
      <c r="C76" s="70"/>
      <c r="D76" s="254"/>
      <c r="E76" s="254"/>
      <c r="F76" s="255"/>
      <c r="G76" s="1468"/>
      <c r="H76" s="926"/>
      <c r="I76" s="254"/>
      <c r="J76" s="255"/>
      <c r="K76" s="54"/>
      <c r="L76" s="54"/>
      <c r="M76" s="343"/>
    </row>
    <row r="77" spans="1:13" x14ac:dyDescent="0.25">
      <c r="A77" s="898">
        <f>ROW()</f>
        <v>77</v>
      </c>
      <c r="B77" s="70" t="s">
        <v>1127</v>
      </c>
      <c r="C77" s="70"/>
      <c r="D77" s="254"/>
      <c r="E77" s="254"/>
      <c r="F77" s="255"/>
      <c r="G77" s="1468"/>
      <c r="H77" s="926"/>
      <c r="I77" s="254"/>
      <c r="J77" s="255"/>
      <c r="K77" s="54"/>
      <c r="L77" s="54"/>
      <c r="M77" s="343"/>
    </row>
    <row r="78" spans="1:13" x14ac:dyDescent="0.25">
      <c r="A78" s="898">
        <f>ROW()</f>
        <v>78</v>
      </c>
      <c r="B78" s="70" t="s">
        <v>1128</v>
      </c>
      <c r="C78" s="70"/>
      <c r="D78" s="254"/>
      <c r="E78" s="254"/>
      <c r="F78" s="255"/>
      <c r="G78" s="1468"/>
      <c r="H78" s="926"/>
      <c r="I78" s="254"/>
      <c r="J78" s="255"/>
      <c r="K78" s="54"/>
      <c r="L78" s="54"/>
      <c r="M78" s="343"/>
    </row>
    <row r="79" spans="1:13" x14ac:dyDescent="0.25">
      <c r="A79" s="898">
        <f>ROW()</f>
        <v>79</v>
      </c>
      <c r="B79" s="70" t="s">
        <v>174</v>
      </c>
      <c r="C79" s="70"/>
      <c r="D79" s="254"/>
      <c r="E79" s="254"/>
      <c r="F79" s="901"/>
      <c r="G79" s="1468"/>
      <c r="H79" s="926"/>
      <c r="I79" s="254"/>
      <c r="J79" s="901"/>
      <c r="K79" s="54"/>
      <c r="L79" s="54"/>
      <c r="M79" s="343"/>
    </row>
    <row r="80" spans="1:13" x14ac:dyDescent="0.25">
      <c r="A80" s="898">
        <f>ROW()</f>
        <v>80</v>
      </c>
      <c r="B80" s="1653" t="s">
        <v>1129</v>
      </c>
      <c r="C80" s="1653"/>
      <c r="D80" s="254"/>
      <c r="E80" s="254"/>
      <c r="F80" s="901"/>
      <c r="G80" s="1468"/>
      <c r="H80" s="926"/>
      <c r="I80" s="254"/>
      <c r="J80" s="901"/>
      <c r="K80" s="54"/>
      <c r="L80" s="54"/>
      <c r="M80" s="343"/>
    </row>
    <row r="81" spans="1:13" x14ac:dyDescent="0.25">
      <c r="A81" s="898">
        <f>ROW()</f>
        <v>81</v>
      </c>
      <c r="B81" s="1653" t="s">
        <v>1129</v>
      </c>
      <c r="C81" s="1653"/>
      <c r="D81" s="254"/>
      <c r="E81" s="254"/>
      <c r="F81" s="901"/>
      <c r="G81" s="1468"/>
      <c r="H81" s="926"/>
      <c r="I81" s="254"/>
      <c r="J81" s="901"/>
      <c r="K81" s="54"/>
      <c r="L81" s="54"/>
      <c r="M81" s="343"/>
    </row>
    <row r="82" spans="1:13" x14ac:dyDescent="0.25">
      <c r="A82" s="898">
        <f>ROW()</f>
        <v>82</v>
      </c>
      <c r="B82" s="1653" t="s">
        <v>1129</v>
      </c>
      <c r="C82" s="1653"/>
      <c r="D82" s="254"/>
      <c r="E82" s="254"/>
      <c r="F82" s="902"/>
      <c r="G82" s="1468"/>
      <c r="H82" s="927"/>
      <c r="I82" s="928"/>
      <c r="J82" s="902"/>
      <c r="K82" s="54"/>
      <c r="L82" s="54"/>
      <c r="M82" s="343"/>
    </row>
    <row r="83" spans="1:13" x14ac:dyDescent="0.25">
      <c r="A83" s="898">
        <f>ROW()</f>
        <v>83</v>
      </c>
      <c r="B83" s="170" t="s">
        <v>1130</v>
      </c>
      <c r="C83" s="143"/>
      <c r="D83" s="1210"/>
      <c r="E83" s="1210"/>
      <c r="F83" s="1210"/>
      <c r="M83" s="343"/>
    </row>
    <row r="84" spans="1:13" x14ac:dyDescent="0.25">
      <c r="A84" s="898">
        <f>ROW()</f>
        <v>84</v>
      </c>
      <c r="B84" s="160" t="s">
        <v>1131</v>
      </c>
      <c r="C84" s="41"/>
      <c r="D84" s="74"/>
      <c r="E84" s="32"/>
      <c r="F84" s="32"/>
      <c r="G84" s="32"/>
      <c r="H84" s="74"/>
      <c r="I84" s="74"/>
      <c r="J84" s="74"/>
      <c r="K84" s="74"/>
      <c r="L84" s="74"/>
      <c r="M84" s="343"/>
    </row>
    <row r="85" spans="1:13" x14ac:dyDescent="0.25">
      <c r="A85" s="898">
        <f>ROW()</f>
        <v>85</v>
      </c>
      <c r="B85" s="160" t="s">
        <v>1132</v>
      </c>
      <c r="C85" s="41"/>
      <c r="D85" s="41"/>
      <c r="E85" s="251"/>
      <c r="F85" s="251"/>
      <c r="G85" s="251"/>
      <c r="H85" s="251"/>
      <c r="I85" s="251"/>
      <c r="J85" s="251"/>
      <c r="K85" s="251"/>
      <c r="L85" s="76"/>
      <c r="M85" s="343"/>
    </row>
    <row r="86" spans="1:13" x14ac:dyDescent="0.25">
      <c r="A86" s="898">
        <f>ROW()</f>
        <v>86</v>
      </c>
      <c r="B86" s="160" t="s">
        <v>1133</v>
      </c>
      <c r="M86" s="343"/>
    </row>
  </sheetData>
  <sheetProtection algorithmName="SHA-512" hashValue="XIRLtYKMt5uX5p+NT3+VlR/udso5sqDaEEw+BmIYU/sOT97KjMFGbO2OGG2Tmww2uJzm5a1w8RfT93k1Le6yvQ==" saltValue="QuLSaIrYLdRhu+UwIRFOlw==" spinCount="100000" sheet="1" objects="1" scenarios="1"/>
  <sortState xmlns:xlrd2="http://schemas.microsoft.com/office/spreadsheetml/2017/richdata2" ref="B48:B74">
    <sortCondition ref="B48:B74"/>
  </sortState>
  <mergeCells count="2">
    <mergeCell ref="D44:F44"/>
    <mergeCell ref="H44:J44"/>
  </mergeCells>
  <conditionalFormatting sqref="B48:C79">
    <cfRule type="expression" dxfId="10" priority="1" stopIfTrue="1">
      <formula>MOD(ROW(),2)=0</formula>
    </cfRule>
  </conditionalFormatting>
  <conditionalFormatting sqref="C1">
    <cfRule type="expression" dxfId="9" priority="3" stopIfTrue="1">
      <formula>MOD(ROW(),2)=0</formula>
    </cfRule>
  </conditionalFormatting>
  <conditionalFormatting sqref="D17:D22">
    <cfRule type="cellIs" dxfId="8" priority="7" stopIfTrue="1" operator="equal">
      <formula>0</formula>
    </cfRule>
  </conditionalFormatting>
  <hyperlinks>
    <hyperlink ref="C1" location="HypLink1" display="HypLink1" xr:uid="{AE7F164B-C315-4492-8FD1-E663A24A0028}"/>
  </hyperlinks>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2"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B76B-9BAC-42A1-8A06-D975BF859516}">
  <sheetPr codeName="Sheet28">
    <tabColor theme="0" tint="-0.34998626667073579"/>
    <pageSetUpPr fitToPage="1"/>
  </sheetPr>
  <dimension ref="B3:R4"/>
  <sheetViews>
    <sheetView workbookViewId="0">
      <selection activeCell="E67" sqref="E67"/>
    </sheetView>
  </sheetViews>
  <sheetFormatPr defaultRowHeight="15" x14ac:dyDescent="0.25"/>
  <sheetData>
    <row r="3" spans="2:18" ht="36" x14ac:dyDescent="0.55000000000000004">
      <c r="B3" s="1764" t="s">
        <v>1476</v>
      </c>
      <c r="C3" s="1030"/>
      <c r="D3" s="1030"/>
      <c r="E3" s="1030"/>
      <c r="F3" s="1030"/>
      <c r="G3" s="1030"/>
      <c r="H3" s="1030"/>
      <c r="I3" s="1030"/>
      <c r="J3" s="1030"/>
      <c r="K3" s="1030"/>
      <c r="L3" s="1030"/>
      <c r="M3" s="1030"/>
      <c r="N3" s="1030"/>
      <c r="O3" s="1030"/>
      <c r="P3" s="1030"/>
      <c r="Q3" s="1030"/>
      <c r="R3" s="1030"/>
    </row>
    <row r="4" spans="2:18" ht="36" x14ac:dyDescent="0.55000000000000004">
      <c r="B4" s="1763" t="s">
        <v>1475</v>
      </c>
    </row>
  </sheetData>
  <sheetProtection algorithmName="SHA-512" hashValue="tmy4Hq6K/P6TOFWFRPoTTF/n7bP5OxmUorCXQdUCQXOqse0rU3HIRbn5iZF75kJxQ9lm2XM1hVHGSc6RTcrL6w==" saltValue="iNpppoo+W4YM8JXPcGzU6g==" spinCount="100000" sheet="1" objects="1" scenarios="1"/>
  <pageMargins left="0.7" right="0.7" top="0.75" bottom="0.75" header="0.3" footer="0.3"/>
  <pageSetup scale="5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C44E-25C2-4681-BA69-1E1347A6E436}">
  <sheetPr codeName="Sheet26">
    <tabColor theme="0" tint="-0.34998626667073579"/>
  </sheetPr>
  <dimension ref="A1:O37"/>
  <sheetViews>
    <sheetView workbookViewId="0">
      <selection activeCell="E67" sqref="E67"/>
    </sheetView>
  </sheetViews>
  <sheetFormatPr defaultColWidth="8.7109375" defaultRowHeight="12.75" x14ac:dyDescent="0.2"/>
  <cols>
    <col min="1" max="1" width="4.7109375" style="6" customWidth="1"/>
    <col min="2" max="2" width="8.7109375" style="6"/>
    <col min="3" max="3" width="11.7109375" style="6" customWidth="1"/>
    <col min="4" max="4" width="10.7109375" style="6" customWidth="1"/>
    <col min="5" max="8" width="8.7109375" style="6"/>
    <col min="9" max="9" width="14.28515625" style="6" customWidth="1"/>
    <col min="10" max="10" width="8.7109375" style="6"/>
    <col min="11" max="11" width="13.5703125" style="6" customWidth="1"/>
    <col min="12" max="12" width="8.7109375" style="6"/>
    <col min="13" max="13" width="8.28515625" style="6" customWidth="1"/>
    <col min="14" max="16384" width="8.7109375" style="6"/>
  </cols>
  <sheetData>
    <row r="1" spans="1:15" ht="15.75" x14ac:dyDescent="0.25">
      <c r="A1" s="21" t="s">
        <v>1134</v>
      </c>
      <c r="B1" s="21"/>
      <c r="C1" s="21"/>
      <c r="D1" s="21"/>
      <c r="E1" s="21"/>
    </row>
    <row r="2" spans="1:15" ht="15.75" x14ac:dyDescent="0.25">
      <c r="A2" s="1797" t="str">
        <f>SchoolName</f>
        <v>Odyssey Charter School</v>
      </c>
      <c r="B2" s="1797"/>
      <c r="C2" s="1797"/>
      <c r="D2" s="1797"/>
      <c r="E2" s="1797"/>
    </row>
    <row r="3" spans="1:15" x14ac:dyDescent="0.2">
      <c r="A3" s="10" t="s">
        <v>448</v>
      </c>
    </row>
    <row r="4" spans="1:15" x14ac:dyDescent="0.2">
      <c r="A4" s="9" t="s">
        <v>80</v>
      </c>
    </row>
    <row r="5" spans="1:15" x14ac:dyDescent="0.2">
      <c r="A5" s="8" t="str">
        <f ca="1">CELL("filename")</f>
        <v>\\lvraiders\users\sguthrie\Documents\Charter\Change of Sponsorship\[240126-SPCSA-Odyssey Charter School Application Workbook-AS-IS-Original Version.xlsx]Instructions</v>
      </c>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ht="23.25" x14ac:dyDescent="0.35">
      <c r="A10" s="7"/>
      <c r="B10" s="1612" t="s">
        <v>1135</v>
      </c>
      <c r="C10" s="7"/>
      <c r="D10" s="7"/>
      <c r="E10" s="7"/>
      <c r="F10" s="7"/>
      <c r="G10" s="7"/>
      <c r="H10" s="7"/>
      <c r="I10" s="7"/>
      <c r="J10" s="7"/>
      <c r="K10" s="7"/>
      <c r="L10" s="7"/>
      <c r="M10" s="7"/>
      <c r="N10" s="7"/>
      <c r="O10" s="7"/>
    </row>
    <row r="11" spans="1:15" ht="23.25" x14ac:dyDescent="0.35">
      <c r="A11" s="7"/>
      <c r="B11" s="1613" t="s">
        <v>1136</v>
      </c>
      <c r="C11" s="7"/>
      <c r="D11" s="7"/>
      <c r="E11" s="7"/>
      <c r="F11" s="7"/>
      <c r="G11" s="7"/>
      <c r="H11" s="7"/>
      <c r="I11" s="7"/>
      <c r="J11" s="7"/>
      <c r="K11" s="7"/>
      <c r="L11" s="7"/>
      <c r="M11" s="7"/>
      <c r="N11" s="7"/>
      <c r="O11" s="7"/>
    </row>
    <row r="12" spans="1:15" ht="23.25" x14ac:dyDescent="0.35">
      <c r="A12" s="7"/>
      <c r="B12" s="1613" t="s">
        <v>1137</v>
      </c>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row r="26" spans="1:15" x14ac:dyDescent="0.2">
      <c r="A26" s="7"/>
      <c r="B26" s="7"/>
      <c r="C26" s="7"/>
      <c r="D26" s="7"/>
      <c r="E26" s="7"/>
      <c r="F26" s="7"/>
      <c r="G26" s="7"/>
      <c r="H26" s="7"/>
      <c r="I26" s="7"/>
      <c r="J26" s="7"/>
      <c r="K26" s="7"/>
      <c r="L26" s="7"/>
      <c r="M26" s="7"/>
      <c r="N26" s="7"/>
      <c r="O26" s="7"/>
    </row>
    <row r="27" spans="1:15" x14ac:dyDescent="0.2">
      <c r="A27" s="7"/>
      <c r="B27" s="7"/>
      <c r="C27" s="7"/>
      <c r="D27" s="7"/>
      <c r="E27" s="7"/>
      <c r="F27" s="7"/>
      <c r="G27" s="7"/>
      <c r="H27" s="7"/>
      <c r="I27" s="7"/>
      <c r="J27" s="7"/>
      <c r="K27" s="7"/>
      <c r="L27" s="7"/>
      <c r="M27" s="7"/>
      <c r="N27" s="7"/>
      <c r="O27" s="7"/>
    </row>
    <row r="28" spans="1:15" x14ac:dyDescent="0.2">
      <c r="A28" s="7"/>
      <c r="B28" s="7"/>
      <c r="C28" s="7"/>
      <c r="D28" s="7"/>
      <c r="E28" s="7"/>
      <c r="F28" s="7"/>
      <c r="G28" s="7"/>
      <c r="H28" s="7"/>
      <c r="I28" s="7"/>
      <c r="J28" s="7"/>
      <c r="K28" s="7"/>
      <c r="L28" s="7"/>
      <c r="M28" s="7"/>
      <c r="N28" s="7"/>
      <c r="O28" s="7"/>
    </row>
    <row r="29" spans="1:15" x14ac:dyDescent="0.2">
      <c r="A29" s="7"/>
      <c r="B29" s="7"/>
      <c r="C29" s="7"/>
      <c r="D29" s="7"/>
      <c r="E29" s="7"/>
      <c r="F29" s="7"/>
      <c r="G29" s="7"/>
      <c r="H29" s="7"/>
      <c r="I29" s="7"/>
      <c r="J29" s="7"/>
      <c r="K29" s="7"/>
      <c r="L29" s="7"/>
      <c r="M29" s="7"/>
      <c r="N29" s="7"/>
      <c r="O29" s="7"/>
    </row>
    <row r="30" spans="1:15" x14ac:dyDescent="0.2">
      <c r="A30" s="7"/>
      <c r="B30" s="7"/>
      <c r="C30" s="7"/>
      <c r="D30" s="7"/>
      <c r="E30" s="7"/>
      <c r="F30" s="7"/>
      <c r="G30" s="7"/>
      <c r="H30" s="7"/>
      <c r="I30" s="7"/>
      <c r="J30" s="7"/>
      <c r="K30" s="7"/>
      <c r="L30" s="7"/>
      <c r="M30" s="7"/>
      <c r="N30" s="7"/>
      <c r="O30" s="7"/>
    </row>
    <row r="31" spans="1:15" x14ac:dyDescent="0.2">
      <c r="A31" s="7"/>
      <c r="B31" s="7"/>
      <c r="C31" s="7"/>
      <c r="D31" s="7"/>
      <c r="E31" s="7"/>
      <c r="F31" s="7"/>
      <c r="G31" s="7"/>
      <c r="H31" s="7"/>
      <c r="I31" s="7"/>
      <c r="J31" s="7"/>
      <c r="K31" s="7"/>
      <c r="L31" s="7"/>
      <c r="M31" s="7"/>
      <c r="N31" s="7"/>
      <c r="O31" s="7"/>
    </row>
    <row r="32" spans="1:15" x14ac:dyDescent="0.2">
      <c r="A32" s="7"/>
      <c r="B32" s="7"/>
      <c r="C32" s="7"/>
      <c r="D32" s="7"/>
      <c r="E32" s="7"/>
      <c r="F32" s="7"/>
      <c r="G32" s="7"/>
      <c r="H32" s="7"/>
      <c r="I32" s="7"/>
      <c r="J32" s="7"/>
      <c r="K32" s="7"/>
      <c r="L32" s="7"/>
      <c r="M32" s="7"/>
      <c r="N32" s="7"/>
      <c r="O32" s="7"/>
    </row>
    <row r="33" spans="1:15" x14ac:dyDescent="0.2">
      <c r="A33" s="7"/>
      <c r="B33" s="7"/>
      <c r="C33" s="7"/>
      <c r="D33" s="7"/>
      <c r="E33" s="7"/>
      <c r="F33" s="7"/>
      <c r="G33" s="7"/>
      <c r="H33" s="7"/>
      <c r="I33" s="7"/>
      <c r="J33" s="7"/>
      <c r="K33" s="7"/>
      <c r="L33" s="7"/>
      <c r="M33" s="7"/>
      <c r="N33" s="7"/>
      <c r="O33" s="7"/>
    </row>
    <row r="34" spans="1:15" x14ac:dyDescent="0.2">
      <c r="A34" s="7"/>
      <c r="B34" s="7"/>
      <c r="C34" s="7"/>
      <c r="D34" s="7"/>
      <c r="E34" s="7"/>
      <c r="F34" s="7"/>
      <c r="G34" s="7"/>
      <c r="H34" s="7"/>
      <c r="I34" s="7"/>
      <c r="J34" s="7"/>
      <c r="K34" s="7"/>
      <c r="L34" s="7"/>
      <c r="M34" s="7"/>
      <c r="N34" s="7"/>
      <c r="O34" s="7"/>
    </row>
    <row r="35" spans="1:15" x14ac:dyDescent="0.2">
      <c r="A35" s="7"/>
      <c r="B35" s="7"/>
      <c r="C35" s="7"/>
      <c r="D35" s="7"/>
      <c r="E35" s="7"/>
      <c r="F35" s="7"/>
      <c r="G35" s="7"/>
      <c r="H35" s="7"/>
      <c r="I35" s="7"/>
      <c r="J35" s="7"/>
      <c r="K35" s="7"/>
      <c r="L35" s="7"/>
      <c r="M35" s="7"/>
      <c r="N35" s="7"/>
      <c r="O35" s="7"/>
    </row>
    <row r="36" spans="1:15" x14ac:dyDescent="0.2">
      <c r="A36" s="7"/>
      <c r="B36" s="7"/>
      <c r="C36" s="7"/>
      <c r="D36" s="7"/>
      <c r="E36" s="7"/>
      <c r="F36" s="7"/>
      <c r="G36" s="7"/>
      <c r="H36" s="7"/>
      <c r="I36" s="7"/>
      <c r="J36" s="7"/>
      <c r="K36" s="7"/>
      <c r="L36" s="7"/>
      <c r="M36" s="7"/>
      <c r="N36" s="7"/>
      <c r="O36" s="7"/>
    </row>
    <row r="37" spans="1:15" x14ac:dyDescent="0.2">
      <c r="A37" s="7"/>
      <c r="B37" s="7"/>
      <c r="C37" s="7"/>
      <c r="D37" s="7"/>
      <c r="E37" s="7"/>
      <c r="F37" s="7"/>
      <c r="G37" s="7"/>
      <c r="H37" s="7"/>
      <c r="I37" s="7"/>
      <c r="J37" s="7"/>
      <c r="K37" s="7"/>
      <c r="L37" s="7"/>
      <c r="M37" s="7"/>
      <c r="N37" s="7"/>
      <c r="O37" s="7"/>
    </row>
  </sheetData>
  <sheetProtection algorithmName="SHA-512" hashValue="Sjy9oDxbckd9gR5kD3m0cxlz9Erb216Gl5oQqcpcaTNtdE0QLMTDatwCOfu+nooDz/Wm0/B8B9wg5Rer7xI8rQ==" saltValue="UgtJZy3t/m+Q0vm7QsIW7w==" spinCount="100000" sheet="1" objects="1" scenarios="1"/>
  <mergeCells count="1">
    <mergeCell ref="A2:E2"/>
  </mergeCells>
  <hyperlinks>
    <hyperlink ref="B11" r:id="rId1" xr:uid="{BF23F469-0C30-469F-9FC0-BCEC8410E9B1}"/>
    <hyperlink ref="B12" r:id="rId2" xr:uid="{A95EDCFF-D123-4B3A-8318-6424C21CAA99}"/>
  </hyperlinks>
  <pageMargins left="0.25" right="0.25" top="0.5" bottom="0.44999999999999996" header="0.25" footer="0.25"/>
  <pageSetup scale="83" orientation="landscape" r:id="rId3"/>
  <headerFooter alignWithMargins="0">
    <oddHeader xml:space="preserve">&amp;L &amp;C &amp;R </oddHeader>
    <oddFooter>&amp;L&amp;7&amp;D  at &amp;T Mike 702.486.8879&amp;C&amp;7&amp;F  &amp;A&amp;R&amp;7Page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pageSetUpPr fitToPage="1"/>
  </sheetPr>
  <dimension ref="A1:AB455"/>
  <sheetViews>
    <sheetView topLeftCell="A6" zoomScale="145" zoomScaleNormal="145" workbookViewId="0">
      <selection activeCell="E67" sqref="E67"/>
    </sheetView>
  </sheetViews>
  <sheetFormatPr defaultColWidth="8.7109375" defaultRowHeight="15" outlineLevelRow="3" outlineLevelCol="1" x14ac:dyDescent="0.25"/>
  <cols>
    <col min="1" max="1" width="5.5703125" customWidth="1"/>
    <col min="2" max="2" width="12.7109375" customWidth="1" outlineLevel="1"/>
    <col min="3" max="3" width="23" customWidth="1" outlineLevel="1"/>
    <col min="4" max="4" width="12.7109375" customWidth="1" outlineLevel="1"/>
    <col min="5" max="5" width="14.42578125" customWidth="1" outlineLevel="1"/>
    <col min="6" max="6" width="14.28515625" customWidth="1" outlineLevel="1"/>
    <col min="7" max="8" width="13.28515625" customWidth="1" outlineLevel="1"/>
    <col min="9" max="9" width="10" customWidth="1" outlineLevel="1"/>
    <col min="10" max="10" width="13.5703125" customWidth="1" outlineLevel="1"/>
    <col min="11" max="12" width="8.7109375" customWidth="1" outlineLevel="1"/>
    <col min="13" max="13" width="11.28515625" customWidth="1"/>
    <col min="14" max="14" width="8.7109375" customWidth="1"/>
    <col min="15" max="15" width="13.7109375" customWidth="1"/>
    <col min="16" max="16" width="10.5703125" style="4" customWidth="1"/>
    <col min="17" max="17" width="13.28515625" customWidth="1"/>
    <col min="18" max="18" width="13" customWidth="1"/>
    <col min="19" max="19" width="10.28515625" customWidth="1"/>
    <col min="20" max="20" width="12.28515625" customWidth="1"/>
    <col min="21" max="21" width="11" customWidth="1"/>
    <col min="22" max="22" width="11.7109375" customWidth="1"/>
    <col min="23" max="27" width="8.7109375" customWidth="1"/>
  </cols>
  <sheetData>
    <row r="1" spans="1:22" ht="15.75" x14ac:dyDescent="0.25">
      <c r="A1" s="21" t="s">
        <v>1138</v>
      </c>
      <c r="B1" s="21"/>
      <c r="J1" s="408" t="s">
        <v>3</v>
      </c>
      <c r="P1"/>
      <c r="Q1" s="23"/>
      <c r="V1" s="372"/>
    </row>
    <row r="2" spans="1:22" ht="15.75" x14ac:dyDescent="0.25">
      <c r="A2" s="1654" t="str">
        <f>SchoolName</f>
        <v>Odyssey Charter School</v>
      </c>
      <c r="B2" s="1654"/>
      <c r="P2"/>
    </row>
    <row r="3" spans="1:22" x14ac:dyDescent="0.25">
      <c r="A3" s="19" t="s">
        <v>80</v>
      </c>
      <c r="O3" s="4"/>
      <c r="P3"/>
    </row>
    <row r="4" spans="1:22" x14ac:dyDescent="0.25">
      <c r="A4" s="20" t="s">
        <v>81</v>
      </c>
      <c r="O4" s="4"/>
      <c r="P4"/>
    </row>
    <row r="5" spans="1:22" x14ac:dyDescent="0.25">
      <c r="A5" s="1146" t="str">
        <f ca="1">CELL("filename")</f>
        <v>\\lvraiders\users\sguthrie\Documents\Charter\Change of Sponsorship\[240126-SPCSA-Odyssey Charter School Application Workbook-AS-IS-Original Version.xlsx]Instructions</v>
      </c>
      <c r="O5" s="4"/>
      <c r="P5"/>
    </row>
    <row r="6" spans="1:22" x14ac:dyDescent="0.25">
      <c r="O6" s="774"/>
      <c r="P6" s="33"/>
      <c r="Q6" s="33"/>
      <c r="R6" s="33"/>
      <c r="S6" s="33"/>
      <c r="T6" s="33"/>
      <c r="U6" s="33"/>
      <c r="V6" s="33"/>
    </row>
    <row r="7" spans="1:22" ht="15.75" x14ac:dyDescent="0.25">
      <c r="B7" s="1659" t="s">
        <v>1460</v>
      </c>
      <c r="C7" s="1659"/>
      <c r="D7" s="1660"/>
      <c r="E7" s="1660"/>
      <c r="F7" s="377"/>
      <c r="O7" s="774"/>
      <c r="P7" s="33"/>
      <c r="Q7" s="33"/>
      <c r="R7" s="33"/>
      <c r="S7" s="33"/>
      <c r="T7" s="33"/>
      <c r="U7" s="33"/>
      <c r="V7" s="33"/>
    </row>
    <row r="8" spans="1:22" ht="15.75" x14ac:dyDescent="0.25">
      <c r="B8" s="377" t="s">
        <v>1463</v>
      </c>
      <c r="C8" s="389"/>
      <c r="D8" s="377"/>
      <c r="E8" s="377"/>
      <c r="F8" s="377"/>
      <c r="O8" s="774"/>
      <c r="P8" s="33"/>
      <c r="Q8" s="33"/>
      <c r="R8" s="33"/>
      <c r="S8" s="33"/>
      <c r="T8" s="33"/>
      <c r="U8" s="33"/>
      <c r="V8" s="33"/>
    </row>
    <row r="9" spans="1:22" ht="15.75" x14ac:dyDescent="0.25">
      <c r="B9" s="389" t="s">
        <v>1139</v>
      </c>
      <c r="C9" s="389"/>
      <c r="O9" s="774"/>
      <c r="P9" s="33"/>
      <c r="Q9" s="33"/>
      <c r="R9" s="33"/>
      <c r="S9" s="33"/>
      <c r="T9" s="33"/>
      <c r="U9" s="33"/>
      <c r="V9" s="33"/>
    </row>
    <row r="10" spans="1:22" ht="15.75" x14ac:dyDescent="0.25">
      <c r="B10" s="1647" t="s">
        <v>1140</v>
      </c>
      <c r="C10" s="1009"/>
      <c r="D10" s="996"/>
      <c r="E10" s="996"/>
      <c r="O10" s="774"/>
      <c r="P10" s="33"/>
      <c r="Q10" s="33"/>
      <c r="R10" s="33"/>
      <c r="S10" s="33"/>
      <c r="T10" s="33"/>
      <c r="U10" s="33"/>
      <c r="V10" s="33"/>
    </row>
    <row r="11" spans="1:22" ht="15.75" x14ac:dyDescent="0.25">
      <c r="B11" s="1005" t="s">
        <v>1141</v>
      </c>
      <c r="C11" s="1005"/>
      <c r="D11" s="1007" t="s">
        <v>1142</v>
      </c>
      <c r="E11" s="1007" t="s">
        <v>1143</v>
      </c>
      <c r="O11" s="774"/>
      <c r="P11" s="33"/>
      <c r="Q11" s="33"/>
      <c r="R11" s="33"/>
      <c r="S11" s="33"/>
      <c r="T11" s="33"/>
      <c r="U11" s="33"/>
      <c r="V11" s="33"/>
    </row>
    <row r="12" spans="1:22" ht="15.75" x14ac:dyDescent="0.25">
      <c r="A12" s="377">
        <v>1</v>
      </c>
      <c r="B12" s="377" t="s">
        <v>382</v>
      </c>
      <c r="C12" s="377"/>
      <c r="D12" s="1144">
        <v>9632</v>
      </c>
      <c r="E12" s="1024">
        <v>10114</v>
      </c>
      <c r="F12" s="1261"/>
      <c r="G12" t="s">
        <v>1144</v>
      </c>
      <c r="O12" s="774"/>
      <c r="P12" s="33"/>
      <c r="Q12" s="33"/>
      <c r="R12" s="33"/>
      <c r="S12" s="33"/>
      <c r="T12" s="33"/>
      <c r="U12" s="33"/>
      <c r="V12" s="33"/>
    </row>
    <row r="13" spans="1:22" ht="15.75" x14ac:dyDescent="0.25">
      <c r="A13" s="377">
        <f>1+A12</f>
        <v>2</v>
      </c>
      <c r="B13" s="1247" t="s">
        <v>1145</v>
      </c>
      <c r="C13" s="1247"/>
      <c r="D13" s="1145">
        <v>10157</v>
      </c>
      <c r="E13" s="1032">
        <v>10662</v>
      </c>
      <c r="O13" s="774"/>
      <c r="P13" s="33"/>
      <c r="Q13" s="33"/>
      <c r="R13" s="33"/>
      <c r="S13" s="33"/>
      <c r="T13" s="33"/>
      <c r="U13" s="33"/>
      <c r="V13" s="33"/>
    </row>
    <row r="14" spans="1:22" ht="15.75" x14ac:dyDescent="0.25">
      <c r="A14" s="377">
        <f t="shared" ref="A14:A15" si="0">1+A13</f>
        <v>3</v>
      </c>
      <c r="B14" s="1247" t="s">
        <v>1146</v>
      </c>
      <c r="C14" s="1247"/>
      <c r="D14" s="1145">
        <v>8966</v>
      </c>
      <c r="E14" s="1032">
        <v>9414</v>
      </c>
      <c r="O14" s="774"/>
      <c r="P14" s="33"/>
      <c r="Q14" s="33"/>
      <c r="R14" s="33"/>
      <c r="S14" s="33"/>
      <c r="T14" s="33"/>
      <c r="U14" s="33"/>
      <c r="V14" s="33"/>
    </row>
    <row r="15" spans="1:22" ht="15.75" x14ac:dyDescent="0.25">
      <c r="A15" s="377">
        <f t="shared" si="0"/>
        <v>4</v>
      </c>
      <c r="B15" s="1247" t="s">
        <v>1147</v>
      </c>
      <c r="C15" s="1247"/>
      <c r="D15" s="1145">
        <v>9670</v>
      </c>
      <c r="E15" s="1032">
        <v>10153</v>
      </c>
      <c r="O15" s="774"/>
      <c r="P15" s="33"/>
      <c r="Q15" s="33"/>
      <c r="R15" s="33"/>
      <c r="S15" s="33"/>
      <c r="T15" s="33"/>
      <c r="U15" s="33"/>
      <c r="V15" s="33"/>
    </row>
    <row r="16" spans="1:22" ht="15.75" x14ac:dyDescent="0.25">
      <c r="A16" s="377">
        <f>1+A15</f>
        <v>5</v>
      </c>
      <c r="B16" s="1247" t="s">
        <v>1148</v>
      </c>
      <c r="C16" s="1247"/>
      <c r="D16" s="1145">
        <v>8966</v>
      </c>
      <c r="E16" s="1032">
        <v>9414</v>
      </c>
      <c r="O16" s="774"/>
      <c r="P16" s="33"/>
      <c r="Q16" s="33"/>
      <c r="R16" s="33"/>
      <c r="S16" s="33"/>
      <c r="T16" s="33"/>
      <c r="U16" s="33"/>
      <c r="V16" s="33"/>
    </row>
    <row r="17" spans="1:22" ht="15.75" x14ac:dyDescent="0.25">
      <c r="A17" s="377">
        <f>1+A16</f>
        <v>6</v>
      </c>
      <c r="B17" s="1247" t="s">
        <v>1149</v>
      </c>
      <c r="C17" s="1247"/>
      <c r="D17" s="1145">
        <v>8966</v>
      </c>
      <c r="E17" s="1032">
        <v>9414</v>
      </c>
      <c r="O17" s="774"/>
      <c r="P17" s="33"/>
      <c r="Q17" s="33"/>
      <c r="R17" s="33"/>
      <c r="S17" s="33"/>
      <c r="T17" s="33"/>
      <c r="U17" s="33"/>
      <c r="V17" s="33"/>
    </row>
    <row r="18" spans="1:22" ht="15.75" x14ac:dyDescent="0.25">
      <c r="A18" s="377">
        <f>1+A17</f>
        <v>7</v>
      </c>
      <c r="B18" s="1247" t="s">
        <v>1150</v>
      </c>
      <c r="C18" s="1247"/>
      <c r="D18" s="1145">
        <v>9674</v>
      </c>
      <c r="E18" s="1032">
        <v>10158</v>
      </c>
      <c r="O18" s="774"/>
      <c r="P18" s="33"/>
      <c r="Q18" s="33"/>
      <c r="R18" s="33"/>
      <c r="S18" s="33"/>
      <c r="T18" s="33"/>
      <c r="U18" s="33"/>
      <c r="V18" s="33"/>
    </row>
    <row r="19" spans="1:22" ht="15.75" x14ac:dyDescent="0.25">
      <c r="A19" s="377">
        <f>1+A18</f>
        <v>8</v>
      </c>
      <c r="B19" s="1247" t="s">
        <v>1151</v>
      </c>
      <c r="C19" s="1247"/>
      <c r="D19" s="1145">
        <v>12982</v>
      </c>
      <c r="E19" s="1032">
        <v>13629</v>
      </c>
      <c r="O19" s="774"/>
      <c r="P19" s="33"/>
      <c r="Q19" s="33"/>
      <c r="R19" s="33"/>
      <c r="S19" s="33"/>
      <c r="T19" s="33"/>
      <c r="U19" s="33"/>
      <c r="V19" s="33"/>
    </row>
    <row r="20" spans="1:22" ht="15.75" x14ac:dyDescent="0.25">
      <c r="A20" s="377">
        <f>1+A19</f>
        <v>9</v>
      </c>
      <c r="B20" s="1247" t="s">
        <v>1465</v>
      </c>
      <c r="C20" s="374"/>
      <c r="D20" s="1667">
        <v>8966</v>
      </c>
      <c r="E20" s="1668">
        <v>9414</v>
      </c>
      <c r="F20" t="s">
        <v>1464</v>
      </c>
      <c r="O20" s="774"/>
      <c r="P20" s="33"/>
      <c r="Q20" s="33"/>
      <c r="R20" s="33"/>
      <c r="S20" s="33"/>
      <c r="T20" s="33"/>
      <c r="U20" s="33"/>
      <c r="V20" s="33"/>
    </row>
    <row r="21" spans="1:22" x14ac:dyDescent="0.25">
      <c r="F21" t="s">
        <v>1164</v>
      </c>
      <c r="O21" s="774"/>
      <c r="P21" s="33"/>
      <c r="Q21" s="33"/>
      <c r="R21" s="33"/>
      <c r="S21" s="33"/>
      <c r="T21" s="33"/>
      <c r="U21" s="33"/>
      <c r="V21" s="33"/>
    </row>
    <row r="22" spans="1:22" x14ac:dyDescent="0.25">
      <c r="F22" t="s">
        <v>1165</v>
      </c>
      <c r="O22" s="774"/>
      <c r="P22" s="33"/>
      <c r="Q22" s="33"/>
      <c r="R22" s="33"/>
      <c r="S22" s="33"/>
      <c r="T22" s="33"/>
      <c r="U22" s="33"/>
      <c r="V22" s="33"/>
    </row>
    <row r="23" spans="1:22" x14ac:dyDescent="0.25">
      <c r="O23" s="774"/>
      <c r="P23" s="33"/>
      <c r="Q23" s="33"/>
      <c r="R23" s="33"/>
      <c r="S23" s="33"/>
      <c r="T23" s="33"/>
      <c r="U23" s="33"/>
      <c r="V23" s="33"/>
    </row>
    <row r="24" spans="1:22" ht="15.75" x14ac:dyDescent="0.25">
      <c r="B24" s="1035" t="s">
        <v>1153</v>
      </c>
      <c r="C24" s="1035"/>
      <c r="D24" s="1036"/>
      <c r="E24" s="1036"/>
      <c r="O24" s="774"/>
      <c r="P24" s="33"/>
      <c r="Q24" s="33"/>
      <c r="R24" s="33"/>
      <c r="S24" s="33"/>
      <c r="T24" s="33"/>
      <c r="U24" s="33"/>
      <c r="V24" s="33"/>
    </row>
    <row r="25" spans="1:22" ht="15.75" x14ac:dyDescent="0.25">
      <c r="B25" s="1648" t="s">
        <v>1154</v>
      </c>
      <c r="C25" s="1002"/>
      <c r="D25" s="1003"/>
      <c r="E25" s="1030"/>
      <c r="O25" s="774"/>
      <c r="P25" s="33"/>
      <c r="Q25" s="33"/>
      <c r="R25" s="33"/>
      <c r="S25" s="33"/>
      <c r="T25" s="33"/>
      <c r="U25" s="33"/>
      <c r="V25" s="33"/>
    </row>
    <row r="26" spans="1:22" ht="15.75" x14ac:dyDescent="0.25">
      <c r="B26" s="1010" t="s">
        <v>1155</v>
      </c>
      <c r="C26" s="1010"/>
      <c r="D26" s="1650">
        <v>3845</v>
      </c>
      <c r="E26" s="1650">
        <v>3845</v>
      </c>
      <c r="F26" t="s">
        <v>1156</v>
      </c>
      <c r="O26" s="774"/>
      <c r="P26" s="33"/>
      <c r="Q26" s="33"/>
      <c r="R26" s="33"/>
      <c r="S26" s="33"/>
      <c r="T26" s="33"/>
      <c r="U26" s="33"/>
      <c r="V26" s="33"/>
    </row>
    <row r="27" spans="1:22" ht="15.75" x14ac:dyDescent="0.25">
      <c r="B27" s="1031" t="s">
        <v>1157</v>
      </c>
      <c r="C27" s="1031"/>
      <c r="D27" s="1081">
        <v>0.45</v>
      </c>
      <c r="E27" s="1081">
        <v>0.45</v>
      </c>
      <c r="O27" s="774"/>
      <c r="P27" s="33"/>
      <c r="Q27" s="33"/>
      <c r="R27" s="33"/>
      <c r="S27" s="33"/>
      <c r="T27" s="33"/>
      <c r="U27" s="33"/>
      <c r="V27" s="33"/>
    </row>
    <row r="28" spans="1:22" ht="15.75" x14ac:dyDescent="0.25">
      <c r="B28" s="1031" t="s">
        <v>1461</v>
      </c>
      <c r="C28" s="1031"/>
      <c r="D28" s="1081">
        <v>0.35</v>
      </c>
      <c r="E28" s="1081">
        <v>0.35</v>
      </c>
      <c r="F28" s="1669" t="s">
        <v>1467</v>
      </c>
      <c r="O28" s="774"/>
      <c r="P28" s="33"/>
      <c r="Q28" s="33"/>
      <c r="R28" s="33"/>
      <c r="S28" s="33"/>
      <c r="T28" s="33"/>
      <c r="U28" s="33"/>
      <c r="V28" s="33"/>
    </row>
    <row r="29" spans="1:22" ht="15.75" x14ac:dyDescent="0.25">
      <c r="B29" s="1031" t="s">
        <v>1158</v>
      </c>
      <c r="C29" s="1031"/>
      <c r="D29" s="1081">
        <v>0.12</v>
      </c>
      <c r="E29" s="1081">
        <v>0.12</v>
      </c>
      <c r="O29" s="774"/>
      <c r="P29" s="33"/>
      <c r="Q29" s="33"/>
      <c r="R29" s="33"/>
      <c r="S29" s="33"/>
      <c r="T29" s="33"/>
      <c r="U29" s="33"/>
      <c r="V29" s="33"/>
    </row>
    <row r="30" spans="1:22" x14ac:dyDescent="0.25">
      <c r="O30" s="774"/>
      <c r="P30" s="33"/>
      <c r="Q30" s="33"/>
      <c r="R30" s="33"/>
      <c r="S30" s="33"/>
      <c r="T30" s="33"/>
      <c r="U30" s="33"/>
      <c r="V30" s="33"/>
    </row>
    <row r="31" spans="1:22" ht="15.75" x14ac:dyDescent="0.25">
      <c r="B31" s="377"/>
      <c r="O31" s="774"/>
      <c r="P31" s="33"/>
      <c r="Q31" s="33"/>
      <c r="R31" s="33"/>
      <c r="S31" s="33"/>
      <c r="T31" s="33"/>
      <c r="U31" s="33"/>
      <c r="V31" s="33"/>
    </row>
    <row r="32" spans="1:22" x14ac:dyDescent="0.25">
      <c r="O32" s="774"/>
      <c r="P32" s="33"/>
      <c r="Q32" s="33"/>
      <c r="R32" s="33"/>
      <c r="S32" s="33"/>
      <c r="T32" s="33"/>
      <c r="U32" s="33"/>
      <c r="V32" s="33"/>
    </row>
    <row r="33" spans="1:22" hidden="1" outlineLevel="1" x14ac:dyDescent="0.25">
      <c r="O33" s="774"/>
      <c r="P33" s="33"/>
      <c r="Q33" s="33"/>
      <c r="R33" s="33"/>
      <c r="S33" s="33"/>
      <c r="T33" s="33"/>
      <c r="U33" s="33"/>
      <c r="V33" s="33"/>
    </row>
    <row r="34" spans="1:22" hidden="1" outlineLevel="1" x14ac:dyDescent="0.25">
      <c r="O34" s="774"/>
      <c r="P34" s="33"/>
      <c r="Q34" s="33"/>
      <c r="R34" s="33"/>
      <c r="S34" s="33"/>
      <c r="T34" s="33"/>
      <c r="U34" s="33"/>
      <c r="V34" s="33"/>
    </row>
    <row r="35" spans="1:22" hidden="1" outlineLevel="1" x14ac:dyDescent="0.25">
      <c r="O35" s="774"/>
      <c r="P35" s="33"/>
      <c r="Q35" s="33"/>
      <c r="R35" s="33"/>
      <c r="S35" s="33"/>
      <c r="T35" s="33"/>
      <c r="U35" s="33"/>
      <c r="V35" s="33"/>
    </row>
    <row r="36" spans="1:22" hidden="1" outlineLevel="1" x14ac:dyDescent="0.25">
      <c r="O36" s="774"/>
      <c r="P36" s="33"/>
      <c r="Q36" s="33"/>
      <c r="R36" s="33"/>
      <c r="S36" s="33"/>
      <c r="T36" s="33"/>
      <c r="U36" s="33"/>
      <c r="V36" s="33"/>
    </row>
    <row r="37" spans="1:22" hidden="1" outlineLevel="1" x14ac:dyDescent="0.25">
      <c r="O37" s="774"/>
      <c r="P37" s="33"/>
      <c r="Q37" s="33"/>
      <c r="R37" s="33"/>
      <c r="S37" s="33"/>
      <c r="T37" s="33"/>
      <c r="U37" s="33"/>
      <c r="V37" s="33"/>
    </row>
    <row r="38" spans="1:22" hidden="1" outlineLevel="1" x14ac:dyDescent="0.25">
      <c r="O38" s="774"/>
      <c r="P38" s="33"/>
      <c r="Q38" s="33"/>
      <c r="R38" s="33"/>
      <c r="S38" s="33"/>
      <c r="T38" s="33"/>
      <c r="U38" s="33"/>
      <c r="V38" s="33"/>
    </row>
    <row r="39" spans="1:22" hidden="1" outlineLevel="1" x14ac:dyDescent="0.25">
      <c r="O39" s="774"/>
      <c r="P39" s="33"/>
      <c r="Q39" s="33"/>
      <c r="R39" s="33"/>
      <c r="S39" s="33"/>
      <c r="T39" s="33"/>
      <c r="U39" s="33"/>
      <c r="V39" s="33"/>
    </row>
    <row r="40" spans="1:22" hidden="1" outlineLevel="1" x14ac:dyDescent="0.25">
      <c r="O40" s="774"/>
      <c r="P40" s="33"/>
      <c r="Q40" s="33"/>
      <c r="R40" s="33"/>
      <c r="S40" s="33"/>
      <c r="T40" s="33"/>
      <c r="U40" s="33"/>
      <c r="V40" s="33"/>
    </row>
    <row r="41" spans="1:22" ht="15.75" hidden="1" outlineLevel="1" x14ac:dyDescent="0.25">
      <c r="B41" s="1565" t="s">
        <v>1159</v>
      </c>
      <c r="O41" s="33"/>
      <c r="P41" s="324"/>
      <c r="Q41" s="324"/>
      <c r="R41" s="324"/>
      <c r="S41" s="324"/>
      <c r="T41" s="324"/>
      <c r="U41" s="324"/>
      <c r="V41" s="324"/>
    </row>
    <row r="42" spans="1:22" ht="15.75" hidden="1" outlineLevel="1" x14ac:dyDescent="0.25">
      <c r="B42" s="1011" t="s">
        <v>1459</v>
      </c>
      <c r="C42" s="1011"/>
      <c r="D42" s="1012"/>
      <c r="E42" s="1012"/>
      <c r="F42" s="1012"/>
      <c r="G42" s="1012"/>
      <c r="H42" s="1012"/>
      <c r="I42" s="1012"/>
      <c r="J42" s="1013"/>
      <c r="O42" s="33"/>
      <c r="P42" s="26"/>
      <c r="Q42" s="26"/>
      <c r="R42" s="26"/>
      <c r="S42" s="26"/>
      <c r="T42" s="26"/>
      <c r="U42" s="26"/>
      <c r="V42" s="26"/>
    </row>
    <row r="43" spans="1:22" ht="15.75" hidden="1" outlineLevel="1" x14ac:dyDescent="0.25">
      <c r="A43" s="377"/>
      <c r="B43" s="377"/>
      <c r="C43" s="377"/>
      <c r="D43" s="377"/>
      <c r="E43" s="377"/>
      <c r="F43" s="377"/>
      <c r="G43" s="377"/>
      <c r="H43" s="377"/>
      <c r="I43" s="377"/>
      <c r="O43" s="377"/>
      <c r="P43" s="378"/>
      <c r="Q43" s="773"/>
      <c r="R43" s="378"/>
      <c r="S43" s="378"/>
      <c r="T43" s="378"/>
      <c r="U43" s="378"/>
      <c r="V43" s="378"/>
    </row>
    <row r="44" spans="1:22" ht="15.75" hidden="1" outlineLevel="1" x14ac:dyDescent="0.25">
      <c r="A44" s="377"/>
      <c r="B44" s="1014" t="s">
        <v>1460</v>
      </c>
      <c r="C44" s="1014"/>
      <c r="D44" s="1015"/>
      <c r="E44" s="1015"/>
      <c r="F44" s="1015"/>
      <c r="G44" s="1015"/>
      <c r="H44" s="1015"/>
      <c r="I44" s="1015"/>
      <c r="J44" s="1016"/>
      <c r="O44" s="377"/>
      <c r="P44" s="380"/>
      <c r="Q44" s="378"/>
      <c r="R44" s="378"/>
      <c r="S44" s="378"/>
      <c r="T44" s="378"/>
      <c r="U44" s="378"/>
      <c r="V44" s="378"/>
    </row>
    <row r="45" spans="1:22" ht="15.75" hidden="1" outlineLevel="1" x14ac:dyDescent="0.25">
      <c r="A45" s="377"/>
      <c r="O45" s="377"/>
      <c r="P45" s="380"/>
      <c r="Q45" s="380"/>
      <c r="R45" s="380"/>
      <c r="S45" s="1798"/>
      <c r="T45" s="1798"/>
      <c r="U45" s="377"/>
      <c r="V45" s="377"/>
    </row>
    <row r="46" spans="1:22" ht="15.75" hidden="1" outlineLevel="1" x14ac:dyDescent="0.25">
      <c r="A46" s="377"/>
      <c r="B46" t="s">
        <v>1160</v>
      </c>
      <c r="D46" s="1228">
        <v>1</v>
      </c>
      <c r="E46" t="s">
        <v>1161</v>
      </c>
      <c r="O46" s="377"/>
      <c r="P46" s="380"/>
      <c r="Q46" s="380"/>
      <c r="R46" s="380"/>
      <c r="S46" s="1657"/>
      <c r="T46" s="1657"/>
      <c r="U46" s="377"/>
      <c r="V46" s="377"/>
    </row>
    <row r="47" spans="1:22" ht="15.75" hidden="1" outlineLevel="1" x14ac:dyDescent="0.25">
      <c r="A47" s="377"/>
      <c r="B47" t="s">
        <v>1160</v>
      </c>
      <c r="D47" s="1085">
        <v>0.99309999999999998</v>
      </c>
      <c r="E47" t="s">
        <v>1162</v>
      </c>
      <c r="O47" s="377"/>
      <c r="P47" s="380"/>
      <c r="Q47" s="380"/>
      <c r="R47" s="380"/>
      <c r="S47" s="1657"/>
      <c r="T47" s="1657"/>
      <c r="U47" s="377"/>
      <c r="V47" s="377"/>
    </row>
    <row r="48" spans="1:22" ht="15.75" hidden="1" outlineLevel="1" x14ac:dyDescent="0.25">
      <c r="A48" s="377"/>
      <c r="D48" s="1007" t="s">
        <v>1142</v>
      </c>
      <c r="E48" s="1007" t="s">
        <v>1143</v>
      </c>
      <c r="O48" s="377"/>
      <c r="P48" s="380"/>
      <c r="Q48" s="380"/>
      <c r="R48" s="380"/>
      <c r="S48" s="1657"/>
      <c r="T48" s="1657"/>
      <c r="U48" s="377"/>
      <c r="V48" s="377"/>
    </row>
    <row r="49" spans="1:22" ht="15.75" hidden="1" outlineLevel="1" x14ac:dyDescent="0.25">
      <c r="A49" s="497"/>
      <c r="B49" s="1034" t="s">
        <v>1164</v>
      </c>
      <c r="C49" s="1034"/>
      <c r="D49" s="1033">
        <v>8966</v>
      </c>
      <c r="E49" s="1033">
        <v>9414</v>
      </c>
      <c r="O49" s="377"/>
      <c r="P49" s="380"/>
      <c r="Q49" s="380"/>
      <c r="R49" s="380"/>
      <c r="S49" s="1657"/>
      <c r="T49" s="1657"/>
      <c r="U49" s="377"/>
      <c r="V49" s="377"/>
    </row>
    <row r="50" spans="1:22" ht="15.75" hidden="1" outlineLevel="1" x14ac:dyDescent="0.25">
      <c r="A50" s="497"/>
      <c r="B50" s="1034" t="s">
        <v>1165</v>
      </c>
      <c r="C50" s="389"/>
      <c r="D50" s="1008">
        <f>+D49*$D$46</f>
        <v>8966</v>
      </c>
      <c r="E50" s="1008">
        <f>+E49*$D$46</f>
        <v>9414</v>
      </c>
      <c r="O50" s="377"/>
      <c r="P50" s="380"/>
      <c r="Q50" s="380"/>
      <c r="R50" s="380"/>
      <c r="S50" s="1657"/>
      <c r="T50" s="1657"/>
      <c r="U50" s="377"/>
      <c r="V50" s="377"/>
    </row>
    <row r="51" spans="1:22" ht="15.75" hidden="1" outlineLevel="1" x14ac:dyDescent="0.25">
      <c r="A51" s="497"/>
      <c r="E51" s="1086"/>
      <c r="O51" s="377"/>
      <c r="P51" s="380"/>
      <c r="Q51" s="380"/>
      <c r="R51" s="380"/>
      <c r="S51" s="1657"/>
      <c r="T51" s="1657"/>
      <c r="U51" s="377"/>
      <c r="V51" s="377"/>
    </row>
    <row r="52" spans="1:22" ht="15.75" hidden="1" outlineLevel="1" x14ac:dyDescent="0.25">
      <c r="A52" s="497"/>
      <c r="B52" s="389" t="s">
        <v>1139</v>
      </c>
      <c r="C52" s="389"/>
      <c r="O52" s="377"/>
      <c r="P52" s="380"/>
      <c r="Q52" s="380"/>
      <c r="R52" s="380"/>
      <c r="S52" s="1657"/>
      <c r="T52" s="1657"/>
      <c r="U52" s="377"/>
      <c r="V52" s="377"/>
    </row>
    <row r="53" spans="1:22" ht="15.75" hidden="1" outlineLevel="1" x14ac:dyDescent="0.25">
      <c r="A53" s="497"/>
      <c r="B53" s="1009" t="s">
        <v>1166</v>
      </c>
      <c r="C53" s="1009"/>
      <c r="D53" s="996"/>
      <c r="E53" s="996"/>
      <c r="O53" s="377"/>
      <c r="P53" s="380"/>
      <c r="Q53" s="380"/>
      <c r="R53" s="380"/>
      <c r="S53" s="1657"/>
      <c r="T53" s="1657"/>
      <c r="U53" s="377"/>
      <c r="V53" s="377"/>
    </row>
    <row r="54" spans="1:22" ht="15.75" hidden="1" outlineLevel="1" x14ac:dyDescent="0.25">
      <c r="A54" s="497"/>
      <c r="B54" s="1005" t="s">
        <v>1141</v>
      </c>
      <c r="C54" s="1005"/>
      <c r="D54" s="1007" t="s">
        <v>1142</v>
      </c>
      <c r="E54" s="1007" t="s">
        <v>1143</v>
      </c>
      <c r="F54" s="1222" t="s">
        <v>1167</v>
      </c>
      <c r="O54" s="377"/>
      <c r="P54" s="380"/>
      <c r="Q54" s="380"/>
      <c r="R54" s="380"/>
      <c r="S54" s="1657"/>
      <c r="T54" s="1657"/>
      <c r="U54" s="377"/>
      <c r="V54" s="377"/>
    </row>
    <row r="55" spans="1:22" ht="15.75" hidden="1" outlineLevel="1" x14ac:dyDescent="0.25">
      <c r="A55" s="497"/>
      <c r="B55" s="1223" t="s">
        <v>1168</v>
      </c>
      <c r="C55" s="1223"/>
      <c r="D55" s="1144">
        <v>7494</v>
      </c>
      <c r="E55" s="1024">
        <v>7594</v>
      </c>
      <c r="F55" s="1221">
        <f t="shared" ref="F55:F61" si="1">E55/D55-1</f>
        <v>1.3344008540165486E-2</v>
      </c>
      <c r="O55" s="377"/>
      <c r="P55" s="380"/>
      <c r="Q55" s="380"/>
      <c r="R55" s="380"/>
      <c r="S55" s="1657"/>
      <c r="T55" s="1657"/>
      <c r="U55" s="377"/>
      <c r="V55" s="377"/>
    </row>
    <row r="56" spans="1:22" ht="15.75" hidden="1" outlineLevel="1" x14ac:dyDescent="0.25">
      <c r="A56" s="497"/>
      <c r="B56" s="1224" t="s">
        <v>1169</v>
      </c>
      <c r="C56" s="1224"/>
      <c r="D56" s="1145">
        <v>8093</v>
      </c>
      <c r="E56" s="1032">
        <v>8197</v>
      </c>
      <c r="F56" s="1221">
        <f t="shared" si="1"/>
        <v>1.2850611639688703E-2</v>
      </c>
      <c r="O56" s="377"/>
      <c r="P56" s="380"/>
      <c r="Q56" s="380"/>
      <c r="R56" s="380"/>
      <c r="S56" s="1657"/>
      <c r="T56" s="1657"/>
      <c r="U56" s="377"/>
      <c r="V56" s="377"/>
    </row>
    <row r="57" spans="1:22" ht="15.75" hidden="1" outlineLevel="1" x14ac:dyDescent="0.25">
      <c r="A57" s="497"/>
      <c r="B57" s="1224" t="s">
        <v>1170</v>
      </c>
      <c r="C57" s="1224"/>
      <c r="D57" s="1145">
        <v>7197</v>
      </c>
      <c r="E57" s="1032">
        <v>7293</v>
      </c>
      <c r="F57" s="1221">
        <f t="shared" si="1"/>
        <v>1.3338891204668579E-2</v>
      </c>
      <c r="O57" s="377"/>
      <c r="P57" s="380"/>
      <c r="Q57" s="380"/>
      <c r="R57" s="380"/>
      <c r="S57" s="1657"/>
      <c r="T57" s="1657"/>
      <c r="U57" s="377"/>
      <c r="V57" s="377"/>
    </row>
    <row r="58" spans="1:22" ht="15.75" hidden="1" outlineLevel="1" x14ac:dyDescent="0.25">
      <c r="A58" s="497"/>
      <c r="B58" s="1224" t="s">
        <v>1171</v>
      </c>
      <c r="C58" s="1224"/>
      <c r="D58" s="1145">
        <v>7715</v>
      </c>
      <c r="E58" s="1032">
        <v>7818</v>
      </c>
      <c r="F58" s="1221">
        <f t="shared" si="1"/>
        <v>1.335061568373308E-2</v>
      </c>
      <c r="O58" s="377"/>
      <c r="P58" s="380"/>
      <c r="Q58" s="380"/>
      <c r="R58" s="380"/>
      <c r="S58" s="1657"/>
      <c r="T58" s="1657"/>
      <c r="U58" s="377"/>
      <c r="V58" s="377"/>
    </row>
    <row r="59" spans="1:22" ht="15.75" hidden="1" outlineLevel="1" x14ac:dyDescent="0.25">
      <c r="A59" s="497"/>
      <c r="B59" s="1224" t="s">
        <v>1148</v>
      </c>
      <c r="C59" s="1224"/>
      <c r="D59" s="1145">
        <v>8764</v>
      </c>
      <c r="E59" s="1032">
        <v>8881</v>
      </c>
      <c r="F59" s="1221">
        <f>E59/D59-1</f>
        <v>1.3350068461889464E-2</v>
      </c>
      <c r="O59" s="377"/>
      <c r="P59" s="380"/>
      <c r="Q59" s="380"/>
      <c r="R59" s="380"/>
      <c r="S59" s="1657"/>
      <c r="T59" s="1657"/>
      <c r="U59" s="377"/>
      <c r="V59" s="377"/>
    </row>
    <row r="60" spans="1:22" ht="15.75" hidden="1" outlineLevel="1" x14ac:dyDescent="0.25">
      <c r="A60" s="497"/>
      <c r="B60" s="1224" t="s">
        <v>1172</v>
      </c>
      <c r="C60" s="1224"/>
      <c r="D60" s="1145">
        <v>6980</v>
      </c>
      <c r="E60" s="1032">
        <v>7074</v>
      </c>
      <c r="F60" s="1221">
        <f t="shared" si="1"/>
        <v>1.346704871060167E-2</v>
      </c>
      <c r="O60" s="377"/>
      <c r="P60" s="380"/>
      <c r="Q60" s="380"/>
      <c r="R60" s="380"/>
      <c r="S60" s="1657"/>
      <c r="T60" s="1657"/>
      <c r="U60" s="377"/>
      <c r="V60" s="377"/>
    </row>
    <row r="61" spans="1:22" ht="15.75" hidden="1" outlineLevel="1" x14ac:dyDescent="0.25">
      <c r="A61" s="497"/>
      <c r="B61" s="1224" t="s">
        <v>1173</v>
      </c>
      <c r="C61" s="1224"/>
      <c r="D61" s="1145">
        <v>10367</v>
      </c>
      <c r="E61" s="1032">
        <v>10501</v>
      </c>
      <c r="F61" s="1221">
        <f t="shared" si="1"/>
        <v>1.2925629400983851E-2</v>
      </c>
      <c r="O61" s="377"/>
      <c r="P61" s="380"/>
      <c r="Q61" s="380"/>
      <c r="R61" s="380"/>
      <c r="S61" s="1657"/>
      <c r="T61" s="1657"/>
      <c r="U61" s="377"/>
      <c r="V61" s="377"/>
    </row>
    <row r="62" spans="1:22" ht="15.75" hidden="1" outlineLevel="1" x14ac:dyDescent="0.25">
      <c r="A62" s="497"/>
      <c r="O62" s="377"/>
      <c r="P62" s="380"/>
      <c r="Q62" s="380"/>
      <c r="R62" s="380"/>
      <c r="S62" s="1657"/>
      <c r="T62" s="1657"/>
      <c r="U62" s="377"/>
      <c r="V62" s="377"/>
    </row>
    <row r="63" spans="1:22" ht="15.75" hidden="1" outlineLevel="1" x14ac:dyDescent="0.25">
      <c r="A63" s="497"/>
      <c r="B63" s="389" t="s">
        <v>1139</v>
      </c>
      <c r="C63" s="389"/>
      <c r="O63" s="377"/>
      <c r="P63" s="380"/>
      <c r="Q63" s="380"/>
      <c r="R63" s="380"/>
      <c r="S63" s="1657"/>
      <c r="T63" s="1657"/>
      <c r="U63" s="377"/>
      <c r="V63" s="377"/>
    </row>
    <row r="64" spans="1:22" ht="15.75" hidden="1" outlineLevel="1" x14ac:dyDescent="0.25">
      <c r="A64" s="497"/>
      <c r="B64" s="1009" t="s">
        <v>1174</v>
      </c>
      <c r="C64" s="1009"/>
      <c r="D64" s="996"/>
      <c r="E64" s="996"/>
      <c r="O64" s="377"/>
      <c r="P64" s="380"/>
      <c r="Q64" s="380"/>
      <c r="R64" s="380"/>
      <c r="S64" s="1657"/>
      <c r="T64" s="1657"/>
      <c r="U64" s="377"/>
      <c r="V64" s="377"/>
    </row>
    <row r="65" spans="1:22" ht="15.75" hidden="1" outlineLevel="1" x14ac:dyDescent="0.25">
      <c r="A65" s="497"/>
      <c r="B65" s="389"/>
      <c r="C65" s="389"/>
      <c r="E65" s="996"/>
      <c r="O65" s="377"/>
      <c r="P65" s="380"/>
      <c r="Q65" s="380"/>
      <c r="R65" s="380"/>
      <c r="S65" s="1657"/>
      <c r="T65" s="1657"/>
      <c r="U65" s="377"/>
      <c r="V65" s="377"/>
    </row>
    <row r="66" spans="1:22" ht="25.5" hidden="1" customHeight="1" outlineLevel="1" x14ac:dyDescent="0.25">
      <c r="A66" s="497"/>
      <c r="B66" s="1005" t="s">
        <v>1141</v>
      </c>
      <c r="C66" s="1005"/>
      <c r="D66" s="1246" t="s">
        <v>1175</v>
      </c>
      <c r="E66" s="1007" t="s">
        <v>1163</v>
      </c>
      <c r="F66" s="1222" t="s">
        <v>1167</v>
      </c>
      <c r="O66" s="377"/>
      <c r="P66" s="380"/>
      <c r="Q66" s="380"/>
      <c r="R66" s="380"/>
      <c r="S66" s="1657"/>
      <c r="T66" s="1657"/>
      <c r="U66" s="377"/>
      <c r="V66" s="377"/>
    </row>
    <row r="67" spans="1:22" ht="15.75" hidden="1" outlineLevel="1" x14ac:dyDescent="0.25">
      <c r="A67" s="497"/>
      <c r="B67" s="377" t="s">
        <v>1168</v>
      </c>
      <c r="C67" s="377"/>
      <c r="D67" s="496">
        <f t="shared" ref="D67:E70" si="2">+D55*$D$46</f>
        <v>7494</v>
      </c>
      <c r="E67" s="1024">
        <f t="shared" si="2"/>
        <v>7594</v>
      </c>
      <c r="F67" s="1221">
        <f t="shared" ref="F67:F73" si="3">E67/D67-1</f>
        <v>1.3344008540165486E-2</v>
      </c>
      <c r="O67" s="377"/>
      <c r="P67" s="380"/>
      <c r="Q67" s="380"/>
      <c r="R67" s="380"/>
      <c r="S67" s="1657"/>
      <c r="T67" s="1657"/>
      <c r="U67" s="377"/>
      <c r="V67" s="377"/>
    </row>
    <row r="68" spans="1:22" ht="15.75" hidden="1" outlineLevel="1" x14ac:dyDescent="0.25">
      <c r="A68" s="497"/>
      <c r="B68" s="1247" t="s">
        <v>1145</v>
      </c>
      <c r="C68" s="1247"/>
      <c r="D68" s="1134">
        <f t="shared" si="2"/>
        <v>8093</v>
      </c>
      <c r="E68" s="1032">
        <f t="shared" si="2"/>
        <v>8197</v>
      </c>
      <c r="F68" s="1221">
        <f t="shared" si="3"/>
        <v>1.2850611639688703E-2</v>
      </c>
      <c r="O68" s="377"/>
      <c r="P68" s="380"/>
      <c r="Q68" s="380"/>
      <c r="R68" s="380"/>
      <c r="S68" s="1657"/>
      <c r="T68" s="1657"/>
      <c r="U68" s="377"/>
      <c r="V68" s="377"/>
    </row>
    <row r="69" spans="1:22" ht="15.75" hidden="1" outlineLevel="1" x14ac:dyDescent="0.25">
      <c r="A69" s="497"/>
      <c r="B69" s="1247" t="s">
        <v>1146</v>
      </c>
      <c r="C69" s="1247"/>
      <c r="D69" s="1134">
        <f t="shared" si="2"/>
        <v>7197</v>
      </c>
      <c r="E69" s="1032">
        <f t="shared" si="2"/>
        <v>7293</v>
      </c>
      <c r="F69" s="1221">
        <f t="shared" si="3"/>
        <v>1.3338891204668579E-2</v>
      </c>
      <c r="O69" s="377"/>
      <c r="P69" s="380"/>
      <c r="Q69" s="380"/>
      <c r="R69" s="380"/>
      <c r="S69" s="1657"/>
      <c r="T69" s="1657"/>
      <c r="U69" s="377"/>
      <c r="V69" s="377"/>
    </row>
    <row r="70" spans="1:22" ht="15.75" hidden="1" outlineLevel="1" x14ac:dyDescent="0.25">
      <c r="A70" s="497"/>
      <c r="B70" s="1247" t="s">
        <v>1147</v>
      </c>
      <c r="C70" s="1247"/>
      <c r="D70" s="1134">
        <f t="shared" si="2"/>
        <v>7715</v>
      </c>
      <c r="E70" s="1032">
        <f t="shared" si="2"/>
        <v>7818</v>
      </c>
      <c r="F70" s="1221">
        <f t="shared" si="3"/>
        <v>1.335061568373308E-2</v>
      </c>
      <c r="O70" s="377"/>
      <c r="P70" s="380"/>
      <c r="Q70" s="380"/>
      <c r="R70" s="380"/>
      <c r="S70" s="1657"/>
      <c r="T70" s="1657"/>
      <c r="U70" s="377"/>
      <c r="V70" s="377"/>
    </row>
    <row r="71" spans="1:22" ht="15.75" hidden="1" outlineLevel="1" x14ac:dyDescent="0.25">
      <c r="A71" s="497"/>
      <c r="B71" s="1247" t="s">
        <v>1148</v>
      </c>
      <c r="C71" s="1247"/>
      <c r="D71" s="1134">
        <v>8764</v>
      </c>
      <c r="E71" s="1032">
        <v>8881</v>
      </c>
      <c r="F71" s="1221">
        <f>E71/D71-1</f>
        <v>1.3350068461889464E-2</v>
      </c>
      <c r="O71" s="377"/>
      <c r="P71" s="380"/>
      <c r="Q71" s="380"/>
      <c r="R71" s="380"/>
      <c r="S71" s="1657"/>
      <c r="T71" s="1657"/>
      <c r="U71" s="377"/>
      <c r="V71" s="377"/>
    </row>
    <row r="72" spans="1:22" ht="15.75" hidden="1" outlineLevel="1" x14ac:dyDescent="0.25">
      <c r="A72" s="497"/>
      <c r="B72" s="1247" t="s">
        <v>1176</v>
      </c>
      <c r="C72" s="1247"/>
      <c r="D72" s="1134">
        <f>+D60*$D$46</f>
        <v>6980</v>
      </c>
      <c r="E72" s="1032">
        <f>+E60*$D$46</f>
        <v>7074</v>
      </c>
      <c r="F72" s="1221">
        <f>E72/D72-1</f>
        <v>1.346704871060167E-2</v>
      </c>
      <c r="O72" s="377"/>
      <c r="P72" s="380"/>
      <c r="Q72" s="380"/>
      <c r="R72" s="380"/>
      <c r="S72" s="1657"/>
      <c r="T72" s="1657"/>
      <c r="U72" s="377"/>
      <c r="V72" s="377"/>
    </row>
    <row r="73" spans="1:22" ht="15.75" hidden="1" outlineLevel="1" x14ac:dyDescent="0.25">
      <c r="A73" s="497"/>
      <c r="B73" s="1248" t="s">
        <v>1151</v>
      </c>
      <c r="C73" s="1248"/>
      <c r="D73" s="1249">
        <f>+D61*$D$46</f>
        <v>10367</v>
      </c>
      <c r="E73" s="1250">
        <f>+E61*$D$46</f>
        <v>10501</v>
      </c>
      <c r="F73" s="1251">
        <f t="shared" si="3"/>
        <v>1.2925629400983851E-2</v>
      </c>
      <c r="O73" s="377"/>
      <c r="P73" s="380"/>
      <c r="Q73" s="380"/>
      <c r="R73" s="380"/>
      <c r="S73" s="1657"/>
      <c r="T73" s="1657"/>
      <c r="U73" s="377"/>
      <c r="V73" s="377"/>
    </row>
    <row r="74" spans="1:22" ht="15.75" hidden="1" outlineLevel="1" x14ac:dyDescent="0.25">
      <c r="A74" s="497"/>
      <c r="O74" s="377"/>
      <c r="P74" s="380"/>
      <c r="Q74" s="380"/>
      <c r="R74" s="380"/>
      <c r="S74" s="1657"/>
      <c r="T74" s="1657"/>
      <c r="U74" s="377"/>
      <c r="V74" s="377"/>
    </row>
    <row r="75" spans="1:22" ht="15.75" hidden="1" outlineLevel="1" x14ac:dyDescent="0.25">
      <c r="A75" s="497"/>
      <c r="B75" s="1035" t="s">
        <v>1153</v>
      </c>
      <c r="C75" s="1035"/>
      <c r="D75" s="1036"/>
      <c r="E75" s="1036"/>
      <c r="G75" s="1007" t="s">
        <v>1177</v>
      </c>
      <c r="O75" s="377"/>
      <c r="P75" s="380"/>
      <c r="Q75" s="380"/>
      <c r="R75" s="380"/>
      <c r="S75" s="1657"/>
      <c r="T75" s="1657"/>
      <c r="U75" s="377"/>
      <c r="V75" s="377"/>
    </row>
    <row r="76" spans="1:22" ht="15.75" hidden="1" outlineLevel="1" x14ac:dyDescent="0.25">
      <c r="A76" s="497"/>
      <c r="B76" s="1002" t="s">
        <v>1178</v>
      </c>
      <c r="C76" s="1002"/>
      <c r="D76" s="1003"/>
      <c r="E76" s="1030"/>
      <c r="H76">
        <v>7197</v>
      </c>
      <c r="O76" s="377"/>
      <c r="P76" s="380"/>
      <c r="Q76" s="380"/>
      <c r="R76" s="380"/>
      <c r="S76" s="1657"/>
      <c r="T76" s="1657"/>
      <c r="U76" s="377"/>
      <c r="V76" s="377"/>
    </row>
    <row r="77" spans="1:22" ht="15.75" hidden="1" outlineLevel="1" x14ac:dyDescent="0.25">
      <c r="A77" s="497"/>
      <c r="B77" s="1010" t="s">
        <v>1155</v>
      </c>
      <c r="C77" s="1010"/>
      <c r="D77" s="1569">
        <v>0.38284007225232736</v>
      </c>
      <c r="E77" s="1570">
        <v>0.33</v>
      </c>
      <c r="F77" t="s">
        <v>1179</v>
      </c>
      <c r="G77" s="1259">
        <f>+$D$69*D77</f>
        <v>2755.3</v>
      </c>
      <c r="H77" s="1260">
        <f>+$H$76+G77</f>
        <v>9952.2999999999993</v>
      </c>
      <c r="O77" s="377"/>
      <c r="P77" s="380"/>
      <c r="Q77" s="380"/>
      <c r="R77" s="380"/>
      <c r="S77" s="1657"/>
      <c r="T77" s="1657"/>
      <c r="U77" s="377"/>
      <c r="V77" s="377"/>
    </row>
    <row r="78" spans="1:22" ht="15.75" hidden="1" outlineLevel="1" x14ac:dyDescent="0.25">
      <c r="A78" s="497"/>
      <c r="B78" s="1031" t="s">
        <v>1157</v>
      </c>
      <c r="C78" s="1031"/>
      <c r="D78" s="1081">
        <v>0.24</v>
      </c>
      <c r="E78" s="1081">
        <v>0.23</v>
      </c>
      <c r="G78" s="496">
        <f>+$D$69*D78</f>
        <v>1727.28</v>
      </c>
      <c r="H78" s="1260">
        <f>+$H$76+G78</f>
        <v>8924.2800000000007</v>
      </c>
      <c r="O78" s="377"/>
      <c r="P78" s="380"/>
      <c r="Q78" s="380"/>
      <c r="R78" s="380"/>
      <c r="S78" s="1657"/>
      <c r="T78" s="1657"/>
      <c r="U78" s="377"/>
      <c r="V78" s="377"/>
    </row>
    <row r="79" spans="1:22" ht="15.75" hidden="1" outlineLevel="1" x14ac:dyDescent="0.25">
      <c r="A79" s="497"/>
      <c r="B79" s="1031" t="s">
        <v>1461</v>
      </c>
      <c r="C79" s="1031"/>
      <c r="D79" s="1081">
        <v>0.03</v>
      </c>
      <c r="E79" s="1081">
        <v>0.03</v>
      </c>
      <c r="G79" s="496">
        <f>+$D$69*D79</f>
        <v>215.91</v>
      </c>
      <c r="H79" s="1260">
        <f>+$H$76+G79</f>
        <v>7412.91</v>
      </c>
      <c r="I79" s="1261" t="s">
        <v>1180</v>
      </c>
      <c r="O79" s="377"/>
      <c r="P79" s="380"/>
      <c r="Q79" s="380"/>
      <c r="R79" s="380"/>
      <c r="S79" s="1657"/>
      <c r="T79" s="1657"/>
      <c r="U79" s="377"/>
      <c r="V79" s="377"/>
    </row>
    <row r="80" spans="1:22" ht="15.75" hidden="1" outlineLevel="1" x14ac:dyDescent="0.25">
      <c r="A80" s="498"/>
      <c r="B80" s="1031" t="s">
        <v>1158</v>
      </c>
      <c r="C80" s="1031"/>
      <c r="D80" s="1081">
        <v>0.12</v>
      </c>
      <c r="E80" s="1081">
        <v>0.12</v>
      </c>
      <c r="G80" s="496">
        <f>+$D$69*D80</f>
        <v>863.64</v>
      </c>
      <c r="H80" s="1260">
        <f>+$H$76+G80</f>
        <v>8060.64</v>
      </c>
      <c r="O80" s="775"/>
      <c r="P80" s="383"/>
      <c r="Q80" s="1217"/>
      <c r="R80" s="1218"/>
      <c r="S80" s="1219"/>
      <c r="T80" s="1218"/>
      <c r="U80" s="377"/>
      <c r="V80" s="377"/>
    </row>
    <row r="81" spans="1:22" ht="15.75" hidden="1" outlineLevel="1" x14ac:dyDescent="0.25">
      <c r="A81" s="377"/>
      <c r="H81" s="1098"/>
      <c r="I81" s="1097"/>
      <c r="J81" s="1098"/>
      <c r="K81" s="1103"/>
      <c r="L81" s="1098"/>
      <c r="M81" s="1097"/>
      <c r="O81" s="384"/>
      <c r="P81" s="385"/>
      <c r="Q81" s="386"/>
      <c r="R81" s="386"/>
      <c r="S81" s="386"/>
      <c r="T81" s="386"/>
      <c r="U81" s="377"/>
      <c r="V81" s="377"/>
    </row>
    <row r="82" spans="1:22" ht="15.75" hidden="1" outlineLevel="2" x14ac:dyDescent="0.25">
      <c r="A82" s="377"/>
      <c r="B82" s="1005" t="s">
        <v>1181</v>
      </c>
      <c r="C82" s="1005"/>
      <c r="D82" s="404"/>
      <c r="O82" s="384"/>
      <c r="P82" s="385"/>
      <c r="Q82" s="386"/>
      <c r="R82" s="386"/>
      <c r="S82" s="386"/>
      <c r="T82" s="386"/>
      <c r="U82" s="377"/>
      <c r="V82" s="377"/>
    </row>
    <row r="83" spans="1:22" ht="15.75" hidden="1" outlineLevel="2" x14ac:dyDescent="0.25">
      <c r="A83" s="377"/>
      <c r="B83" s="1060" t="s">
        <v>1182</v>
      </c>
      <c r="C83" s="1060"/>
      <c r="D83" s="1160">
        <f>+J170</f>
        <v>150</v>
      </c>
      <c r="E83" s="1"/>
      <c r="F83" s="1089"/>
      <c r="S83" s="386"/>
      <c r="T83" s="386"/>
      <c r="U83" s="377"/>
      <c r="V83" s="377"/>
    </row>
    <row r="84" spans="1:22" ht="15.75" hidden="1" outlineLevel="2" x14ac:dyDescent="0.25">
      <c r="A84" s="377"/>
      <c r="B84" s="1059" t="s">
        <v>1183</v>
      </c>
      <c r="C84" s="1059"/>
      <c r="D84" s="1161">
        <f>+J205</f>
        <v>327</v>
      </c>
      <c r="I84" s="385"/>
      <c r="S84" s="386"/>
      <c r="T84" s="386"/>
      <c r="U84" s="377"/>
      <c r="V84" s="377"/>
    </row>
    <row r="85" spans="1:22" ht="15.75" hidden="1" outlineLevel="2" x14ac:dyDescent="0.25">
      <c r="A85" s="377"/>
      <c r="B85" s="1061"/>
      <c r="C85" s="1061"/>
      <c r="D85" s="1041">
        <f>SUM(D83:D84)</f>
        <v>477</v>
      </c>
      <c r="F85" s="1"/>
      <c r="I85" s="385"/>
      <c r="S85" s="386"/>
      <c r="T85" s="386"/>
      <c r="U85" s="377"/>
      <c r="V85" s="377"/>
    </row>
    <row r="86" spans="1:22" ht="15.75" hidden="1" outlineLevel="2" x14ac:dyDescent="0.25">
      <c r="A86" s="377"/>
      <c r="D86" s="5"/>
      <c r="F86" s="1"/>
      <c r="I86" s="385"/>
      <c r="S86" s="386"/>
      <c r="T86" s="386"/>
      <c r="U86" s="377"/>
      <c r="V86" s="377"/>
    </row>
    <row r="87" spans="1:22" ht="15.75" hidden="1" outlineLevel="2" x14ac:dyDescent="0.25">
      <c r="A87" s="377"/>
      <c r="B87" s="1099" t="s">
        <v>1184</v>
      </c>
      <c r="C87" s="1099"/>
      <c r="D87" s="1099"/>
      <c r="F87" s="1"/>
      <c r="I87" s="385"/>
      <c r="S87" s="386"/>
      <c r="T87" s="386"/>
      <c r="U87" s="377"/>
      <c r="V87" s="377"/>
    </row>
    <row r="88" spans="1:22" ht="15.75" hidden="1" outlineLevel="2" x14ac:dyDescent="0.25">
      <c r="A88" s="377"/>
      <c r="B88" s="1095" t="s">
        <v>1185</v>
      </c>
      <c r="C88" s="1096"/>
      <c r="D88" s="1096"/>
      <c r="F88" s="1"/>
      <c r="I88" s="385"/>
      <c r="S88" s="386"/>
      <c r="T88" s="386"/>
      <c r="U88" s="377"/>
      <c r="V88" s="377"/>
    </row>
    <row r="89" spans="1:22" ht="15.75" hidden="1" outlineLevel="2" x14ac:dyDescent="0.25">
      <c r="A89" s="377"/>
      <c r="B89" s="1097"/>
      <c r="C89" s="1098"/>
      <c r="D89" s="1097"/>
      <c r="F89" s="1"/>
      <c r="S89" s="386"/>
      <c r="T89" s="386"/>
      <c r="U89" s="377"/>
      <c r="V89" s="377"/>
    </row>
    <row r="90" spans="1:22" ht="15.75" hidden="1" outlineLevel="2" x14ac:dyDescent="0.25">
      <c r="A90" s="377"/>
      <c r="B90" s="1111" t="s">
        <v>1186</v>
      </c>
      <c r="C90" s="1098"/>
      <c r="D90" s="1112">
        <v>500</v>
      </c>
      <c r="F90" s="1"/>
      <c r="S90" s="386"/>
      <c r="T90" s="386"/>
      <c r="U90" s="377"/>
      <c r="V90" s="377"/>
    </row>
    <row r="91" spans="1:22" ht="15.75" hidden="1" outlineLevel="2" x14ac:dyDescent="0.25">
      <c r="A91" s="377"/>
      <c r="B91" s="1111" t="s">
        <v>1187</v>
      </c>
      <c r="C91" s="1098"/>
      <c r="D91" s="1112">
        <v>250</v>
      </c>
      <c r="F91" s="1"/>
      <c r="S91" s="386"/>
      <c r="T91" s="386"/>
      <c r="U91" s="377"/>
      <c r="V91" s="377"/>
    </row>
    <row r="92" spans="1:22" ht="15.75" hidden="1" outlineLevel="2" x14ac:dyDescent="0.25">
      <c r="A92" s="377"/>
      <c r="B92" s="1111" t="s">
        <v>1188</v>
      </c>
      <c r="C92" s="1098"/>
      <c r="D92" s="1162">
        <f>SUM(B97,B99,B101,B103)</f>
        <v>318</v>
      </c>
      <c r="E92" s="1163"/>
      <c r="F92" s="1"/>
      <c r="S92" s="386"/>
      <c r="T92" s="386"/>
      <c r="U92" s="377"/>
      <c r="V92" s="377"/>
    </row>
    <row r="93" spans="1:22" ht="15.75" hidden="1" outlineLevel="2" x14ac:dyDescent="0.25">
      <c r="A93" s="377"/>
      <c r="B93" s="1097"/>
      <c r="C93" s="1098"/>
      <c r="D93" s="1097"/>
      <c r="F93" s="1"/>
      <c r="S93" s="386"/>
      <c r="T93" s="386"/>
      <c r="U93" s="377"/>
      <c r="V93" s="377"/>
    </row>
    <row r="94" spans="1:22" ht="15.75" hidden="1" outlineLevel="2" x14ac:dyDescent="0.25">
      <c r="A94" s="377"/>
      <c r="B94" s="1138" t="s">
        <v>1189</v>
      </c>
      <c r="C94" s="1105"/>
      <c r="D94" s="1104"/>
      <c r="E94" s="404"/>
      <c r="F94" s="1"/>
      <c r="G94" t="s">
        <v>672</v>
      </c>
      <c r="K94">
        <v>500</v>
      </c>
      <c r="N94" t="s">
        <v>1190</v>
      </c>
      <c r="S94" s="386"/>
      <c r="T94" s="386"/>
      <c r="U94" s="377"/>
      <c r="V94" s="377"/>
    </row>
    <row r="95" spans="1:22" ht="15.75" hidden="1" outlineLevel="2" x14ac:dyDescent="0.25">
      <c r="A95" s="377"/>
      <c r="B95" s="1099" t="s">
        <v>1191</v>
      </c>
      <c r="C95" s="1105"/>
      <c r="D95" s="1099" t="s">
        <v>1192</v>
      </c>
      <c r="E95" s="1104"/>
      <c r="G95" s="1097"/>
      <c r="I95" t="s">
        <v>1193</v>
      </c>
      <c r="J95" t="s">
        <v>1194</v>
      </c>
      <c r="K95" t="s">
        <v>1195</v>
      </c>
      <c r="N95" t="s">
        <v>1196</v>
      </c>
      <c r="S95" s="386"/>
      <c r="T95" s="386"/>
      <c r="U95" s="377"/>
      <c r="V95" s="377"/>
    </row>
    <row r="96" spans="1:22" ht="15.75" hidden="1" outlineLevel="2" x14ac:dyDescent="0.25">
      <c r="A96" s="377"/>
      <c r="B96" s="1096" t="s">
        <v>1197</v>
      </c>
      <c r="C96" s="1113" t="s">
        <v>1198</v>
      </c>
      <c r="D96" s="1113" t="s">
        <v>1199</v>
      </c>
      <c r="E96" s="1113" t="s">
        <v>1200</v>
      </c>
      <c r="G96" s="1097"/>
      <c r="I96" s="1113" t="s">
        <v>1201</v>
      </c>
      <c r="J96" s="1113" t="s">
        <v>1202</v>
      </c>
      <c r="K96" s="1113" t="s">
        <v>1203</v>
      </c>
      <c r="N96" s="1113" t="s">
        <v>1204</v>
      </c>
      <c r="S96" s="386"/>
      <c r="T96" s="386"/>
      <c r="U96" s="377"/>
      <c r="V96" s="377"/>
    </row>
    <row r="97" spans="1:28" ht="15.75" hidden="1" outlineLevel="2" x14ac:dyDescent="0.25">
      <c r="A97" s="377"/>
      <c r="B97" s="1101">
        <v>45</v>
      </c>
      <c r="C97" s="1101">
        <v>0</v>
      </c>
      <c r="D97" s="1102">
        <v>10</v>
      </c>
      <c r="E97" s="1101">
        <v>15</v>
      </c>
      <c r="G97" s="1095" t="s">
        <v>1197</v>
      </c>
      <c r="H97" s="1164">
        <v>0.5</v>
      </c>
      <c r="I97" s="1165">
        <v>0.15</v>
      </c>
      <c r="J97" s="1165">
        <v>0.15</v>
      </c>
      <c r="K97" s="5">
        <f>+J97*$K$94</f>
        <v>75</v>
      </c>
      <c r="M97">
        <v>15</v>
      </c>
      <c r="S97" s="386"/>
      <c r="T97" s="386"/>
      <c r="U97" s="377"/>
      <c r="V97" s="377"/>
    </row>
    <row r="98" spans="1:28" ht="15.75" hidden="1" outlineLevel="2" x14ac:dyDescent="0.25">
      <c r="A98" s="377"/>
      <c r="B98" s="1096" t="s">
        <v>1205</v>
      </c>
      <c r="C98" s="1113" t="s">
        <v>1206</v>
      </c>
      <c r="D98" s="1113" t="s">
        <v>1207</v>
      </c>
      <c r="E98" s="1097"/>
      <c r="G98" s="1166" t="s">
        <v>1208</v>
      </c>
      <c r="H98" s="1164">
        <v>0.24</v>
      </c>
      <c r="I98" s="1165">
        <v>0.2</v>
      </c>
      <c r="J98" s="1165">
        <v>0.17</v>
      </c>
      <c r="K98" s="5">
        <f>+J98*$K$94</f>
        <v>85</v>
      </c>
      <c r="M98">
        <v>17</v>
      </c>
      <c r="S98" s="386"/>
      <c r="T98" s="386"/>
      <c r="U98" s="377"/>
      <c r="V98" s="377"/>
    </row>
    <row r="99" spans="1:28" ht="15.75" hidden="1" outlineLevel="2" x14ac:dyDescent="0.25">
      <c r="A99" s="377"/>
      <c r="B99" s="1101">
        <v>53</v>
      </c>
      <c r="C99" s="1101">
        <v>0</v>
      </c>
      <c r="D99" s="1101">
        <v>0</v>
      </c>
      <c r="F99" s="1097"/>
      <c r="G99" s="1166" t="s">
        <v>1205</v>
      </c>
      <c r="H99" s="1164">
        <v>0.12</v>
      </c>
      <c r="I99" s="1165">
        <v>0.01</v>
      </c>
      <c r="J99" s="1165">
        <v>0.01</v>
      </c>
      <c r="K99" s="5">
        <f>+J99*$K$94</f>
        <v>5</v>
      </c>
      <c r="M99">
        <v>4</v>
      </c>
      <c r="S99" s="386"/>
      <c r="T99" s="386"/>
      <c r="U99" s="377"/>
      <c r="V99" s="377"/>
    </row>
    <row r="100" spans="1:28" ht="15.75" hidden="1" outlineLevel="2" x14ac:dyDescent="0.25">
      <c r="A100" s="377"/>
      <c r="B100" s="1096" t="s">
        <v>1208</v>
      </c>
      <c r="C100" s="1113" t="s">
        <v>1209</v>
      </c>
      <c r="D100" s="1097"/>
      <c r="F100" s="1097"/>
      <c r="G100" s="1095" t="s">
        <v>1210</v>
      </c>
      <c r="H100" s="1164">
        <v>0.5</v>
      </c>
      <c r="I100" s="1165">
        <v>0.5</v>
      </c>
      <c r="J100" s="1165">
        <v>0.5</v>
      </c>
      <c r="K100" s="5">
        <f>+J100*$K$94</f>
        <v>250</v>
      </c>
      <c r="N100" s="1164">
        <v>0.8</v>
      </c>
      <c r="S100" s="386"/>
      <c r="T100" s="386"/>
      <c r="U100" s="377"/>
      <c r="V100" s="377"/>
      <c r="AB100">
        <v>0.64</v>
      </c>
    </row>
    <row r="101" spans="1:28" ht="15.75" hidden="1" outlineLevel="2" x14ac:dyDescent="0.25">
      <c r="A101" s="377"/>
      <c r="B101" s="1101">
        <v>30</v>
      </c>
      <c r="C101" s="1101">
        <v>20</v>
      </c>
      <c r="D101" s="1097"/>
      <c r="F101" s="1097"/>
      <c r="K101" s="5">
        <f>SUM(K97:K100)</f>
        <v>415</v>
      </c>
      <c r="S101" s="386"/>
      <c r="T101" s="386"/>
      <c r="U101" s="377"/>
      <c r="V101" s="377"/>
    </row>
    <row r="102" spans="1:28" ht="15.75" hidden="1" outlineLevel="2" x14ac:dyDescent="0.25">
      <c r="A102" s="377"/>
      <c r="B102" s="1096" t="s">
        <v>1210</v>
      </c>
      <c r="C102" s="1100"/>
      <c r="D102" s="1100"/>
      <c r="F102" s="1100"/>
      <c r="I102" s="1164">
        <v>0.06</v>
      </c>
      <c r="S102" s="386"/>
      <c r="T102" s="386"/>
      <c r="U102" s="377"/>
      <c r="V102" s="377"/>
    </row>
    <row r="103" spans="1:28" ht="15.75" hidden="1" outlineLevel="2" x14ac:dyDescent="0.25">
      <c r="A103" s="377"/>
      <c r="B103" s="1101">
        <v>190</v>
      </c>
      <c r="C103" s="1097"/>
      <c r="D103" s="1103"/>
      <c r="F103" s="1097"/>
      <c r="G103" t="s">
        <v>1211</v>
      </c>
      <c r="S103" s="386"/>
      <c r="T103" s="386"/>
      <c r="U103" s="377"/>
      <c r="V103" s="377"/>
    </row>
    <row r="104" spans="1:28" ht="15.75" hidden="1" outlineLevel="2" x14ac:dyDescent="0.25">
      <c r="A104" s="377"/>
      <c r="B104" s="1104"/>
      <c r="C104" s="1104"/>
      <c r="D104" s="1106"/>
      <c r="E104" s="1104"/>
      <c r="S104" s="386"/>
      <c r="T104" s="386"/>
      <c r="U104" s="377"/>
      <c r="V104" s="377"/>
    </row>
    <row r="105" spans="1:28" ht="15.75" hidden="1" outlineLevel="2" x14ac:dyDescent="0.25">
      <c r="A105" s="377"/>
      <c r="B105" s="1109" t="s">
        <v>1212</v>
      </c>
      <c r="C105" s="1109"/>
      <c r="D105" s="1109"/>
      <c r="E105" s="1109"/>
      <c r="S105" s="386"/>
      <c r="T105" s="386"/>
      <c r="U105" s="377"/>
      <c r="V105" s="377"/>
    </row>
    <row r="106" spans="1:28" ht="15.75" hidden="1" outlineLevel="2" x14ac:dyDescent="0.25">
      <c r="A106" s="377"/>
      <c r="B106" s="1113" t="s">
        <v>1213</v>
      </c>
      <c r="C106" s="1113" t="s">
        <v>1214</v>
      </c>
      <c r="D106" s="1113" t="s">
        <v>1215</v>
      </c>
      <c r="E106" s="1113" t="s">
        <v>1216</v>
      </c>
      <c r="S106" s="386"/>
      <c r="T106" s="386"/>
      <c r="U106" s="377"/>
      <c r="V106" s="377"/>
    </row>
    <row r="107" spans="1:28" ht="15.75" hidden="1" outlineLevel="2" x14ac:dyDescent="0.25">
      <c r="A107" s="377"/>
      <c r="B107" s="1101">
        <v>0</v>
      </c>
      <c r="C107" s="1101">
        <v>1</v>
      </c>
      <c r="D107" s="1102">
        <v>1</v>
      </c>
      <c r="E107" s="1101">
        <v>10</v>
      </c>
      <c r="S107" s="386"/>
      <c r="T107" s="386"/>
      <c r="U107" s="377"/>
      <c r="V107" s="377"/>
    </row>
    <row r="108" spans="1:28" ht="15.75" hidden="1" outlineLevel="2" x14ac:dyDescent="0.25">
      <c r="A108" s="377"/>
      <c r="B108" s="1113" t="s">
        <v>1217</v>
      </c>
      <c r="C108" s="1097"/>
      <c r="D108" s="1097"/>
      <c r="S108" s="386"/>
      <c r="T108" s="386"/>
      <c r="U108" s="377"/>
      <c r="V108" s="377"/>
    </row>
    <row r="109" spans="1:28" ht="15.75" hidden="1" outlineLevel="2" x14ac:dyDescent="0.25">
      <c r="A109" s="377"/>
      <c r="B109" s="1101">
        <v>0</v>
      </c>
      <c r="C109" s="1098"/>
      <c r="D109" s="1097"/>
      <c r="E109" s="1097"/>
      <c r="F109" s="1097"/>
      <c r="G109" s="1097"/>
      <c r="S109" s="386"/>
      <c r="T109" s="386"/>
      <c r="U109" s="377"/>
      <c r="V109" s="377"/>
    </row>
    <row r="110" spans="1:28" ht="15.75" hidden="1" outlineLevel="2" x14ac:dyDescent="0.25">
      <c r="A110" s="377"/>
      <c r="B110" s="1104"/>
      <c r="C110" s="1104"/>
      <c r="D110" s="1104"/>
      <c r="E110" s="1104"/>
      <c r="F110" s="1104"/>
      <c r="G110" s="1104"/>
      <c r="S110" s="386"/>
      <c r="T110" s="386"/>
      <c r="U110" s="377"/>
      <c r="V110" s="377"/>
    </row>
    <row r="111" spans="1:28" ht="15.75" hidden="1" outlineLevel="2" x14ac:dyDescent="0.25">
      <c r="A111" s="377"/>
      <c r="B111" s="1095" t="s">
        <v>1218</v>
      </c>
      <c r="C111" s="1097"/>
      <c r="D111" s="1097"/>
      <c r="E111" s="1097"/>
      <c r="F111" s="1097"/>
      <c r="G111" s="1097"/>
      <c r="S111" s="386"/>
      <c r="T111" s="386"/>
      <c r="U111" s="377"/>
      <c r="V111" s="377"/>
    </row>
    <row r="112" spans="1:28" ht="15.75" hidden="1" outlineLevel="2" x14ac:dyDescent="0.25">
      <c r="A112" s="377"/>
      <c r="B112" s="1095" t="s">
        <v>1219</v>
      </c>
      <c r="C112" s="1097"/>
      <c r="D112" s="1097"/>
      <c r="E112" s="1097"/>
      <c r="F112" s="1098"/>
      <c r="G112" s="1097"/>
      <c r="S112" s="386"/>
      <c r="T112" s="386"/>
      <c r="U112" s="377"/>
      <c r="V112" s="377"/>
    </row>
    <row r="113" spans="1:22" ht="15.75" hidden="1" outlineLevel="2" x14ac:dyDescent="0.25">
      <c r="A113" s="377"/>
      <c r="B113" s="1095"/>
      <c r="C113" s="1097"/>
      <c r="D113" s="1097"/>
      <c r="E113" s="1097"/>
      <c r="F113" s="1098"/>
      <c r="G113" s="1097"/>
      <c r="S113" s="386"/>
      <c r="T113" s="386"/>
      <c r="U113" s="377"/>
      <c r="V113" s="377"/>
    </row>
    <row r="114" spans="1:22" ht="15.75" hidden="1" outlineLevel="2" x14ac:dyDescent="0.25">
      <c r="A114" s="377"/>
      <c r="E114" s="1110" t="s">
        <v>672</v>
      </c>
      <c r="F114" s="1110" t="s">
        <v>1220</v>
      </c>
      <c r="G114" s="1110" t="s">
        <v>1221</v>
      </c>
      <c r="H114" s="1110" t="s">
        <v>1210</v>
      </c>
      <c r="I114" s="1110" t="s">
        <v>1222</v>
      </c>
      <c r="J114" s="1110" t="s">
        <v>156</v>
      </c>
      <c r="K114" s="1110" t="s">
        <v>1223</v>
      </c>
      <c r="S114" s="386"/>
      <c r="T114" s="386"/>
      <c r="U114" s="377"/>
      <c r="V114" s="377"/>
    </row>
    <row r="115" spans="1:22" ht="18.75" hidden="1" outlineLevel="2" x14ac:dyDescent="0.3">
      <c r="A115" s="377"/>
      <c r="C115" s="1143" t="str">
        <f>+D48</f>
        <v>SYE 24</v>
      </c>
      <c r="E115" s="1107">
        <f>+D91</f>
        <v>250</v>
      </c>
      <c r="F115" s="1107">
        <f>B97</f>
        <v>45</v>
      </c>
      <c r="G115" s="1107">
        <f>B101-D97-C99-B109-E107</f>
        <v>10</v>
      </c>
      <c r="H115" s="1107">
        <f>B103-C101-D99-E97-D107-E107-B109</f>
        <v>144</v>
      </c>
      <c r="I115" s="1107">
        <f>B99-C97-C107-D107</f>
        <v>51</v>
      </c>
      <c r="J115" s="1114">
        <f>SUM(E115:I115)</f>
        <v>500</v>
      </c>
      <c r="K115" s="5">
        <f>+J115-D90</f>
        <v>0</v>
      </c>
      <c r="S115" s="386"/>
      <c r="T115" s="386"/>
      <c r="U115" s="377"/>
      <c r="V115" s="377"/>
    </row>
    <row r="116" spans="1:22" ht="15.75" hidden="1" outlineLevel="2" x14ac:dyDescent="0.25">
      <c r="A116" s="377"/>
      <c r="D116" s="1139" t="s">
        <v>1224</v>
      </c>
      <c r="E116" s="1140">
        <f t="shared" ref="E116:J116" si="4">+E115/$J$115</f>
        <v>0.5</v>
      </c>
      <c r="F116" s="1140">
        <f t="shared" si="4"/>
        <v>0.09</v>
      </c>
      <c r="G116" s="1140">
        <f t="shared" si="4"/>
        <v>0.02</v>
      </c>
      <c r="H116" s="1156">
        <f t="shared" si="4"/>
        <v>0.28799999999999998</v>
      </c>
      <c r="I116" s="1140">
        <f t="shared" si="4"/>
        <v>0.10199999999999999</v>
      </c>
      <c r="J116" s="1140">
        <f t="shared" si="4"/>
        <v>1</v>
      </c>
      <c r="S116" s="386"/>
      <c r="T116" s="386"/>
      <c r="U116" s="377"/>
      <c r="V116" s="377"/>
    </row>
    <row r="117" spans="1:22" ht="15.75" hidden="1" outlineLevel="2" x14ac:dyDescent="0.25">
      <c r="A117" s="377"/>
      <c r="D117" s="1139" t="s">
        <v>1225</v>
      </c>
      <c r="E117" s="1141">
        <v>0</v>
      </c>
      <c r="F117" s="1141">
        <f>+D77</f>
        <v>0.38284007225232736</v>
      </c>
      <c r="G117" s="1141">
        <f>+D78</f>
        <v>0.24</v>
      </c>
      <c r="H117" s="1141">
        <f>+D79</f>
        <v>0.03</v>
      </c>
      <c r="I117" s="1141">
        <f>+D80</f>
        <v>0.12</v>
      </c>
      <c r="J117" s="1100"/>
      <c r="S117" s="386"/>
      <c r="T117" s="386"/>
      <c r="U117" s="377"/>
      <c r="V117" s="377"/>
    </row>
    <row r="118" spans="1:22" ht="15.75" hidden="1" outlineLevel="2" x14ac:dyDescent="0.25">
      <c r="A118" s="377"/>
      <c r="E118" s="1108"/>
      <c r="F118" s="1108"/>
      <c r="G118" s="1108"/>
      <c r="H118" s="1108"/>
      <c r="I118" s="1108"/>
      <c r="J118" s="1100"/>
      <c r="S118" s="386"/>
      <c r="T118" s="386"/>
      <c r="U118" s="377"/>
      <c r="V118" s="377"/>
    </row>
    <row r="119" spans="1:22" ht="15.75" hidden="1" outlineLevel="2" x14ac:dyDescent="0.25">
      <c r="A119" s="377"/>
      <c r="B119" s="1" t="s">
        <v>1226</v>
      </c>
      <c r="E119" s="1135" t="s">
        <v>1227</v>
      </c>
      <c r="F119" s="1108"/>
      <c r="G119" s="1108"/>
      <c r="H119" s="1108"/>
      <c r="I119" s="1108"/>
      <c r="J119" s="1100"/>
      <c r="S119" s="386"/>
      <c r="T119" s="386"/>
      <c r="U119" s="377"/>
      <c r="V119" s="377"/>
    </row>
    <row r="120" spans="1:22" ht="15.75" hidden="1" outlineLevel="2" x14ac:dyDescent="0.25">
      <c r="A120" s="377"/>
      <c r="C120" s="1131" t="s">
        <v>1228</v>
      </c>
      <c r="D120" s="1"/>
      <c r="E120" s="1135" t="s">
        <v>1229</v>
      </c>
      <c r="F120" s="1135"/>
      <c r="G120" s="1135"/>
      <c r="H120" s="1135"/>
      <c r="I120" s="1135"/>
      <c r="J120" s="1096" t="s">
        <v>156</v>
      </c>
      <c r="S120" s="386"/>
      <c r="T120" s="386"/>
      <c r="U120" s="377"/>
      <c r="V120" s="377"/>
    </row>
    <row r="121" spans="1:22" ht="15.75" hidden="1" outlineLevel="2" x14ac:dyDescent="0.25">
      <c r="A121" s="377"/>
      <c r="B121" s="1" t="s">
        <v>1230</v>
      </c>
      <c r="C121" s="1131" t="s">
        <v>1231</v>
      </c>
      <c r="D121" s="1131" t="s">
        <v>1232</v>
      </c>
      <c r="E121" s="1136">
        <f>+J115</f>
        <v>500</v>
      </c>
      <c r="F121" s="1137" t="s">
        <v>1233</v>
      </c>
      <c r="G121" s="1135"/>
      <c r="H121" s="1135"/>
      <c r="I121" s="1135"/>
      <c r="J121" s="1096" t="s">
        <v>1229</v>
      </c>
      <c r="S121" s="386"/>
      <c r="T121" s="386"/>
      <c r="U121" s="377"/>
      <c r="V121" s="377"/>
    </row>
    <row r="122" spans="1:22" ht="15.75" hidden="1" outlineLevel="2" x14ac:dyDescent="0.25">
      <c r="A122" s="377">
        <v>1</v>
      </c>
      <c r="B122" t="str">
        <f>$B67</f>
        <v xml:space="preserve">Carson City </v>
      </c>
      <c r="C122" s="1116"/>
      <c r="D122" s="496">
        <f>+D67</f>
        <v>7494</v>
      </c>
      <c r="E122" s="1147">
        <f>IF($C122="y",$J$115*$D122,0)</f>
        <v>0</v>
      </c>
      <c r="F122" s="1147">
        <f t="shared" ref="F122:I128" si="5">IF($C122="y",F$115*F$117*$D122,0)</f>
        <v>0</v>
      </c>
      <c r="G122" s="1147">
        <f t="shared" si="5"/>
        <v>0</v>
      </c>
      <c r="H122" s="1147">
        <f t="shared" si="5"/>
        <v>0</v>
      </c>
      <c r="I122" s="1148">
        <f t="shared" si="5"/>
        <v>0</v>
      </c>
      <c r="J122" s="1127">
        <f t="shared" ref="J122:J129" si="6">SUM(E122:I122)</f>
        <v>0</v>
      </c>
      <c r="S122" s="386"/>
      <c r="T122" s="386"/>
      <c r="U122" s="377"/>
      <c r="V122" s="377"/>
    </row>
    <row r="123" spans="1:22" ht="15.75" hidden="1" outlineLevel="2" x14ac:dyDescent="0.25">
      <c r="A123" s="377">
        <f>1+A122</f>
        <v>2</v>
      </c>
      <c r="B123" s="374" t="str">
        <f>$B68</f>
        <v>Churchill</v>
      </c>
      <c r="C123" s="1133"/>
      <c r="D123" s="1134">
        <f>+D68</f>
        <v>8093</v>
      </c>
      <c r="E123" s="1149">
        <f t="shared" ref="E123:E127" si="7">IF($C123="y",$J$115*$D123,0)</f>
        <v>0</v>
      </c>
      <c r="F123" s="1149">
        <f t="shared" si="5"/>
        <v>0</v>
      </c>
      <c r="G123" s="1149">
        <f t="shared" si="5"/>
        <v>0</v>
      </c>
      <c r="H123" s="1149">
        <f t="shared" si="5"/>
        <v>0</v>
      </c>
      <c r="I123" s="1150">
        <f t="shared" si="5"/>
        <v>0</v>
      </c>
      <c r="J123" s="1127">
        <f t="shared" si="6"/>
        <v>0</v>
      </c>
      <c r="S123" s="386"/>
      <c r="T123" s="386"/>
      <c r="U123" s="377"/>
      <c r="V123" s="377"/>
    </row>
    <row r="124" spans="1:22" ht="15.75" hidden="1" outlineLevel="2" x14ac:dyDescent="0.25">
      <c r="A124" s="377">
        <f t="shared" ref="A124:A126" si="8">1+A123</f>
        <v>3</v>
      </c>
      <c r="B124" s="374" t="str">
        <f>$B69</f>
        <v>Clark</v>
      </c>
      <c r="C124" s="1133" t="s">
        <v>1234</v>
      </c>
      <c r="D124" s="1134">
        <f>+D69</f>
        <v>7197</v>
      </c>
      <c r="E124" s="1149">
        <f t="shared" si="7"/>
        <v>3598500</v>
      </c>
      <c r="F124" s="1149">
        <f t="shared" si="5"/>
        <v>123988.50000000001</v>
      </c>
      <c r="G124" s="1149">
        <f t="shared" si="5"/>
        <v>17272.8</v>
      </c>
      <c r="H124" s="1149">
        <f t="shared" si="5"/>
        <v>31091.040000000001</v>
      </c>
      <c r="I124" s="1150">
        <f t="shared" si="5"/>
        <v>44045.64</v>
      </c>
      <c r="J124" s="1127">
        <f t="shared" si="6"/>
        <v>3814897.98</v>
      </c>
      <c r="S124" s="386"/>
      <c r="T124" s="386"/>
      <c r="U124" s="377"/>
      <c r="V124" s="377"/>
    </row>
    <row r="125" spans="1:22" ht="15.75" hidden="1" outlineLevel="2" x14ac:dyDescent="0.25">
      <c r="A125" s="377">
        <f t="shared" si="8"/>
        <v>4</v>
      </c>
      <c r="B125" s="374" t="str">
        <f>$B70</f>
        <v>Elko</v>
      </c>
      <c r="C125" s="1133"/>
      <c r="D125" s="1134">
        <f>+D70</f>
        <v>7715</v>
      </c>
      <c r="E125" s="1151">
        <f t="shared" si="7"/>
        <v>0</v>
      </c>
      <c r="F125" s="1151">
        <f t="shared" si="5"/>
        <v>0</v>
      </c>
      <c r="G125" s="1151">
        <f t="shared" si="5"/>
        <v>0</v>
      </c>
      <c r="H125" s="1151">
        <f t="shared" si="5"/>
        <v>0</v>
      </c>
      <c r="I125" s="1152">
        <f t="shared" si="5"/>
        <v>0</v>
      </c>
      <c r="J125" s="1127">
        <f t="shared" si="6"/>
        <v>0</v>
      </c>
      <c r="S125" s="386"/>
      <c r="T125" s="386"/>
      <c r="U125" s="377"/>
      <c r="V125" s="377"/>
    </row>
    <row r="126" spans="1:22" ht="15.75" hidden="1" outlineLevel="2" x14ac:dyDescent="0.25">
      <c r="A126" s="377">
        <f t="shared" si="8"/>
        <v>5</v>
      </c>
      <c r="B126" s="374" t="str">
        <f t="shared" ref="B126" si="9">$B72</f>
        <v>Washoe</v>
      </c>
      <c r="C126" s="1133"/>
      <c r="D126" s="1134">
        <f t="shared" ref="D126:D127" si="10">+D72</f>
        <v>6980</v>
      </c>
      <c r="E126" s="1151">
        <f t="shared" si="7"/>
        <v>0</v>
      </c>
      <c r="F126" s="1151">
        <f t="shared" si="5"/>
        <v>0</v>
      </c>
      <c r="G126" s="1151">
        <f t="shared" si="5"/>
        <v>0</v>
      </c>
      <c r="H126" s="1151">
        <f t="shared" si="5"/>
        <v>0</v>
      </c>
      <c r="I126" s="1152">
        <f t="shared" si="5"/>
        <v>0</v>
      </c>
      <c r="J126" s="1127">
        <f t="shared" si="6"/>
        <v>0</v>
      </c>
      <c r="S126" s="386"/>
      <c r="T126" s="386"/>
      <c r="U126" s="377"/>
      <c r="V126" s="377"/>
    </row>
    <row r="127" spans="1:22" ht="15.75" hidden="1" outlineLevel="2" x14ac:dyDescent="0.25">
      <c r="A127" s="377">
        <f>1+A126</f>
        <v>6</v>
      </c>
      <c r="B127" t="str">
        <f>$B73</f>
        <v>White Pine</v>
      </c>
      <c r="C127" s="1116"/>
      <c r="D127" s="496">
        <f t="shared" si="10"/>
        <v>10367</v>
      </c>
      <c r="E127" s="1153">
        <f t="shared" si="7"/>
        <v>0</v>
      </c>
      <c r="F127" s="1153">
        <f t="shared" si="5"/>
        <v>0</v>
      </c>
      <c r="G127" s="1153">
        <f t="shared" si="5"/>
        <v>0</v>
      </c>
      <c r="H127" s="1153">
        <f t="shared" si="5"/>
        <v>0</v>
      </c>
      <c r="I127" s="1154">
        <f t="shared" si="5"/>
        <v>0</v>
      </c>
      <c r="J127" s="1128">
        <f t="shared" si="6"/>
        <v>0</v>
      </c>
      <c r="S127" s="386"/>
      <c r="T127" s="386"/>
      <c r="U127" s="377"/>
      <c r="V127" s="377"/>
    </row>
    <row r="128" spans="1:22" ht="15.75" hidden="1" outlineLevel="2" x14ac:dyDescent="0.25">
      <c r="A128" s="377"/>
      <c r="B128" s="1172" t="s">
        <v>1235</v>
      </c>
      <c r="C128" s="1117"/>
      <c r="D128" s="1115">
        <f>+D50</f>
        <v>8966</v>
      </c>
      <c r="E128" s="1120">
        <f>IF($C128="y",$J$115*$D128,0)</f>
        <v>0</v>
      </c>
      <c r="F128" s="1120">
        <f t="shared" si="5"/>
        <v>0</v>
      </c>
      <c r="G128" s="1120">
        <f t="shared" si="5"/>
        <v>0</v>
      </c>
      <c r="H128" s="1120">
        <f t="shared" si="5"/>
        <v>0</v>
      </c>
      <c r="I128" s="1129">
        <f t="shared" si="5"/>
        <v>0</v>
      </c>
      <c r="J128" s="1130">
        <f t="shared" si="6"/>
        <v>0</v>
      </c>
      <c r="K128" t="s">
        <v>1236</v>
      </c>
      <c r="S128" s="386"/>
      <c r="T128" s="386"/>
      <c r="U128" s="377"/>
      <c r="V128" s="377"/>
    </row>
    <row r="129" spans="1:22" ht="15.75" hidden="1" outlineLevel="2" x14ac:dyDescent="0.25">
      <c r="A129" s="377"/>
      <c r="C129" s="1132" t="str">
        <f>IF(COUNTIF(C122:C128,"y")&gt;1,"Error: Select 1 area","ok")</f>
        <v>ok</v>
      </c>
      <c r="E129" s="1074">
        <f>SUM(E122:E128)</f>
        <v>3598500</v>
      </c>
      <c r="F129" s="1074">
        <f>SUM(F122:F128)</f>
        <v>123988.50000000001</v>
      </c>
      <c r="G129" s="1074">
        <f>SUM(G122:G128)</f>
        <v>17272.8</v>
      </c>
      <c r="H129" s="1074">
        <f>SUM(H122:H128)</f>
        <v>31091.040000000001</v>
      </c>
      <c r="I129" s="1074">
        <f>SUM(I122:I128)</f>
        <v>44045.64</v>
      </c>
      <c r="J129" s="1076">
        <f t="shared" si="6"/>
        <v>3814897.98</v>
      </c>
      <c r="S129" s="386"/>
      <c r="T129" s="386"/>
      <c r="U129" s="377"/>
      <c r="V129" s="377"/>
    </row>
    <row r="130" spans="1:22" ht="15.75" hidden="1" outlineLevel="2" x14ac:dyDescent="0.25">
      <c r="A130" s="377"/>
      <c r="B130" s="1157"/>
      <c r="C130" s="1157"/>
      <c r="D130" s="1157" t="s">
        <v>1232</v>
      </c>
      <c r="E130" s="1158">
        <f>+E129/J115</f>
        <v>7197</v>
      </c>
      <c r="F130" s="1158">
        <f>+F129/F115</f>
        <v>2755.3</v>
      </c>
      <c r="G130" s="1158">
        <f>+G129/G115</f>
        <v>1727.28</v>
      </c>
      <c r="H130" s="1158">
        <f>+H129/H115</f>
        <v>215.91</v>
      </c>
      <c r="I130" s="1158">
        <f>+I129/I115</f>
        <v>863.64</v>
      </c>
      <c r="J130" s="1158">
        <f>+J129/J115</f>
        <v>7629.7959600000004</v>
      </c>
      <c r="S130" s="386"/>
      <c r="T130" s="386"/>
      <c r="U130" s="377"/>
      <c r="V130" s="377"/>
    </row>
    <row r="131" spans="1:22" ht="15.75" hidden="1" outlineLevel="2" x14ac:dyDescent="0.25">
      <c r="A131" s="377"/>
      <c r="B131" s="1157"/>
      <c r="C131" s="1157"/>
      <c r="D131" s="1157"/>
      <c r="E131" s="1159">
        <f t="shared" ref="E131:J131" si="11">+E130/$E$130</f>
        <v>1</v>
      </c>
      <c r="F131" s="1159">
        <f t="shared" si="11"/>
        <v>0.38284007225232736</v>
      </c>
      <c r="G131" s="1159">
        <f t="shared" si="11"/>
        <v>0.24</v>
      </c>
      <c r="H131" s="1159">
        <f t="shared" si="11"/>
        <v>0.03</v>
      </c>
      <c r="I131" s="1159">
        <f t="shared" si="11"/>
        <v>0.12</v>
      </c>
      <c r="J131" s="1159">
        <f t="shared" si="11"/>
        <v>1.0601356065027094</v>
      </c>
      <c r="S131" s="386"/>
      <c r="T131" s="386"/>
      <c r="U131" s="377"/>
      <c r="V131" s="377"/>
    </row>
    <row r="132" spans="1:22" ht="15.75" hidden="1" outlineLevel="2" collapsed="1" x14ac:dyDescent="0.25">
      <c r="A132" s="377"/>
      <c r="B132" s="1157"/>
      <c r="C132" s="1157"/>
      <c r="D132" s="1157"/>
      <c r="E132" s="1159"/>
      <c r="F132" s="1159"/>
      <c r="G132" s="1159"/>
      <c r="H132" s="1159"/>
      <c r="I132" s="1159"/>
      <c r="J132" s="1159"/>
      <c r="S132" s="386"/>
      <c r="T132" s="386"/>
      <c r="U132" s="377"/>
      <c r="V132" s="377"/>
    </row>
    <row r="133" spans="1:22" ht="15.75" hidden="1" outlineLevel="2" x14ac:dyDescent="0.25">
      <c r="A133" s="377"/>
      <c r="E133" s="1110" t="s">
        <v>672</v>
      </c>
      <c r="F133" s="1110" t="s">
        <v>1220</v>
      </c>
      <c r="G133" s="1110" t="s">
        <v>1221</v>
      </c>
      <c r="H133" s="1110" t="s">
        <v>1210</v>
      </c>
      <c r="I133" s="1110" t="s">
        <v>1222</v>
      </c>
      <c r="J133" s="1110" t="s">
        <v>156</v>
      </c>
      <c r="S133" s="386"/>
      <c r="T133" s="386"/>
      <c r="U133" s="377"/>
      <c r="V133" s="377"/>
    </row>
    <row r="134" spans="1:22" ht="15.75" hidden="1" outlineLevel="2" x14ac:dyDescent="0.25">
      <c r="A134" s="377"/>
      <c r="E134" s="1107">
        <f>+E115</f>
        <v>250</v>
      </c>
      <c r="F134" s="1107">
        <f>+F115</f>
        <v>45</v>
      </c>
      <c r="G134" s="1107">
        <f>+G115</f>
        <v>10</v>
      </c>
      <c r="H134" s="1107">
        <f>+H115</f>
        <v>144</v>
      </c>
      <c r="I134" s="1107">
        <f>+I115</f>
        <v>51</v>
      </c>
      <c r="J134" s="1114">
        <f>SUM(E134:I134)</f>
        <v>500</v>
      </c>
      <c r="S134" s="386"/>
      <c r="T134" s="386"/>
      <c r="U134" s="377"/>
      <c r="V134" s="377"/>
    </row>
    <row r="135" spans="1:22" ht="15.75" hidden="1" outlineLevel="2" x14ac:dyDescent="0.25">
      <c r="A135" s="377"/>
      <c r="D135" s="1139" t="s">
        <v>1224</v>
      </c>
      <c r="E135" s="1140">
        <f>+E134/$J134</f>
        <v>0.5</v>
      </c>
      <c r="F135" s="1140">
        <f t="shared" ref="F135:J135" si="12">+F134/$J134</f>
        <v>0.09</v>
      </c>
      <c r="G135" s="1140">
        <f t="shared" si="12"/>
        <v>0.02</v>
      </c>
      <c r="H135" s="1140">
        <f t="shared" si="12"/>
        <v>0.28799999999999998</v>
      </c>
      <c r="I135" s="1140">
        <f t="shared" si="12"/>
        <v>0.10199999999999999</v>
      </c>
      <c r="J135" s="1140">
        <f t="shared" si="12"/>
        <v>1</v>
      </c>
      <c r="S135" s="386"/>
      <c r="T135" s="386"/>
      <c r="U135" s="377"/>
      <c r="V135" s="377"/>
    </row>
    <row r="136" spans="1:22" ht="15.75" hidden="1" outlineLevel="2" x14ac:dyDescent="0.25">
      <c r="A136" s="377"/>
      <c r="D136" s="1139" t="s">
        <v>1225</v>
      </c>
      <c r="E136" s="1141">
        <v>0</v>
      </c>
      <c r="F136" s="1141">
        <f>E77</f>
        <v>0.33</v>
      </c>
      <c r="G136" s="1141">
        <f>E78</f>
        <v>0.23</v>
      </c>
      <c r="H136" s="1141">
        <f>E79</f>
        <v>0.03</v>
      </c>
      <c r="I136" s="1141">
        <f>E80</f>
        <v>0.12</v>
      </c>
      <c r="J136" s="1100"/>
      <c r="S136" s="386"/>
      <c r="T136" s="386"/>
      <c r="U136" s="377"/>
      <c r="V136" s="377"/>
    </row>
    <row r="137" spans="1:22" ht="15.75" hidden="1" outlineLevel="1" collapsed="1" x14ac:dyDescent="0.25">
      <c r="A137" s="377"/>
      <c r="D137" s="1139"/>
      <c r="E137" s="1108"/>
      <c r="F137" s="1108"/>
      <c r="G137" s="1108"/>
      <c r="H137" s="1108"/>
      <c r="I137" s="1108"/>
      <c r="J137" s="1100"/>
      <c r="S137" s="386"/>
      <c r="T137" s="386"/>
      <c r="U137" s="377"/>
      <c r="V137" s="377"/>
    </row>
    <row r="138" spans="1:22" ht="18.75" hidden="1" outlineLevel="1" x14ac:dyDescent="0.3">
      <c r="A138" s="377"/>
      <c r="B138" t="s">
        <v>1237</v>
      </c>
      <c r="C138" s="1142" t="str">
        <f>+E48</f>
        <v>SYE 25</v>
      </c>
      <c r="D138" s="1139"/>
      <c r="E138" s="1108"/>
      <c r="F138" s="1108"/>
      <c r="G138" s="1108"/>
      <c r="H138" s="1108"/>
      <c r="I138" s="1108"/>
      <c r="J138" s="1100"/>
      <c r="S138" s="386"/>
      <c r="T138" s="386"/>
      <c r="U138" s="377"/>
      <c r="V138" s="377"/>
    </row>
    <row r="139" spans="1:22" ht="15.75" hidden="1" outlineLevel="1" x14ac:dyDescent="0.25">
      <c r="A139" s="377"/>
      <c r="D139" s="1139"/>
      <c r="E139" s="1108"/>
      <c r="F139" s="1108"/>
      <c r="G139" s="1108"/>
      <c r="H139" s="1108"/>
      <c r="I139" s="1108"/>
      <c r="J139" s="1100"/>
      <c r="S139" s="386"/>
      <c r="T139" s="386"/>
      <c r="U139" s="377"/>
      <c r="V139" s="377"/>
    </row>
    <row r="140" spans="1:22" ht="15.75" hidden="1" outlineLevel="1" x14ac:dyDescent="0.25">
      <c r="A140" s="377"/>
      <c r="B140" s="1" t="s">
        <v>1226</v>
      </c>
      <c r="E140" s="1108"/>
      <c r="F140" s="1108"/>
      <c r="G140" s="1108"/>
      <c r="H140" s="1108"/>
      <c r="I140" s="1108"/>
      <c r="J140" s="1100"/>
      <c r="S140" s="386"/>
      <c r="T140" s="386"/>
      <c r="U140" s="377"/>
      <c r="V140" s="377"/>
    </row>
    <row r="141" spans="1:22" ht="15.75" hidden="1" outlineLevel="1" x14ac:dyDescent="0.25">
      <c r="A141" s="377"/>
      <c r="C141" s="1131" t="s">
        <v>1228</v>
      </c>
      <c r="D141" s="1"/>
      <c r="E141" s="1135" t="s">
        <v>1238</v>
      </c>
      <c r="F141" s="1135"/>
      <c r="G141" s="1135"/>
      <c r="H141" s="1135"/>
      <c r="I141" s="1135"/>
      <c r="J141" s="1096" t="s">
        <v>156</v>
      </c>
      <c r="S141" s="386"/>
      <c r="T141" s="386"/>
      <c r="U141" s="377"/>
      <c r="V141" s="377"/>
    </row>
    <row r="142" spans="1:22" ht="15.75" hidden="1" outlineLevel="1" x14ac:dyDescent="0.25">
      <c r="A142" s="377"/>
      <c r="B142" s="1004" t="s">
        <v>1230</v>
      </c>
      <c r="C142" s="1110" t="s">
        <v>1231</v>
      </c>
      <c r="D142" s="1110" t="str">
        <f t="shared" ref="D142:D149" si="13">+E66</f>
        <v>SYE 23</v>
      </c>
      <c r="E142" s="1136">
        <f>+J134</f>
        <v>500</v>
      </c>
      <c r="F142" s="1137" t="s">
        <v>1233</v>
      </c>
      <c r="G142" s="1135"/>
      <c r="H142" s="1135"/>
      <c r="I142" s="1135"/>
      <c r="J142" s="1099" t="s">
        <v>1229</v>
      </c>
      <c r="S142" s="386"/>
      <c r="T142" s="386"/>
      <c r="U142" s="377"/>
      <c r="V142" s="377"/>
    </row>
    <row r="143" spans="1:22" ht="15.75" hidden="1" outlineLevel="1" x14ac:dyDescent="0.25">
      <c r="A143" s="377">
        <v>1</v>
      </c>
      <c r="B143" s="1013" t="str">
        <f>$B67</f>
        <v xml:space="preserve">Carson City </v>
      </c>
      <c r="C143" s="1116"/>
      <c r="D143" s="1173">
        <f t="shared" si="13"/>
        <v>7594</v>
      </c>
      <c r="E143" s="1121">
        <f t="shared" ref="E143:E150" si="14">IF($C143="y",$J$134*$D143,0)</f>
        <v>0</v>
      </c>
      <c r="F143" s="1121">
        <f t="shared" ref="F143:I150" si="15">IF($C143="y",F$134*F$136*$D143,0)</f>
        <v>0</v>
      </c>
      <c r="G143" s="1121">
        <f t="shared" si="15"/>
        <v>0</v>
      </c>
      <c r="H143" s="1121">
        <f t="shared" si="15"/>
        <v>0</v>
      </c>
      <c r="I143" s="1123">
        <f t="shared" si="15"/>
        <v>0</v>
      </c>
      <c r="J143" s="1155">
        <f t="shared" ref="J143:J151" si="16">SUM(E143:I143)</f>
        <v>0</v>
      </c>
      <c r="S143" s="386"/>
      <c r="T143" s="386"/>
      <c r="U143" s="377"/>
      <c r="V143" s="377"/>
    </row>
    <row r="144" spans="1:22" ht="15.75" hidden="1" outlineLevel="1" x14ac:dyDescent="0.25">
      <c r="A144" s="377">
        <f>1+A143</f>
        <v>2</v>
      </c>
      <c r="B144" s="1171" t="str">
        <f>$B68</f>
        <v>Churchill</v>
      </c>
      <c r="C144" s="1133"/>
      <c r="D144" s="1174">
        <f t="shared" si="13"/>
        <v>8197</v>
      </c>
      <c r="E144" s="1118">
        <f t="shared" si="14"/>
        <v>0</v>
      </c>
      <c r="F144" s="1118">
        <f t="shared" si="15"/>
        <v>0</v>
      </c>
      <c r="G144" s="1118">
        <f t="shared" si="15"/>
        <v>0</v>
      </c>
      <c r="H144" s="1118">
        <f t="shared" si="15"/>
        <v>0</v>
      </c>
      <c r="I144" s="1124">
        <f t="shared" si="15"/>
        <v>0</v>
      </c>
      <c r="J144" s="1127">
        <f t="shared" si="16"/>
        <v>0</v>
      </c>
      <c r="S144" s="386"/>
      <c r="T144" s="386"/>
      <c r="U144" s="377"/>
      <c r="V144" s="377"/>
    </row>
    <row r="145" spans="1:22" ht="15.75" hidden="1" outlineLevel="1" x14ac:dyDescent="0.25">
      <c r="A145" s="377">
        <f t="shared" ref="A145:A146" si="17">1+A144</f>
        <v>3</v>
      </c>
      <c r="B145" s="1171" t="str">
        <f>$B69</f>
        <v>Clark</v>
      </c>
      <c r="C145" s="1133"/>
      <c r="D145" s="1174">
        <f t="shared" si="13"/>
        <v>7293</v>
      </c>
      <c r="E145" s="1118">
        <f t="shared" si="14"/>
        <v>0</v>
      </c>
      <c r="F145" s="1118">
        <f t="shared" si="15"/>
        <v>0</v>
      </c>
      <c r="G145" s="1118">
        <f t="shared" si="15"/>
        <v>0</v>
      </c>
      <c r="H145" s="1118">
        <f t="shared" si="15"/>
        <v>0</v>
      </c>
      <c r="I145" s="1124">
        <f t="shared" si="15"/>
        <v>0</v>
      </c>
      <c r="J145" s="1127">
        <f t="shared" si="16"/>
        <v>0</v>
      </c>
      <c r="S145" s="386"/>
      <c r="T145" s="386"/>
      <c r="U145" s="377"/>
      <c r="V145" s="377"/>
    </row>
    <row r="146" spans="1:22" ht="15.75" hidden="1" outlineLevel="1" x14ac:dyDescent="0.25">
      <c r="A146" s="377">
        <f t="shared" si="17"/>
        <v>4</v>
      </c>
      <c r="B146" s="1171" t="str">
        <f>$B70</f>
        <v>Elko</v>
      </c>
      <c r="C146" s="1133"/>
      <c r="D146" s="1174">
        <f t="shared" si="13"/>
        <v>7818</v>
      </c>
      <c r="E146" s="1119">
        <f t="shared" si="14"/>
        <v>0</v>
      </c>
      <c r="F146" s="1119">
        <f t="shared" si="15"/>
        <v>0</v>
      </c>
      <c r="G146" s="1119">
        <f t="shared" si="15"/>
        <v>0</v>
      </c>
      <c r="H146" s="1119">
        <f t="shared" si="15"/>
        <v>0</v>
      </c>
      <c r="I146" s="1125">
        <f t="shared" si="15"/>
        <v>0</v>
      </c>
      <c r="J146" s="1127">
        <f t="shared" si="16"/>
        <v>0</v>
      </c>
      <c r="S146" s="386"/>
      <c r="T146" s="386"/>
      <c r="U146" s="377"/>
      <c r="V146" s="377"/>
    </row>
    <row r="147" spans="1:22" ht="15.75" hidden="1" outlineLevel="1" x14ac:dyDescent="0.25">
      <c r="A147" s="377">
        <f>1+A146</f>
        <v>5</v>
      </c>
      <c r="B147" s="1171" t="s">
        <v>1148</v>
      </c>
      <c r="C147" s="1133"/>
      <c r="D147" s="1174">
        <f t="shared" si="13"/>
        <v>8881</v>
      </c>
      <c r="E147" s="1119"/>
      <c r="F147" s="1119"/>
      <c r="G147" s="1119"/>
      <c r="H147" s="1119"/>
      <c r="I147" s="1125"/>
      <c r="J147" s="1127"/>
      <c r="S147" s="386"/>
      <c r="T147" s="386"/>
      <c r="U147" s="377"/>
      <c r="V147" s="377"/>
    </row>
    <row r="148" spans="1:22" ht="15.75" hidden="1" outlineLevel="1" x14ac:dyDescent="0.25">
      <c r="A148" s="377">
        <f>1+A147</f>
        <v>6</v>
      </c>
      <c r="B148" s="1171" t="str">
        <f>$B72</f>
        <v>Washoe</v>
      </c>
      <c r="C148" s="1133"/>
      <c r="D148" s="1174">
        <f t="shared" si="13"/>
        <v>7074</v>
      </c>
      <c r="E148" s="1119">
        <f t="shared" si="14"/>
        <v>0</v>
      </c>
      <c r="F148" s="1119">
        <f t="shared" si="15"/>
        <v>0</v>
      </c>
      <c r="G148" s="1119">
        <f t="shared" si="15"/>
        <v>0</v>
      </c>
      <c r="H148" s="1119">
        <f t="shared" si="15"/>
        <v>0</v>
      </c>
      <c r="I148" s="1125">
        <f t="shared" si="15"/>
        <v>0</v>
      </c>
      <c r="J148" s="1127">
        <f t="shared" si="16"/>
        <v>0</v>
      </c>
      <c r="S148" s="386"/>
      <c r="T148" s="386"/>
      <c r="U148" s="377"/>
      <c r="V148" s="377"/>
    </row>
    <row r="149" spans="1:22" ht="15.75" hidden="1" outlineLevel="1" x14ac:dyDescent="0.25">
      <c r="A149" s="377">
        <f>1+A148</f>
        <v>7</v>
      </c>
      <c r="B149" s="1013" t="str">
        <f>$B73</f>
        <v>White Pine</v>
      </c>
      <c r="C149" s="1116"/>
      <c r="D149" s="1173">
        <f t="shared" si="13"/>
        <v>10501</v>
      </c>
      <c r="E149" s="1122">
        <f t="shared" si="14"/>
        <v>0</v>
      </c>
      <c r="F149" s="1122">
        <f t="shared" si="15"/>
        <v>0</v>
      </c>
      <c r="G149" s="1122">
        <f t="shared" si="15"/>
        <v>0</v>
      </c>
      <c r="H149" s="1122">
        <f t="shared" si="15"/>
        <v>0</v>
      </c>
      <c r="I149" s="1126">
        <f t="shared" si="15"/>
        <v>0</v>
      </c>
      <c r="J149" s="1128">
        <f t="shared" si="16"/>
        <v>0</v>
      </c>
      <c r="S149" s="386"/>
      <c r="T149" s="386"/>
      <c r="U149" s="377"/>
      <c r="V149" s="377"/>
    </row>
    <row r="150" spans="1:22" ht="15.75" hidden="1" outlineLevel="1" x14ac:dyDescent="0.25">
      <c r="A150" s="377"/>
      <c r="B150" s="1172" t="s">
        <v>1235</v>
      </c>
      <c r="C150" s="1117" t="s">
        <v>1234</v>
      </c>
      <c r="D150" s="1175">
        <f>+E50</f>
        <v>9414</v>
      </c>
      <c r="E150" s="1120">
        <f t="shared" si="14"/>
        <v>4707000</v>
      </c>
      <c r="F150" s="1120">
        <f t="shared" si="15"/>
        <v>139797.90000000002</v>
      </c>
      <c r="G150" s="1120">
        <f t="shared" si="15"/>
        <v>21652.2</v>
      </c>
      <c r="H150" s="1120">
        <f t="shared" si="15"/>
        <v>40668.480000000003</v>
      </c>
      <c r="I150" s="1129">
        <f t="shared" si="15"/>
        <v>57613.68</v>
      </c>
      <c r="J150" s="1130">
        <f t="shared" si="16"/>
        <v>4966732.2600000007</v>
      </c>
      <c r="K150" t="s">
        <v>1236</v>
      </c>
      <c r="S150" s="386"/>
      <c r="T150" s="386"/>
      <c r="U150" s="377"/>
      <c r="V150" s="377"/>
    </row>
    <row r="151" spans="1:22" ht="15.75" hidden="1" outlineLevel="1" x14ac:dyDescent="0.25">
      <c r="A151" s="377"/>
      <c r="B151" t="s">
        <v>1152</v>
      </c>
      <c r="C151" s="1132"/>
      <c r="D151" s="496">
        <v>7074</v>
      </c>
      <c r="E151" s="1074">
        <f>SUM(E143:E150)</f>
        <v>4707000</v>
      </c>
      <c r="F151" s="1074">
        <f>SUM(F143:F150)</f>
        <v>139797.90000000002</v>
      </c>
      <c r="G151" s="1074">
        <f>SUM(G143:G150)</f>
        <v>21652.2</v>
      </c>
      <c r="H151" s="1074">
        <f>SUM(H143:H150)</f>
        <v>40668.480000000003</v>
      </c>
      <c r="I151" s="1074">
        <f>SUM(I143:I150)</f>
        <v>57613.68</v>
      </c>
      <c r="J151" s="1076">
        <f t="shared" si="16"/>
        <v>4966732.2600000007</v>
      </c>
      <c r="S151" s="386"/>
      <c r="T151" s="386"/>
      <c r="U151" s="377"/>
      <c r="V151" s="377"/>
    </row>
    <row r="152" spans="1:22" ht="15.75" hidden="1" outlineLevel="1" x14ac:dyDescent="0.25">
      <c r="A152" s="377"/>
      <c r="B152" t="s">
        <v>1239</v>
      </c>
      <c r="D152" s="1226">
        <f>+D153</f>
        <v>7074</v>
      </c>
      <c r="E152" s="1100"/>
      <c r="F152" s="1100"/>
      <c r="G152" s="1100"/>
      <c r="H152" s="1100"/>
      <c r="S152" s="386"/>
      <c r="T152" s="386"/>
      <c r="U152" s="377"/>
      <c r="V152" s="377"/>
    </row>
    <row r="153" spans="1:22" ht="15.75" hidden="1" outlineLevel="1" x14ac:dyDescent="0.25">
      <c r="A153" s="377"/>
      <c r="D153" s="1227">
        <f>+D151*D46</f>
        <v>7074</v>
      </c>
      <c r="E153" s="1100"/>
      <c r="F153" s="1100"/>
      <c r="G153" s="1100"/>
      <c r="H153" s="1100"/>
      <c r="S153" s="386"/>
      <c r="T153" s="386"/>
      <c r="U153" s="377"/>
      <c r="V153" s="377"/>
    </row>
    <row r="154" spans="1:22" ht="15.75" hidden="1" outlineLevel="1" x14ac:dyDescent="0.25">
      <c r="A154" s="377"/>
      <c r="D154" s="1227"/>
      <c r="E154" s="1100"/>
      <c r="F154" s="1100"/>
      <c r="G154" s="1100"/>
      <c r="H154" s="1100"/>
      <c r="S154" s="386"/>
      <c r="T154" s="386"/>
      <c r="U154" s="377"/>
      <c r="V154" s="377"/>
    </row>
    <row r="155" spans="1:22" ht="31.5" hidden="1" outlineLevel="1" x14ac:dyDescent="0.25">
      <c r="A155" s="377"/>
      <c r="E155" s="1307" t="s">
        <v>1240</v>
      </c>
      <c r="F155" s="1307" t="s">
        <v>1241</v>
      </c>
      <c r="G155" s="1307" t="s">
        <v>1242</v>
      </c>
      <c r="H155" s="1100"/>
      <c r="S155" s="386"/>
      <c r="T155" s="386"/>
      <c r="U155" s="377"/>
      <c r="V155" s="377"/>
    </row>
    <row r="156" spans="1:22" ht="31.5" hidden="1" outlineLevel="1" x14ac:dyDescent="0.25">
      <c r="A156" s="377"/>
      <c r="D156" s="1098"/>
      <c r="E156" s="1307" t="s">
        <v>401</v>
      </c>
      <c r="F156" s="1307" t="s">
        <v>1243</v>
      </c>
      <c r="G156" s="1307" t="s">
        <v>1244</v>
      </c>
      <c r="H156" s="1097"/>
      <c r="S156" s="386"/>
      <c r="T156" s="386"/>
      <c r="U156" s="377"/>
      <c r="V156" s="377"/>
    </row>
    <row r="157" spans="1:22" ht="63" hidden="1" outlineLevel="1" x14ac:dyDescent="0.25">
      <c r="A157" s="377"/>
      <c r="E157" s="1307" t="s">
        <v>162</v>
      </c>
      <c r="F157" s="1307" t="s">
        <v>1245</v>
      </c>
      <c r="G157" s="1307" t="s">
        <v>1246</v>
      </c>
      <c r="S157" s="386"/>
      <c r="T157" s="386"/>
      <c r="U157" s="377"/>
      <c r="V157" s="377"/>
    </row>
    <row r="158" spans="1:22" ht="31.5" hidden="1" outlineLevel="1" x14ac:dyDescent="0.25">
      <c r="A158" s="377"/>
      <c r="E158" s="1307" t="s">
        <v>405</v>
      </c>
      <c r="F158" s="1307" t="s">
        <v>1247</v>
      </c>
      <c r="G158" s="1307" t="s">
        <v>1246</v>
      </c>
      <c r="S158" s="386"/>
      <c r="T158" s="386"/>
      <c r="U158" s="377"/>
      <c r="V158" s="377"/>
    </row>
    <row r="159" spans="1:22" ht="47.25" hidden="1" outlineLevel="1" x14ac:dyDescent="0.25">
      <c r="A159" s="377"/>
      <c r="E159" s="1307" t="s">
        <v>1248</v>
      </c>
      <c r="F159" s="1307" t="s">
        <v>1249</v>
      </c>
      <c r="G159" s="1307" t="s">
        <v>1250</v>
      </c>
      <c r="J159" s="385"/>
      <c r="S159" s="386"/>
      <c r="T159" s="386"/>
      <c r="U159" s="377"/>
      <c r="V159" s="377"/>
    </row>
    <row r="160" spans="1:22" ht="15.75" hidden="1" outlineLevel="2" x14ac:dyDescent="0.25">
      <c r="A160" s="377"/>
      <c r="B160" s="1064" t="s">
        <v>1251</v>
      </c>
      <c r="C160" s="1064"/>
      <c r="D160" s="1064"/>
      <c r="E160" s="1065"/>
      <c r="F160" s="1019"/>
      <c r="G160" s="1064"/>
      <c r="H160" s="1019"/>
      <c r="I160" s="1019"/>
      <c r="J160" s="1066"/>
      <c r="S160" s="386"/>
      <c r="T160" s="386"/>
      <c r="U160" s="377"/>
      <c r="V160" s="377"/>
    </row>
    <row r="161" spans="1:22" ht="15.75" hidden="1" outlineLevel="2" x14ac:dyDescent="0.25">
      <c r="A161" s="377"/>
      <c r="B161" s="1062" t="s">
        <v>1230</v>
      </c>
      <c r="C161" s="1062"/>
      <c r="D161" s="1062"/>
      <c r="E161" s="1016"/>
      <c r="F161" s="1016"/>
      <c r="G161" s="1062"/>
      <c r="H161" s="1016"/>
      <c r="I161" s="1016"/>
      <c r="J161" s="1063"/>
      <c r="S161" s="386"/>
      <c r="T161" s="386"/>
      <c r="U161" s="377"/>
      <c r="V161" s="377"/>
    </row>
    <row r="162" spans="1:22" ht="15.75" hidden="1" outlineLevel="2" x14ac:dyDescent="0.25">
      <c r="A162" s="377"/>
      <c r="B162" s="1004"/>
      <c r="C162" s="1004"/>
      <c r="D162" s="1004"/>
      <c r="E162" s="1004" t="s">
        <v>1252</v>
      </c>
      <c r="F162" s="404"/>
      <c r="G162" s="1004"/>
      <c r="H162" s="404"/>
      <c r="I162" s="404"/>
      <c r="J162" s="1058"/>
      <c r="S162" s="386"/>
      <c r="T162" s="386"/>
      <c r="U162" s="377"/>
      <c r="V162" s="377"/>
    </row>
    <row r="163" spans="1:22" ht="15.75" hidden="1" outlineLevel="2" x14ac:dyDescent="0.25">
      <c r="A163" s="377"/>
      <c r="B163" s="1007"/>
      <c r="C163" s="1007"/>
      <c r="D163" s="1007"/>
      <c r="E163" s="1007" t="s">
        <v>672</v>
      </c>
      <c r="F163" s="1007" t="s">
        <v>1220</v>
      </c>
      <c r="G163" s="1007" t="s">
        <v>1221</v>
      </c>
      <c r="H163" s="1007" t="s">
        <v>1210</v>
      </c>
      <c r="I163" s="1007" t="s">
        <v>1222</v>
      </c>
      <c r="J163" s="1007" t="s">
        <v>156</v>
      </c>
      <c r="S163" s="386"/>
      <c r="T163" s="386"/>
      <c r="U163" s="377"/>
      <c r="V163" s="377"/>
    </row>
    <row r="164" spans="1:22" ht="15.75" hidden="1" outlineLevel="2" x14ac:dyDescent="0.25">
      <c r="A164" s="377">
        <v>1</v>
      </c>
      <c r="B164" t="str">
        <f>+B$67</f>
        <v xml:space="preserve">Carson City </v>
      </c>
      <c r="E164" s="1087">
        <v>10</v>
      </c>
      <c r="F164" s="1087">
        <v>4</v>
      </c>
      <c r="G164" s="1087">
        <v>5</v>
      </c>
      <c r="H164" s="1087">
        <v>5</v>
      </c>
      <c r="I164" s="1087">
        <v>1</v>
      </c>
      <c r="J164" s="1072">
        <f t="shared" ref="J164:J170" si="18">SUM(E164:I164)</f>
        <v>25</v>
      </c>
      <c r="S164" s="386"/>
      <c r="T164" s="386"/>
      <c r="U164" s="377"/>
      <c r="V164" s="377"/>
    </row>
    <row r="165" spans="1:22" ht="15.75" hidden="1" outlineLevel="2" x14ac:dyDescent="0.25">
      <c r="A165" s="377">
        <f>1+A164</f>
        <v>2</v>
      </c>
      <c r="B165" t="str">
        <f>+$B$68</f>
        <v>Churchill</v>
      </c>
      <c r="E165" s="1087">
        <v>10</v>
      </c>
      <c r="F165" s="1087">
        <v>4</v>
      </c>
      <c r="G165" s="1087">
        <v>5</v>
      </c>
      <c r="H165" s="1087">
        <v>5</v>
      </c>
      <c r="I165" s="1087">
        <v>1</v>
      </c>
      <c r="J165" s="1039">
        <f t="shared" si="18"/>
        <v>25</v>
      </c>
      <c r="S165" s="386"/>
      <c r="T165" s="386"/>
      <c r="U165" s="377"/>
      <c r="V165" s="377"/>
    </row>
    <row r="166" spans="1:22" ht="15.75" hidden="1" outlineLevel="2" x14ac:dyDescent="0.25">
      <c r="A166" s="377">
        <f t="shared" ref="A166:A169" si="19">1+A165</f>
        <v>3</v>
      </c>
      <c r="B166" t="str">
        <f>+$B$69</f>
        <v>Clark</v>
      </c>
      <c r="E166" s="1087">
        <v>10</v>
      </c>
      <c r="F166" s="1087">
        <v>4</v>
      </c>
      <c r="G166" s="1087">
        <v>5</v>
      </c>
      <c r="H166" s="1087">
        <v>5</v>
      </c>
      <c r="I166" s="1087">
        <v>1</v>
      </c>
      <c r="J166" s="1039">
        <f t="shared" si="18"/>
        <v>25</v>
      </c>
      <c r="S166" s="386"/>
      <c r="T166" s="386"/>
      <c r="U166" s="377"/>
      <c r="V166" s="377"/>
    </row>
    <row r="167" spans="1:22" ht="15.75" hidden="1" outlineLevel="2" x14ac:dyDescent="0.25">
      <c r="A167" s="377">
        <f t="shared" si="19"/>
        <v>4</v>
      </c>
      <c r="B167" t="str">
        <f>+$B$70</f>
        <v>Elko</v>
      </c>
      <c r="E167" s="1087">
        <v>10</v>
      </c>
      <c r="F167" s="1087">
        <v>4</v>
      </c>
      <c r="G167" s="1087">
        <v>5</v>
      </c>
      <c r="H167" s="1087">
        <v>5</v>
      </c>
      <c r="I167" s="1087">
        <v>1</v>
      </c>
      <c r="J167" s="1039">
        <f t="shared" si="18"/>
        <v>25</v>
      </c>
      <c r="S167" s="386"/>
      <c r="T167" s="386"/>
      <c r="U167" s="377"/>
      <c r="V167" s="377"/>
    </row>
    <row r="168" spans="1:22" ht="15.75" hidden="1" outlineLevel="2" x14ac:dyDescent="0.25">
      <c r="A168" s="377">
        <f t="shared" si="19"/>
        <v>5</v>
      </c>
      <c r="B168" t="str">
        <f>+$B$72</f>
        <v>Washoe</v>
      </c>
      <c r="E168" s="1088">
        <v>10</v>
      </c>
      <c r="F168" s="1088">
        <v>4</v>
      </c>
      <c r="G168" s="1088">
        <v>5</v>
      </c>
      <c r="H168" s="1088">
        <v>5</v>
      </c>
      <c r="I168" s="1088">
        <v>1</v>
      </c>
      <c r="J168" s="1039">
        <f t="shared" si="18"/>
        <v>25</v>
      </c>
      <c r="S168" s="386"/>
      <c r="T168" s="386"/>
      <c r="U168" s="377"/>
      <c r="V168" s="377"/>
    </row>
    <row r="169" spans="1:22" ht="15.75" hidden="1" outlineLevel="2" x14ac:dyDescent="0.25">
      <c r="A169" s="377">
        <f t="shared" si="19"/>
        <v>6</v>
      </c>
      <c r="B169" t="str">
        <f>+$B$73</f>
        <v>White Pine</v>
      </c>
      <c r="E169" s="1088">
        <v>10</v>
      </c>
      <c r="F169" s="1088">
        <v>4</v>
      </c>
      <c r="G169" s="1088">
        <v>5</v>
      </c>
      <c r="H169" s="1088">
        <v>5</v>
      </c>
      <c r="I169" s="1088">
        <v>1</v>
      </c>
      <c r="J169" s="1050">
        <f t="shared" si="18"/>
        <v>25</v>
      </c>
      <c r="S169" s="386"/>
      <c r="T169" s="386"/>
      <c r="U169" s="377"/>
      <c r="V169" s="377"/>
    </row>
    <row r="170" spans="1:22" ht="15.75" hidden="1" outlineLevel="2" x14ac:dyDescent="0.25">
      <c r="A170" s="377"/>
      <c r="B170" s="1051" t="s">
        <v>156</v>
      </c>
      <c r="C170" s="1051"/>
      <c r="D170" s="1051"/>
      <c r="E170" s="1056">
        <f>SUM(E164:E169)</f>
        <v>60</v>
      </c>
      <c r="F170" s="1056">
        <f>SUM(F164:F169)</f>
        <v>24</v>
      </c>
      <c r="G170" s="1056">
        <f t="shared" ref="G170:I170" si="20">SUM(G164:G169)</f>
        <v>30</v>
      </c>
      <c r="H170" s="1056">
        <f t="shared" si="20"/>
        <v>30</v>
      </c>
      <c r="I170" s="1056">
        <f t="shared" si="20"/>
        <v>6</v>
      </c>
      <c r="J170" s="1056">
        <f t="shared" si="18"/>
        <v>150</v>
      </c>
      <c r="P170" s="385"/>
      <c r="Q170" s="386"/>
      <c r="R170" s="386"/>
      <c r="S170" s="386"/>
      <c r="T170" s="386"/>
      <c r="U170" s="377"/>
      <c r="V170" s="377"/>
    </row>
    <row r="171" spans="1:22" ht="15.75" hidden="1" outlineLevel="2" x14ac:dyDescent="0.25">
      <c r="A171" s="377"/>
      <c r="J171" s="1044"/>
      <c r="O171" s="384"/>
      <c r="P171" s="385"/>
      <c r="Q171" s="386"/>
      <c r="R171" s="386"/>
      <c r="S171" s="386"/>
      <c r="T171" s="386"/>
      <c r="U171" s="377"/>
      <c r="V171" s="377"/>
    </row>
    <row r="172" spans="1:22" ht="15.75" hidden="1" outlineLevel="2" x14ac:dyDescent="0.25">
      <c r="A172" s="377"/>
      <c r="E172" s="1004" t="s">
        <v>1253</v>
      </c>
      <c r="F172" s="404"/>
      <c r="G172" s="1004"/>
      <c r="H172" s="1004"/>
      <c r="I172" s="1004"/>
      <c r="J172" s="404"/>
      <c r="O172" s="384"/>
      <c r="P172" s="385"/>
      <c r="Q172" s="386"/>
      <c r="R172" s="386"/>
      <c r="S172" s="386"/>
      <c r="T172" s="386"/>
      <c r="U172" s="377"/>
      <c r="V172" s="377"/>
    </row>
    <row r="173" spans="1:22" ht="15.75" hidden="1" outlineLevel="2" x14ac:dyDescent="0.25">
      <c r="A173" s="377"/>
      <c r="E173" s="1007" t="s">
        <v>672</v>
      </c>
      <c r="F173" s="1007" t="s">
        <v>1220</v>
      </c>
      <c r="G173" s="1007" t="s">
        <v>1221</v>
      </c>
      <c r="H173" s="1007" t="s">
        <v>1210</v>
      </c>
      <c r="I173" s="1007" t="s">
        <v>1222</v>
      </c>
      <c r="J173" s="1040"/>
      <c r="O173" s="384"/>
      <c r="P173" s="385"/>
      <c r="Q173" s="386"/>
      <c r="R173" s="386"/>
      <c r="S173" s="386"/>
      <c r="T173" s="386"/>
      <c r="U173" s="377"/>
      <c r="V173" s="377"/>
    </row>
    <row r="174" spans="1:22" ht="15.75" hidden="1" outlineLevel="2" x14ac:dyDescent="0.25">
      <c r="A174" s="377"/>
      <c r="B174" s="1007" t="s">
        <v>1254</v>
      </c>
      <c r="C174" s="1007"/>
      <c r="D174" s="1007"/>
      <c r="E174" s="1090">
        <v>0</v>
      </c>
      <c r="F174" s="1082">
        <f>+D77</f>
        <v>0.38284007225232736</v>
      </c>
      <c r="G174" s="1082">
        <f>+D78</f>
        <v>0.24</v>
      </c>
      <c r="H174" s="1082">
        <f>+D79</f>
        <v>0.03</v>
      </c>
      <c r="I174" s="1082">
        <f>+D80</f>
        <v>0.12</v>
      </c>
      <c r="J174" s="1007" t="s">
        <v>156</v>
      </c>
      <c r="P174" s="385"/>
      <c r="Q174" s="386"/>
      <c r="R174" s="386"/>
      <c r="S174" s="386"/>
      <c r="T174" s="386"/>
      <c r="U174" s="377"/>
      <c r="V174" s="377"/>
    </row>
    <row r="175" spans="1:22" ht="15.75" hidden="1" outlineLevel="2" x14ac:dyDescent="0.25">
      <c r="A175" s="377">
        <v>1</v>
      </c>
      <c r="B175" t="str">
        <f>+B$67</f>
        <v xml:space="preserve">Carson City </v>
      </c>
      <c r="E175" s="1042"/>
      <c r="F175" s="1043">
        <v>4</v>
      </c>
      <c r="G175" s="1043">
        <v>2</v>
      </c>
      <c r="H175" s="1043">
        <v>3</v>
      </c>
      <c r="I175" s="1043">
        <v>1</v>
      </c>
      <c r="J175" s="1072">
        <f t="shared" ref="J175:J181" si="21">SUM(E175:I175)</f>
        <v>10</v>
      </c>
      <c r="P175" s="385"/>
      <c r="Q175" s="386"/>
      <c r="R175" s="386"/>
      <c r="S175" s="386"/>
      <c r="T175" s="386"/>
      <c r="U175" s="377"/>
      <c r="V175" s="377"/>
    </row>
    <row r="176" spans="1:22" ht="15.75" hidden="1" outlineLevel="2" x14ac:dyDescent="0.25">
      <c r="A176" s="377">
        <f>1+A175</f>
        <v>2</v>
      </c>
      <c r="B176" t="str">
        <f>+$B$68</f>
        <v>Churchill</v>
      </c>
      <c r="E176" s="1042"/>
      <c r="F176" s="1045">
        <v>4</v>
      </c>
      <c r="G176" s="1045">
        <v>2</v>
      </c>
      <c r="H176" s="1045">
        <v>3</v>
      </c>
      <c r="I176" s="1045">
        <v>1</v>
      </c>
      <c r="J176" s="1039">
        <f t="shared" si="21"/>
        <v>10</v>
      </c>
      <c r="P176" s="385"/>
      <c r="Q176" s="386"/>
      <c r="R176" s="386"/>
      <c r="S176" s="386"/>
      <c r="T176" s="386"/>
      <c r="U176" s="377"/>
      <c r="V176" s="377"/>
    </row>
    <row r="177" spans="1:22" ht="15.75" hidden="1" outlineLevel="2" x14ac:dyDescent="0.25">
      <c r="A177" s="377">
        <f t="shared" ref="A177:A180" si="22">1+A176</f>
        <v>3</v>
      </c>
      <c r="B177" t="str">
        <f>+$B$69</f>
        <v>Clark</v>
      </c>
      <c r="E177" s="1042"/>
      <c r="F177" s="1045">
        <v>4</v>
      </c>
      <c r="G177" s="1045">
        <v>2</v>
      </c>
      <c r="H177" s="1045">
        <v>3</v>
      </c>
      <c r="I177" s="1045">
        <v>1</v>
      </c>
      <c r="J177" s="1039">
        <f t="shared" si="21"/>
        <v>10</v>
      </c>
      <c r="P177" s="385"/>
      <c r="Q177" s="386"/>
      <c r="R177" s="386"/>
      <c r="S177" s="386"/>
      <c r="T177" s="386"/>
      <c r="U177" s="377"/>
      <c r="V177" s="377"/>
    </row>
    <row r="178" spans="1:22" ht="15.75" hidden="1" outlineLevel="2" x14ac:dyDescent="0.25">
      <c r="A178" s="377">
        <f t="shared" si="22"/>
        <v>4</v>
      </c>
      <c r="B178" t="str">
        <f>+$B$70</f>
        <v>Elko</v>
      </c>
      <c r="E178" s="1042"/>
      <c r="F178" s="1045">
        <v>4</v>
      </c>
      <c r="G178" s="1045">
        <v>2</v>
      </c>
      <c r="H178" s="1045">
        <v>3</v>
      </c>
      <c r="I178" s="1045">
        <v>1</v>
      </c>
      <c r="J178" s="1039">
        <f t="shared" si="21"/>
        <v>10</v>
      </c>
      <c r="P178" s="385"/>
      <c r="Q178" s="386"/>
      <c r="R178" s="386"/>
      <c r="S178" s="386"/>
      <c r="T178" s="386"/>
      <c r="U178" s="377"/>
      <c r="V178" s="377"/>
    </row>
    <row r="179" spans="1:22" ht="15.75" hidden="1" outlineLevel="2" x14ac:dyDescent="0.25">
      <c r="A179" s="377">
        <f t="shared" si="22"/>
        <v>5</v>
      </c>
      <c r="B179" t="str">
        <f>+$B$72</f>
        <v>Washoe</v>
      </c>
      <c r="E179" s="1042"/>
      <c r="F179" s="1045">
        <v>4</v>
      </c>
      <c r="G179" s="1045">
        <v>2</v>
      </c>
      <c r="H179" s="1045">
        <v>3</v>
      </c>
      <c r="I179" s="1045">
        <v>1</v>
      </c>
      <c r="J179" s="1039">
        <f t="shared" si="21"/>
        <v>10</v>
      </c>
      <c r="P179" s="385"/>
      <c r="Q179" s="386"/>
      <c r="R179" s="386"/>
      <c r="S179" s="386"/>
      <c r="T179" s="386"/>
      <c r="U179" s="377"/>
      <c r="V179" s="377"/>
    </row>
    <row r="180" spans="1:22" ht="15.75" hidden="1" outlineLevel="2" x14ac:dyDescent="0.25">
      <c r="A180" s="377">
        <f t="shared" si="22"/>
        <v>6</v>
      </c>
      <c r="B180" t="str">
        <f>+$B$73</f>
        <v>White Pine</v>
      </c>
      <c r="E180" s="1042"/>
      <c r="F180" s="1046">
        <v>4</v>
      </c>
      <c r="G180" s="1046">
        <v>2</v>
      </c>
      <c r="H180" s="1046">
        <v>3</v>
      </c>
      <c r="I180" s="1046">
        <v>1</v>
      </c>
      <c r="J180" s="1050">
        <f t="shared" si="21"/>
        <v>10</v>
      </c>
      <c r="P180" s="385"/>
      <c r="Q180" s="386"/>
      <c r="R180" s="386"/>
      <c r="S180" s="386"/>
      <c r="T180" s="386"/>
      <c r="U180" s="377"/>
      <c r="V180" s="377"/>
    </row>
    <row r="181" spans="1:22" ht="15.75" hidden="1" outlineLevel="2" x14ac:dyDescent="0.25">
      <c r="A181" s="377"/>
      <c r="B181" s="1051" t="s">
        <v>156</v>
      </c>
      <c r="C181" s="1051"/>
      <c r="D181" s="1051"/>
      <c r="E181" s="1048"/>
      <c r="F181" s="1048">
        <f t="shared" ref="F181" si="23">SUM(F175:F180)</f>
        <v>24</v>
      </c>
      <c r="G181" s="1048">
        <f t="shared" ref="G181" si="24">SUM(G175:G180)</f>
        <v>12</v>
      </c>
      <c r="H181" s="1048">
        <f t="shared" ref="H181" si="25">SUM(H175:H180)</f>
        <v>18</v>
      </c>
      <c r="I181" s="1048">
        <f t="shared" ref="I181" si="26">SUM(I175:I180)</f>
        <v>6</v>
      </c>
      <c r="J181" s="1056">
        <f t="shared" si="21"/>
        <v>60</v>
      </c>
      <c r="O181" s="384"/>
      <c r="P181" s="385"/>
      <c r="Q181" s="386"/>
      <c r="R181" s="386"/>
      <c r="S181" s="386"/>
      <c r="T181" s="386"/>
      <c r="U181" s="377"/>
      <c r="V181" s="377"/>
    </row>
    <row r="182" spans="1:22" ht="15.75" hidden="1" outlineLevel="2" x14ac:dyDescent="0.25">
      <c r="A182" s="377"/>
      <c r="O182" s="384"/>
      <c r="P182" s="385"/>
      <c r="Q182" s="386"/>
      <c r="R182" s="386"/>
      <c r="S182" s="386"/>
      <c r="T182" s="386"/>
      <c r="U182" s="377"/>
      <c r="V182" s="377"/>
    </row>
    <row r="183" spans="1:22" ht="15.75" hidden="1" outlineLevel="2" x14ac:dyDescent="0.25">
      <c r="A183" s="377"/>
      <c r="E183" s="1" t="s">
        <v>1255</v>
      </c>
      <c r="F183" s="1"/>
      <c r="G183" s="404"/>
      <c r="H183" s="404"/>
      <c r="I183" s="404"/>
      <c r="O183" s="384"/>
      <c r="P183" s="385"/>
      <c r="Q183" s="386"/>
      <c r="R183" s="386"/>
      <c r="S183" s="386"/>
      <c r="T183" s="386"/>
      <c r="U183" s="377"/>
      <c r="V183" s="377"/>
    </row>
    <row r="184" spans="1:22" ht="15.75" hidden="1" outlineLevel="2" x14ac:dyDescent="0.25">
      <c r="A184" s="377"/>
      <c r="E184" s="1052" t="s">
        <v>672</v>
      </c>
      <c r="F184" s="1052" t="s">
        <v>1220</v>
      </c>
      <c r="G184" s="1007" t="s">
        <v>1221</v>
      </c>
      <c r="H184" s="1007" t="s">
        <v>1210</v>
      </c>
      <c r="I184" s="1007" t="s">
        <v>1222</v>
      </c>
      <c r="J184" s="1052" t="s">
        <v>156</v>
      </c>
      <c r="K184" s="386"/>
      <c r="O184" s="384"/>
      <c r="P184" s="385"/>
      <c r="Q184" s="386"/>
      <c r="R184" s="386"/>
      <c r="S184" s="386"/>
      <c r="T184" s="386"/>
      <c r="U184" s="377"/>
      <c r="V184" s="377"/>
    </row>
    <row r="185" spans="1:22" ht="15.75" hidden="1" outlineLevel="2" x14ac:dyDescent="0.25">
      <c r="A185" s="377">
        <v>1</v>
      </c>
      <c r="B185" t="str">
        <f>+B$67</f>
        <v xml:space="preserve">Carson City </v>
      </c>
      <c r="E185" s="1053">
        <f>+E164-E175</f>
        <v>10</v>
      </c>
      <c r="F185" s="1053">
        <f t="shared" ref="F185:I185" si="27">+F164-F175</f>
        <v>0</v>
      </c>
      <c r="G185" s="1053">
        <f t="shared" si="27"/>
        <v>3</v>
      </c>
      <c r="H185" s="1053">
        <f t="shared" si="27"/>
        <v>2</v>
      </c>
      <c r="I185" s="1053">
        <f t="shared" si="27"/>
        <v>0</v>
      </c>
      <c r="J185" s="1044">
        <f t="shared" ref="J185:J191" si="28">SUM(E185:I185)</f>
        <v>15</v>
      </c>
      <c r="O185" s="384"/>
      <c r="P185" s="385"/>
      <c r="Q185" s="386"/>
      <c r="R185" s="386"/>
      <c r="S185" s="386"/>
      <c r="T185" s="386"/>
      <c r="U185" s="377"/>
      <c r="V185" s="377"/>
    </row>
    <row r="186" spans="1:22" ht="15.75" hidden="1" outlineLevel="2" x14ac:dyDescent="0.25">
      <c r="A186" s="377">
        <f>1+A185</f>
        <v>2</v>
      </c>
      <c r="B186" t="str">
        <f>+$B$68</f>
        <v>Churchill</v>
      </c>
      <c r="E186" s="1054">
        <f t="shared" ref="E186:I186" si="29">+E165-E176</f>
        <v>10</v>
      </c>
      <c r="F186" s="1054">
        <f t="shared" si="29"/>
        <v>0</v>
      </c>
      <c r="G186" s="1054">
        <f t="shared" si="29"/>
        <v>3</v>
      </c>
      <c r="H186" s="1054">
        <f t="shared" si="29"/>
        <v>2</v>
      </c>
      <c r="I186" s="1054">
        <f t="shared" si="29"/>
        <v>0</v>
      </c>
      <c r="J186" s="1044">
        <f t="shared" si="28"/>
        <v>15</v>
      </c>
      <c r="O186" s="384"/>
      <c r="P186" s="385"/>
      <c r="Q186" s="386"/>
      <c r="R186" s="386"/>
      <c r="S186" s="386"/>
      <c r="T186" s="386"/>
      <c r="U186" s="377"/>
      <c r="V186" s="377"/>
    </row>
    <row r="187" spans="1:22" ht="15.75" hidden="1" outlineLevel="2" x14ac:dyDescent="0.25">
      <c r="A187" s="377">
        <f t="shared" ref="A187:A190" si="30">1+A186</f>
        <v>3</v>
      </c>
      <c r="B187" t="str">
        <f>+$B$69</f>
        <v>Clark</v>
      </c>
      <c r="E187" s="1054">
        <f t="shared" ref="E187:I187" si="31">+E166-E177</f>
        <v>10</v>
      </c>
      <c r="F187" s="1054">
        <f t="shared" si="31"/>
        <v>0</v>
      </c>
      <c r="G187" s="1054">
        <f t="shared" si="31"/>
        <v>3</v>
      </c>
      <c r="H187" s="1054">
        <f t="shared" si="31"/>
        <v>2</v>
      </c>
      <c r="I187" s="1054">
        <f t="shared" si="31"/>
        <v>0</v>
      </c>
      <c r="J187" s="1044">
        <f t="shared" si="28"/>
        <v>15</v>
      </c>
      <c r="O187" s="384"/>
      <c r="P187" s="385"/>
      <c r="Q187" s="386"/>
      <c r="R187" s="386"/>
      <c r="S187" s="386"/>
      <c r="T187" s="386"/>
      <c r="U187" s="377"/>
      <c r="V187" s="377"/>
    </row>
    <row r="188" spans="1:22" ht="15.75" hidden="1" outlineLevel="2" x14ac:dyDescent="0.25">
      <c r="A188" s="377">
        <f t="shared" si="30"/>
        <v>4</v>
      </c>
      <c r="B188" t="str">
        <f>+$B$70</f>
        <v>Elko</v>
      </c>
      <c r="E188" s="1054">
        <f t="shared" ref="E188:I188" si="32">+E167-E178</f>
        <v>10</v>
      </c>
      <c r="F188" s="1054">
        <f t="shared" si="32"/>
        <v>0</v>
      </c>
      <c r="G188" s="1054">
        <f t="shared" si="32"/>
        <v>3</v>
      </c>
      <c r="H188" s="1054">
        <f t="shared" si="32"/>
        <v>2</v>
      </c>
      <c r="I188" s="1054">
        <f t="shared" si="32"/>
        <v>0</v>
      </c>
      <c r="J188" s="1044">
        <f t="shared" si="28"/>
        <v>15</v>
      </c>
      <c r="O188" s="384"/>
      <c r="P188" s="385"/>
      <c r="Q188" s="386"/>
      <c r="R188" s="386"/>
      <c r="S188" s="386"/>
      <c r="T188" s="386"/>
      <c r="U188" s="377"/>
      <c r="V188" s="377"/>
    </row>
    <row r="189" spans="1:22" ht="15.75" hidden="1" outlineLevel="2" x14ac:dyDescent="0.25">
      <c r="A189" s="377">
        <f t="shared" si="30"/>
        <v>5</v>
      </c>
      <c r="B189" t="str">
        <f>+$B$72</f>
        <v>Washoe</v>
      </c>
      <c r="E189" s="1054">
        <f t="shared" ref="E189:I189" si="33">+E168-E179</f>
        <v>10</v>
      </c>
      <c r="F189" s="1054">
        <f t="shared" si="33"/>
        <v>0</v>
      </c>
      <c r="G189" s="1054">
        <f t="shared" si="33"/>
        <v>3</v>
      </c>
      <c r="H189" s="1054">
        <f t="shared" si="33"/>
        <v>2</v>
      </c>
      <c r="I189" s="1054">
        <f t="shared" si="33"/>
        <v>0</v>
      </c>
      <c r="J189" s="1044">
        <f t="shared" si="28"/>
        <v>15</v>
      </c>
      <c r="O189" s="384"/>
      <c r="P189" s="385"/>
      <c r="Q189" s="386"/>
      <c r="R189" s="386"/>
      <c r="S189" s="386"/>
      <c r="T189" s="386"/>
      <c r="U189" s="377"/>
      <c r="V189" s="377"/>
    </row>
    <row r="190" spans="1:22" ht="15.75" hidden="1" outlineLevel="2" x14ac:dyDescent="0.25">
      <c r="A190" s="377">
        <f t="shared" si="30"/>
        <v>6</v>
      </c>
      <c r="B190" t="str">
        <f>+$B$73</f>
        <v>White Pine</v>
      </c>
      <c r="E190" s="1055">
        <f t="shared" ref="E190:I190" si="34">+E169-E180</f>
        <v>10</v>
      </c>
      <c r="F190" s="1055">
        <f t="shared" si="34"/>
        <v>0</v>
      </c>
      <c r="G190" s="1055">
        <f t="shared" si="34"/>
        <v>3</v>
      </c>
      <c r="H190" s="1055">
        <f t="shared" si="34"/>
        <v>2</v>
      </c>
      <c r="I190" s="1055">
        <f t="shared" si="34"/>
        <v>0</v>
      </c>
      <c r="J190" s="1044">
        <f t="shared" si="28"/>
        <v>15</v>
      </c>
      <c r="O190" s="384"/>
      <c r="P190" s="385"/>
      <c r="Q190" s="386"/>
      <c r="R190" s="386"/>
      <c r="S190" s="386"/>
      <c r="T190" s="386"/>
      <c r="U190" s="377"/>
      <c r="V190" s="377"/>
    </row>
    <row r="191" spans="1:22" ht="15.75" hidden="1" outlineLevel="2" x14ac:dyDescent="0.25">
      <c r="A191" s="377"/>
      <c r="B191" s="1051" t="s">
        <v>156</v>
      </c>
      <c r="C191" s="1051"/>
      <c r="D191" s="1051"/>
      <c r="E191" s="1048">
        <f>SUM(E185:E190)</f>
        <v>60</v>
      </c>
      <c r="F191" s="1048">
        <f t="shared" ref="F191:I191" si="35">SUM(F185:F190)</f>
        <v>0</v>
      </c>
      <c r="G191" s="1048">
        <f t="shared" si="35"/>
        <v>18</v>
      </c>
      <c r="H191" s="1048">
        <f t="shared" si="35"/>
        <v>12</v>
      </c>
      <c r="I191" s="1048">
        <f t="shared" si="35"/>
        <v>0</v>
      </c>
      <c r="J191" s="1048">
        <f t="shared" si="28"/>
        <v>90</v>
      </c>
      <c r="O191" s="384"/>
      <c r="P191" s="385"/>
      <c r="Q191" s="386"/>
      <c r="R191" s="386"/>
      <c r="S191" s="386"/>
      <c r="T191" s="386"/>
      <c r="U191" s="377"/>
      <c r="V191" s="377"/>
    </row>
    <row r="192" spans="1:22" ht="15.75" hidden="1" outlineLevel="2" x14ac:dyDescent="0.25">
      <c r="A192" s="377"/>
      <c r="O192" s="384"/>
      <c r="P192" s="385"/>
      <c r="Q192" s="386"/>
      <c r="R192" s="386"/>
      <c r="S192" s="386"/>
      <c r="T192" s="386"/>
      <c r="U192" s="377"/>
      <c r="V192" s="377"/>
    </row>
    <row r="193" spans="1:22" ht="15.75" hidden="1" outlineLevel="2" x14ac:dyDescent="0.25">
      <c r="A193" s="377"/>
      <c r="B193" s="1051" t="s">
        <v>1256</v>
      </c>
      <c r="C193" s="1051"/>
      <c r="D193" s="1051"/>
      <c r="E193" s="1048">
        <f>+E181+E191</f>
        <v>60</v>
      </c>
      <c r="F193" s="1048">
        <f t="shared" ref="F193:I193" si="36">+F181+F191</f>
        <v>24</v>
      </c>
      <c r="G193" s="1048">
        <f t="shared" si="36"/>
        <v>30</v>
      </c>
      <c r="H193" s="1048">
        <f t="shared" si="36"/>
        <v>30</v>
      </c>
      <c r="I193" s="1048">
        <f t="shared" si="36"/>
        <v>6</v>
      </c>
      <c r="J193" s="1048">
        <f>SUM(E193:I193)</f>
        <v>150</v>
      </c>
      <c r="O193" s="384"/>
      <c r="P193" s="385"/>
      <c r="Q193" s="386"/>
      <c r="R193" s="386"/>
      <c r="S193" s="386"/>
      <c r="T193" s="386"/>
      <c r="U193" s="377"/>
      <c r="V193" s="377"/>
    </row>
    <row r="194" spans="1:22" ht="15.75" hidden="1" outlineLevel="2" x14ac:dyDescent="0.25">
      <c r="A194" s="377"/>
      <c r="O194" s="384"/>
      <c r="P194" s="385"/>
      <c r="Q194" s="386"/>
      <c r="R194" s="386"/>
      <c r="S194" s="386"/>
      <c r="T194" s="386"/>
      <c r="U194" s="377"/>
      <c r="V194" s="377"/>
    </row>
    <row r="195" spans="1:22" ht="15.75" hidden="1" outlineLevel="2" x14ac:dyDescent="0.25">
      <c r="A195" s="377"/>
      <c r="B195" s="1064" t="s">
        <v>1251</v>
      </c>
      <c r="C195" s="1064"/>
      <c r="D195" s="1064"/>
      <c r="E195" s="1065"/>
      <c r="F195" s="1019"/>
      <c r="G195" s="1064"/>
      <c r="H195" s="1019"/>
      <c r="I195" s="1019"/>
      <c r="J195" s="1066"/>
      <c r="O195" s="384"/>
      <c r="P195" s="385"/>
      <c r="Q195" s="386"/>
      <c r="R195" s="386"/>
      <c r="S195" s="386"/>
      <c r="T195" s="386"/>
      <c r="U195" s="377"/>
      <c r="V195" s="377"/>
    </row>
    <row r="196" spans="1:22" ht="15.75" hidden="1" outlineLevel="2" x14ac:dyDescent="0.25">
      <c r="A196" s="377"/>
      <c r="B196" s="1062" t="s">
        <v>1257</v>
      </c>
      <c r="C196" s="1062"/>
      <c r="D196" s="1062"/>
      <c r="E196" s="1062"/>
      <c r="F196" s="1016"/>
      <c r="G196" s="1062"/>
      <c r="H196" s="1016"/>
      <c r="I196" s="1016"/>
      <c r="J196" s="1063"/>
      <c r="O196" s="384"/>
      <c r="P196" s="385"/>
      <c r="Q196" s="386"/>
      <c r="R196" s="386"/>
      <c r="S196" s="386"/>
      <c r="T196" s="386"/>
      <c r="U196" s="377"/>
      <c r="V196" s="377"/>
    </row>
    <row r="197" spans="1:22" ht="15.75" hidden="1" outlineLevel="3" x14ac:dyDescent="0.25">
      <c r="A197" s="377"/>
      <c r="B197" s="1004"/>
      <c r="C197" s="1004"/>
      <c r="D197" s="1004"/>
      <c r="E197" s="1004" t="s">
        <v>1252</v>
      </c>
      <c r="F197" s="404"/>
      <c r="G197" s="1004"/>
      <c r="H197" s="404"/>
      <c r="I197" s="404"/>
      <c r="J197" s="1058"/>
      <c r="O197" s="384"/>
      <c r="P197" s="385"/>
      <c r="Q197" s="386"/>
      <c r="R197" s="386"/>
      <c r="S197" s="386"/>
      <c r="T197" s="386"/>
      <c r="U197" s="377"/>
      <c r="V197" s="377"/>
    </row>
    <row r="198" spans="1:22" ht="15.75" hidden="1" outlineLevel="3" x14ac:dyDescent="0.25">
      <c r="A198" s="377"/>
      <c r="B198" s="1007"/>
      <c r="C198" s="1007"/>
      <c r="D198" s="1007"/>
      <c r="E198" s="1007" t="s">
        <v>672</v>
      </c>
      <c r="F198" s="1007" t="s">
        <v>1220</v>
      </c>
      <c r="G198" s="1007" t="s">
        <v>1221</v>
      </c>
      <c r="H198" s="1007" t="s">
        <v>1210</v>
      </c>
      <c r="I198" s="1007" t="s">
        <v>1222</v>
      </c>
      <c r="J198" s="1007" t="s">
        <v>156</v>
      </c>
      <c r="O198" s="384"/>
      <c r="P198" s="385"/>
      <c r="Q198" s="386"/>
      <c r="R198" s="386"/>
      <c r="S198" s="386"/>
      <c r="T198" s="386"/>
      <c r="U198" s="377"/>
      <c r="V198" s="377"/>
    </row>
    <row r="199" spans="1:22" ht="15.75" hidden="1" outlineLevel="3" x14ac:dyDescent="0.25">
      <c r="A199" s="377">
        <v>1</v>
      </c>
      <c r="B199" t="str">
        <f>+B$67</f>
        <v xml:space="preserve">Carson City </v>
      </c>
      <c r="E199" s="1038">
        <v>100</v>
      </c>
      <c r="F199" s="1038">
        <v>40</v>
      </c>
      <c r="G199" s="1038">
        <v>50</v>
      </c>
      <c r="H199" s="1038">
        <v>50</v>
      </c>
      <c r="I199" s="1038">
        <v>2</v>
      </c>
      <c r="J199" s="1057">
        <f t="shared" ref="J199:J205" si="37">SUM(E199:I199)</f>
        <v>242</v>
      </c>
      <c r="O199" s="384"/>
      <c r="P199" s="385"/>
      <c r="Q199" s="386"/>
      <c r="R199" s="386"/>
      <c r="S199" s="386"/>
      <c r="T199" s="386"/>
      <c r="U199" s="377"/>
      <c r="V199" s="377"/>
    </row>
    <row r="200" spans="1:22" ht="15.75" hidden="1" outlineLevel="3" x14ac:dyDescent="0.25">
      <c r="A200" s="377">
        <f>1+A199</f>
        <v>2</v>
      </c>
      <c r="B200" t="str">
        <f>+$B$68</f>
        <v>Churchill</v>
      </c>
      <c r="E200" s="1038"/>
      <c r="F200" s="1038">
        <v>30</v>
      </c>
      <c r="G200" s="1038">
        <v>0</v>
      </c>
      <c r="H200" s="1038">
        <v>0</v>
      </c>
      <c r="I200" s="1038">
        <v>0</v>
      </c>
      <c r="J200" s="1039">
        <f t="shared" si="37"/>
        <v>30</v>
      </c>
      <c r="O200" s="384"/>
      <c r="P200" s="385"/>
      <c r="Q200" s="386"/>
      <c r="R200" s="386"/>
      <c r="S200" s="386"/>
      <c r="T200" s="386"/>
      <c r="U200" s="377"/>
      <c r="V200" s="377"/>
    </row>
    <row r="201" spans="1:22" ht="15.75" hidden="1" outlineLevel="3" x14ac:dyDescent="0.25">
      <c r="A201" s="377">
        <f t="shared" ref="A201:A204" si="38">1+A200</f>
        <v>3</v>
      </c>
      <c r="B201" t="str">
        <f>+$B$69</f>
        <v>Clark</v>
      </c>
      <c r="E201" s="1038"/>
      <c r="F201" s="1038">
        <v>30</v>
      </c>
      <c r="G201" s="1038">
        <v>0</v>
      </c>
      <c r="H201" s="1038">
        <v>0</v>
      </c>
      <c r="I201" s="1038">
        <v>0</v>
      </c>
      <c r="J201" s="1039">
        <f t="shared" si="37"/>
        <v>30</v>
      </c>
      <c r="O201" s="384"/>
      <c r="P201" s="385"/>
      <c r="Q201" s="386"/>
      <c r="R201" s="386"/>
      <c r="S201" s="386"/>
      <c r="T201" s="386"/>
      <c r="U201" s="377"/>
      <c r="V201" s="377"/>
    </row>
    <row r="202" spans="1:22" ht="15.75" hidden="1" outlineLevel="3" x14ac:dyDescent="0.25">
      <c r="A202" s="377">
        <f t="shared" si="38"/>
        <v>4</v>
      </c>
      <c r="B202" t="str">
        <f>+$B$70</f>
        <v>Elko</v>
      </c>
      <c r="E202" s="1038"/>
      <c r="F202" s="1038">
        <v>5</v>
      </c>
      <c r="G202" s="1038">
        <v>0</v>
      </c>
      <c r="H202" s="1038">
        <v>0</v>
      </c>
      <c r="I202" s="1038">
        <v>0</v>
      </c>
      <c r="J202" s="1039">
        <f t="shared" si="37"/>
        <v>5</v>
      </c>
      <c r="O202" s="384"/>
      <c r="P202" s="385"/>
      <c r="Q202" s="386"/>
      <c r="R202" s="386"/>
      <c r="S202" s="386"/>
      <c r="T202" s="386"/>
      <c r="U202" s="377"/>
      <c r="V202" s="377"/>
    </row>
    <row r="203" spans="1:22" ht="15.75" hidden="1" outlineLevel="3" x14ac:dyDescent="0.25">
      <c r="A203" s="377">
        <f t="shared" si="38"/>
        <v>5</v>
      </c>
      <c r="B203" t="str">
        <f>+$B$72</f>
        <v>Washoe</v>
      </c>
      <c r="E203" s="1049"/>
      <c r="F203" s="1049">
        <v>10</v>
      </c>
      <c r="G203" s="1049">
        <v>0</v>
      </c>
      <c r="H203" s="1049">
        <v>0</v>
      </c>
      <c r="I203" s="1049">
        <v>0</v>
      </c>
      <c r="J203" s="1039">
        <f t="shared" si="37"/>
        <v>10</v>
      </c>
      <c r="O203" s="384"/>
      <c r="P203" s="385"/>
      <c r="Q203" s="386"/>
      <c r="R203" s="386"/>
      <c r="S203" s="386"/>
      <c r="T203" s="386"/>
      <c r="U203" s="377"/>
      <c r="V203" s="377"/>
    </row>
    <row r="204" spans="1:22" ht="15.75" hidden="1" outlineLevel="3" x14ac:dyDescent="0.25">
      <c r="A204" s="377">
        <f t="shared" si="38"/>
        <v>6</v>
      </c>
      <c r="B204" t="str">
        <f>+$B$73</f>
        <v>White Pine</v>
      </c>
      <c r="E204" s="1049"/>
      <c r="F204" s="1049">
        <v>10</v>
      </c>
      <c r="G204" s="1049">
        <v>0</v>
      </c>
      <c r="H204" s="1049">
        <v>0</v>
      </c>
      <c r="I204" s="1049">
        <v>0</v>
      </c>
      <c r="J204" s="1050">
        <f t="shared" si="37"/>
        <v>10</v>
      </c>
      <c r="O204" s="384"/>
      <c r="P204" s="385"/>
      <c r="Q204" s="386"/>
      <c r="R204" s="386"/>
      <c r="S204" s="386"/>
      <c r="T204" s="386"/>
      <c r="U204" s="377"/>
      <c r="V204" s="377"/>
    </row>
    <row r="205" spans="1:22" ht="15.75" hidden="1" outlineLevel="3" x14ac:dyDescent="0.25">
      <c r="A205" s="377"/>
      <c r="B205" s="1051" t="s">
        <v>156</v>
      </c>
      <c r="C205" s="1051"/>
      <c r="D205" s="1051"/>
      <c r="E205" s="1056">
        <f>SUM(E199:E204)</f>
        <v>100</v>
      </c>
      <c r="F205" s="1056">
        <f>SUM(F199:F204)</f>
        <v>125</v>
      </c>
      <c r="G205" s="1056">
        <f t="shared" ref="G205" si="39">SUM(G199:G204)</f>
        <v>50</v>
      </c>
      <c r="H205" s="1056">
        <f t="shared" ref="H205" si="40">SUM(H199:H204)</f>
        <v>50</v>
      </c>
      <c r="I205" s="1056">
        <f t="shared" ref="I205" si="41">SUM(I199:I204)</f>
        <v>2</v>
      </c>
      <c r="J205" s="1056">
        <f t="shared" si="37"/>
        <v>327</v>
      </c>
      <c r="O205" s="384"/>
      <c r="P205" s="385"/>
      <c r="Q205" s="386"/>
      <c r="R205" s="386"/>
      <c r="S205" s="386"/>
      <c r="T205" s="386"/>
      <c r="U205" s="377"/>
      <c r="V205" s="377"/>
    </row>
    <row r="206" spans="1:22" ht="15.75" hidden="1" outlineLevel="3" x14ac:dyDescent="0.25">
      <c r="A206" s="377"/>
      <c r="J206" s="1044"/>
      <c r="O206" s="384"/>
      <c r="P206" s="385"/>
      <c r="Q206" s="386"/>
      <c r="R206" s="386"/>
      <c r="S206" s="386"/>
      <c r="T206" s="386"/>
      <c r="U206" s="377"/>
      <c r="V206" s="377"/>
    </row>
    <row r="207" spans="1:22" ht="15.75" hidden="1" outlineLevel="3" x14ac:dyDescent="0.25">
      <c r="A207" s="377"/>
      <c r="E207" s="1004" t="s">
        <v>1258</v>
      </c>
      <c r="F207" s="404"/>
      <c r="G207" s="1004"/>
      <c r="H207" s="1004"/>
      <c r="I207" s="1004"/>
      <c r="J207" s="404"/>
      <c r="O207" s="384"/>
      <c r="P207" s="385"/>
      <c r="Q207" s="386"/>
      <c r="R207" s="386"/>
      <c r="S207" s="386"/>
      <c r="T207" s="386"/>
      <c r="U207" s="377"/>
      <c r="V207" s="377"/>
    </row>
    <row r="208" spans="1:22" ht="15.75" hidden="1" outlineLevel="3" x14ac:dyDescent="0.25">
      <c r="A208" s="377"/>
      <c r="E208" s="1007" t="s">
        <v>672</v>
      </c>
      <c r="F208" s="1007" t="s">
        <v>1220</v>
      </c>
      <c r="G208" s="1007" t="s">
        <v>1221</v>
      </c>
      <c r="H208" s="1007" t="s">
        <v>1210</v>
      </c>
      <c r="I208" s="1007" t="s">
        <v>1222</v>
      </c>
      <c r="J208" s="1040"/>
      <c r="O208" s="384"/>
      <c r="P208" s="385"/>
      <c r="Q208" s="386"/>
      <c r="R208" s="386"/>
      <c r="S208" s="386"/>
      <c r="T208" s="386"/>
      <c r="U208" s="377"/>
      <c r="V208" s="377"/>
    </row>
    <row r="209" spans="1:22" ht="15.75" hidden="1" outlineLevel="3" x14ac:dyDescent="0.25">
      <c r="A209" s="377"/>
      <c r="E209" s="1040"/>
      <c r="F209" s="1037">
        <f>+E185</f>
        <v>10</v>
      </c>
      <c r="G209" s="1037">
        <f>+E186</f>
        <v>10</v>
      </c>
      <c r="H209" s="1037">
        <f>+E187</f>
        <v>10</v>
      </c>
      <c r="I209" s="1037">
        <f>+E188</f>
        <v>10</v>
      </c>
      <c r="J209" s="1007" t="s">
        <v>156</v>
      </c>
      <c r="O209" s="384"/>
      <c r="P209" s="385"/>
      <c r="Q209" s="386"/>
      <c r="R209" s="386"/>
      <c r="S209" s="386"/>
      <c r="T209" s="386"/>
      <c r="U209" s="377"/>
      <c r="V209" s="377"/>
    </row>
    <row r="210" spans="1:22" ht="15.75" hidden="1" outlineLevel="3" x14ac:dyDescent="0.25">
      <c r="A210" s="377">
        <v>1</v>
      </c>
      <c r="B210" t="str">
        <f>+B$67</f>
        <v xml:space="preserve">Carson City </v>
      </c>
      <c r="E210" s="1042"/>
      <c r="F210" s="1043">
        <v>20</v>
      </c>
      <c r="G210" s="1043">
        <v>20</v>
      </c>
      <c r="H210" s="1043">
        <v>30</v>
      </c>
      <c r="I210" s="1043">
        <v>1</v>
      </c>
      <c r="J210" s="1057">
        <f t="shared" ref="J210:J216" si="42">SUM(E210:I210)</f>
        <v>71</v>
      </c>
      <c r="O210" s="384"/>
      <c r="P210" s="385"/>
      <c r="Q210" s="386"/>
      <c r="R210" s="386"/>
      <c r="S210" s="386"/>
      <c r="T210" s="386"/>
      <c r="U210" s="377"/>
      <c r="V210" s="377"/>
    </row>
    <row r="211" spans="1:22" ht="15.75" hidden="1" outlineLevel="3" x14ac:dyDescent="0.25">
      <c r="A211" s="377">
        <f>1+A210</f>
        <v>2</v>
      </c>
      <c r="B211" t="str">
        <f>+$B$68</f>
        <v>Churchill</v>
      </c>
      <c r="E211" s="1042"/>
      <c r="F211" s="1045">
        <v>0</v>
      </c>
      <c r="G211" s="1045"/>
      <c r="H211" s="1045"/>
      <c r="I211" s="1045"/>
      <c r="J211" s="1039">
        <f t="shared" si="42"/>
        <v>0</v>
      </c>
      <c r="O211" s="384"/>
      <c r="P211" s="385"/>
      <c r="Q211" s="386"/>
      <c r="R211" s="386"/>
      <c r="S211" s="386"/>
      <c r="T211" s="386"/>
      <c r="U211" s="377"/>
      <c r="V211" s="377"/>
    </row>
    <row r="212" spans="1:22" ht="15.75" hidden="1" outlineLevel="3" x14ac:dyDescent="0.25">
      <c r="A212" s="377">
        <f t="shared" ref="A212:A215" si="43">1+A211</f>
        <v>3</v>
      </c>
      <c r="B212" t="str">
        <f>+$B$69</f>
        <v>Clark</v>
      </c>
      <c r="E212" s="1042"/>
      <c r="F212" s="1045">
        <v>30</v>
      </c>
      <c r="G212" s="1045"/>
      <c r="H212" s="1045"/>
      <c r="I212" s="1045"/>
      <c r="J212" s="1039">
        <f t="shared" si="42"/>
        <v>30</v>
      </c>
      <c r="O212" s="384"/>
      <c r="P212" s="385"/>
      <c r="Q212" s="386"/>
      <c r="R212" s="386"/>
      <c r="S212" s="386"/>
      <c r="T212" s="386"/>
      <c r="U212" s="377"/>
      <c r="V212" s="377"/>
    </row>
    <row r="213" spans="1:22" ht="15.75" hidden="1" outlineLevel="3" x14ac:dyDescent="0.25">
      <c r="A213" s="377">
        <f t="shared" si="43"/>
        <v>4</v>
      </c>
      <c r="B213" t="str">
        <f>+$B$70</f>
        <v>Elko</v>
      </c>
      <c r="E213" s="1042"/>
      <c r="F213" s="1045">
        <v>5</v>
      </c>
      <c r="G213" s="1045"/>
      <c r="H213" s="1045"/>
      <c r="I213" s="1045"/>
      <c r="J213" s="1039">
        <f t="shared" si="42"/>
        <v>5</v>
      </c>
      <c r="O213" s="384"/>
      <c r="P213" s="385"/>
      <c r="Q213" s="386"/>
      <c r="R213" s="386"/>
      <c r="S213" s="386"/>
      <c r="T213" s="386"/>
      <c r="U213" s="377"/>
      <c r="V213" s="377"/>
    </row>
    <row r="214" spans="1:22" ht="15.75" hidden="1" outlineLevel="3" x14ac:dyDescent="0.25">
      <c r="A214" s="377">
        <f t="shared" si="43"/>
        <v>5</v>
      </c>
      <c r="B214" t="str">
        <f>+$B$72</f>
        <v>Washoe</v>
      </c>
      <c r="E214" s="1042"/>
      <c r="F214" s="1045">
        <v>10</v>
      </c>
      <c r="G214" s="1045"/>
      <c r="H214" s="1045"/>
      <c r="I214" s="1045"/>
      <c r="J214" s="1039">
        <f t="shared" si="42"/>
        <v>10</v>
      </c>
      <c r="O214" s="384"/>
      <c r="P214" s="385"/>
      <c r="Q214" s="386"/>
      <c r="R214" s="386"/>
      <c r="S214" s="386"/>
      <c r="T214" s="386"/>
      <c r="U214" s="377"/>
      <c r="V214" s="377"/>
    </row>
    <row r="215" spans="1:22" ht="15.75" hidden="1" outlineLevel="3" x14ac:dyDescent="0.25">
      <c r="A215" s="377">
        <f t="shared" si="43"/>
        <v>6</v>
      </c>
      <c r="B215" t="str">
        <f>+$B$73</f>
        <v>White Pine</v>
      </c>
      <c r="E215" s="1042"/>
      <c r="F215" s="1046">
        <v>0</v>
      </c>
      <c r="G215" s="1046"/>
      <c r="H215" s="1046"/>
      <c r="I215" s="1046"/>
      <c r="J215" s="1050">
        <f t="shared" si="42"/>
        <v>0</v>
      </c>
      <c r="O215" s="384"/>
      <c r="P215" s="385"/>
      <c r="Q215" s="386"/>
      <c r="R215" s="386"/>
      <c r="S215" s="386"/>
      <c r="T215" s="386"/>
      <c r="U215" s="377"/>
      <c r="V215" s="377"/>
    </row>
    <row r="216" spans="1:22" ht="15.75" hidden="1" outlineLevel="3" x14ac:dyDescent="0.25">
      <c r="A216" s="377"/>
      <c r="B216" s="1051" t="s">
        <v>156</v>
      </c>
      <c r="C216" s="1051"/>
      <c r="D216" s="1051"/>
      <c r="E216" s="1047"/>
      <c r="F216" s="1048">
        <f t="shared" ref="F216" si="44">SUM(F210:F215)</f>
        <v>65</v>
      </c>
      <c r="G216" s="1048">
        <f t="shared" ref="G216" si="45">SUM(G210:G215)</f>
        <v>20</v>
      </c>
      <c r="H216" s="1048">
        <f t="shared" ref="H216" si="46">SUM(H210:H215)</f>
        <v>30</v>
      </c>
      <c r="I216" s="1048">
        <f t="shared" ref="I216" si="47">SUM(I210:I215)</f>
        <v>1</v>
      </c>
      <c r="J216" s="1056">
        <f t="shared" si="42"/>
        <v>116</v>
      </c>
      <c r="O216" s="384"/>
      <c r="P216" s="385"/>
      <c r="Q216" s="386"/>
      <c r="R216" s="386"/>
      <c r="S216" s="386"/>
      <c r="T216" s="386"/>
      <c r="U216" s="377"/>
      <c r="V216" s="377"/>
    </row>
    <row r="217" spans="1:22" ht="15.75" hidden="1" outlineLevel="3" x14ac:dyDescent="0.25">
      <c r="A217" s="377"/>
      <c r="O217" s="384"/>
      <c r="P217" s="385"/>
      <c r="Q217" s="386"/>
      <c r="R217" s="386"/>
      <c r="S217" s="386"/>
      <c r="T217" s="386"/>
      <c r="U217" s="377"/>
      <c r="V217" s="377"/>
    </row>
    <row r="218" spans="1:22" ht="15.75" hidden="1" outlineLevel="3" x14ac:dyDescent="0.25">
      <c r="A218" s="377"/>
      <c r="E218" s="1004"/>
      <c r="F218" s="1" t="s">
        <v>1255</v>
      </c>
      <c r="G218" s="404"/>
      <c r="H218" s="404"/>
      <c r="I218" s="404"/>
      <c r="O218" s="384"/>
      <c r="P218" s="385"/>
      <c r="Q218" s="386"/>
      <c r="R218" s="386"/>
      <c r="S218" s="386"/>
      <c r="T218" s="386"/>
      <c r="U218" s="377"/>
      <c r="V218" s="377"/>
    </row>
    <row r="219" spans="1:22" ht="15.75" hidden="1" outlineLevel="3" x14ac:dyDescent="0.25">
      <c r="A219" s="377"/>
      <c r="E219" s="1007" t="s">
        <v>672</v>
      </c>
      <c r="F219" s="1052" t="s">
        <v>1220</v>
      </c>
      <c r="G219" s="1007" t="s">
        <v>1221</v>
      </c>
      <c r="H219" s="1007" t="s">
        <v>1210</v>
      </c>
      <c r="I219" s="1007" t="s">
        <v>1222</v>
      </c>
      <c r="O219" s="384"/>
      <c r="P219" s="385"/>
      <c r="Q219" s="386"/>
      <c r="R219" s="386"/>
      <c r="S219" s="386"/>
      <c r="T219" s="386"/>
      <c r="U219" s="377"/>
      <c r="V219" s="377"/>
    </row>
    <row r="220" spans="1:22" ht="15.75" hidden="1" outlineLevel="3" x14ac:dyDescent="0.25">
      <c r="A220" s="377">
        <v>1</v>
      </c>
      <c r="B220" t="str">
        <f>+B$67</f>
        <v xml:space="preserve">Carson City </v>
      </c>
      <c r="E220" s="1053">
        <f>+E199-E210</f>
        <v>100</v>
      </c>
      <c r="F220" s="1053">
        <f t="shared" ref="F220:I220" si="48">+F199-F210</f>
        <v>20</v>
      </c>
      <c r="G220" s="1053">
        <f t="shared" si="48"/>
        <v>30</v>
      </c>
      <c r="H220" s="1053">
        <f t="shared" si="48"/>
        <v>20</v>
      </c>
      <c r="I220" s="1053">
        <f t="shared" si="48"/>
        <v>1</v>
      </c>
      <c r="J220" s="1044">
        <f t="shared" ref="J220:J226" si="49">SUM(E220:I220)</f>
        <v>171</v>
      </c>
      <c r="O220" s="384"/>
      <c r="P220" s="385"/>
      <c r="Q220" s="386"/>
      <c r="R220" s="386"/>
      <c r="S220" s="386"/>
      <c r="T220" s="386"/>
      <c r="U220" s="377"/>
      <c r="V220" s="377"/>
    </row>
    <row r="221" spans="1:22" ht="15.75" hidden="1" outlineLevel="3" x14ac:dyDescent="0.25">
      <c r="A221" s="377">
        <f>1+A220</f>
        <v>2</v>
      </c>
      <c r="B221" t="str">
        <f>+$B$68</f>
        <v>Churchill</v>
      </c>
      <c r="E221" s="1054">
        <f t="shared" ref="E221:I221" si="50">+E200-E211</f>
        <v>0</v>
      </c>
      <c r="F221" s="1054">
        <f t="shared" si="50"/>
        <v>30</v>
      </c>
      <c r="G221" s="1054">
        <f t="shared" si="50"/>
        <v>0</v>
      </c>
      <c r="H221" s="1054">
        <f t="shared" si="50"/>
        <v>0</v>
      </c>
      <c r="I221" s="1054">
        <f t="shared" si="50"/>
        <v>0</v>
      </c>
      <c r="J221" s="1044">
        <f t="shared" si="49"/>
        <v>30</v>
      </c>
      <c r="O221" s="384"/>
      <c r="P221" s="385"/>
      <c r="Q221" s="386"/>
      <c r="R221" s="386"/>
      <c r="S221" s="386"/>
      <c r="T221" s="386"/>
      <c r="U221" s="377"/>
      <c r="V221" s="377"/>
    </row>
    <row r="222" spans="1:22" ht="15.75" hidden="1" outlineLevel="3" x14ac:dyDescent="0.25">
      <c r="A222" s="377">
        <f t="shared" ref="A222:A225" si="51">1+A221</f>
        <v>3</v>
      </c>
      <c r="B222" t="str">
        <f>+$B$69</f>
        <v>Clark</v>
      </c>
      <c r="E222" s="1054">
        <f t="shared" ref="E222:I222" si="52">+E201-E212</f>
        <v>0</v>
      </c>
      <c r="F222" s="1054">
        <f t="shared" si="52"/>
        <v>0</v>
      </c>
      <c r="G222" s="1054">
        <f t="shared" si="52"/>
        <v>0</v>
      </c>
      <c r="H222" s="1054">
        <f t="shared" si="52"/>
        <v>0</v>
      </c>
      <c r="I222" s="1054">
        <f t="shared" si="52"/>
        <v>0</v>
      </c>
      <c r="J222" s="1044">
        <f t="shared" si="49"/>
        <v>0</v>
      </c>
      <c r="O222" s="384"/>
      <c r="P222" s="385"/>
      <c r="Q222" s="386"/>
      <c r="R222" s="386"/>
      <c r="S222" s="386"/>
      <c r="T222" s="386"/>
      <c r="U222" s="377"/>
      <c r="V222" s="377"/>
    </row>
    <row r="223" spans="1:22" ht="15.75" hidden="1" outlineLevel="3" x14ac:dyDescent="0.25">
      <c r="A223" s="377">
        <f t="shared" si="51"/>
        <v>4</v>
      </c>
      <c r="B223" t="str">
        <f>+$B$70</f>
        <v>Elko</v>
      </c>
      <c r="E223" s="1054">
        <f t="shared" ref="E223:I223" si="53">+E202-E213</f>
        <v>0</v>
      </c>
      <c r="F223" s="1054">
        <f t="shared" si="53"/>
        <v>0</v>
      </c>
      <c r="G223" s="1054">
        <f t="shared" si="53"/>
        <v>0</v>
      </c>
      <c r="H223" s="1054">
        <f t="shared" si="53"/>
        <v>0</v>
      </c>
      <c r="I223" s="1054">
        <f t="shared" si="53"/>
        <v>0</v>
      </c>
      <c r="J223" s="1044">
        <f t="shared" si="49"/>
        <v>0</v>
      </c>
      <c r="O223" s="384"/>
      <c r="P223" s="385"/>
      <c r="Q223" s="386"/>
      <c r="R223" s="386"/>
      <c r="S223" s="386"/>
      <c r="T223" s="386"/>
      <c r="U223" s="377"/>
      <c r="V223" s="377"/>
    </row>
    <row r="224" spans="1:22" ht="15.75" hidden="1" outlineLevel="3" x14ac:dyDescent="0.25">
      <c r="A224" s="377">
        <f t="shared" si="51"/>
        <v>5</v>
      </c>
      <c r="B224" t="str">
        <f>+$B$72</f>
        <v>Washoe</v>
      </c>
      <c r="E224" s="1054">
        <f t="shared" ref="E224:I224" si="54">+E203-E214</f>
        <v>0</v>
      </c>
      <c r="F224" s="1054">
        <f t="shared" si="54"/>
        <v>0</v>
      </c>
      <c r="G224" s="1054">
        <f t="shared" si="54"/>
        <v>0</v>
      </c>
      <c r="H224" s="1054">
        <f t="shared" si="54"/>
        <v>0</v>
      </c>
      <c r="I224" s="1054">
        <f t="shared" si="54"/>
        <v>0</v>
      </c>
      <c r="J224" s="1044">
        <f t="shared" si="49"/>
        <v>0</v>
      </c>
      <c r="O224" s="384"/>
      <c r="P224" s="385"/>
      <c r="Q224" s="386"/>
      <c r="R224" s="386"/>
      <c r="S224" s="386"/>
      <c r="T224" s="386"/>
      <c r="U224" s="377"/>
      <c r="V224" s="377"/>
    </row>
    <row r="225" spans="1:22" ht="15.75" hidden="1" outlineLevel="3" x14ac:dyDescent="0.25">
      <c r="A225" s="377">
        <f t="shared" si="51"/>
        <v>6</v>
      </c>
      <c r="B225" t="str">
        <f>+$B$73</f>
        <v>White Pine</v>
      </c>
      <c r="E225" s="1055">
        <f t="shared" ref="E225:I225" si="55">+E204-E215</f>
        <v>0</v>
      </c>
      <c r="F225" s="1055">
        <f t="shared" si="55"/>
        <v>10</v>
      </c>
      <c r="G225" s="1055">
        <f t="shared" si="55"/>
        <v>0</v>
      </c>
      <c r="H225" s="1055">
        <f t="shared" si="55"/>
        <v>0</v>
      </c>
      <c r="I225" s="1055">
        <f t="shared" si="55"/>
        <v>0</v>
      </c>
      <c r="J225" s="1044">
        <f t="shared" si="49"/>
        <v>10</v>
      </c>
      <c r="O225" s="384"/>
      <c r="P225" s="385"/>
      <c r="Q225" s="386"/>
      <c r="R225" s="386"/>
      <c r="S225" s="386"/>
      <c r="T225" s="386"/>
      <c r="U225" s="377"/>
      <c r="V225" s="377"/>
    </row>
    <row r="226" spans="1:22" ht="15.75" hidden="1" outlineLevel="3" x14ac:dyDescent="0.25">
      <c r="A226" s="377"/>
      <c r="B226" s="1051" t="s">
        <v>156</v>
      </c>
      <c r="C226" s="1051"/>
      <c r="D226" s="1051"/>
      <c r="E226" s="1048">
        <f>SUM(E220:E225)</f>
        <v>100</v>
      </c>
      <c r="F226" s="1048">
        <f t="shared" ref="F226" si="56">SUM(F220:F225)</f>
        <v>60</v>
      </c>
      <c r="G226" s="1048">
        <f t="shared" ref="G226" si="57">SUM(G220:G225)</f>
        <v>30</v>
      </c>
      <c r="H226" s="1048">
        <f t="shared" ref="H226" si="58">SUM(H220:H225)</f>
        <v>20</v>
      </c>
      <c r="I226" s="1048">
        <f t="shared" ref="I226" si="59">SUM(I220:I225)</f>
        <v>1</v>
      </c>
      <c r="J226" s="1048">
        <f t="shared" si="49"/>
        <v>211</v>
      </c>
      <c r="O226" s="384"/>
      <c r="P226" s="385"/>
      <c r="Q226" s="386"/>
      <c r="R226" s="386"/>
      <c r="S226" s="386"/>
      <c r="T226" s="386"/>
      <c r="U226" s="377"/>
      <c r="V226" s="377"/>
    </row>
    <row r="227" spans="1:22" ht="15.75" hidden="1" outlineLevel="3" x14ac:dyDescent="0.25">
      <c r="A227" s="377"/>
      <c r="O227" s="384"/>
      <c r="P227" s="385"/>
      <c r="Q227" s="386"/>
      <c r="R227" s="386"/>
      <c r="S227" s="386"/>
      <c r="T227" s="386"/>
      <c r="U227" s="377"/>
      <c r="V227" s="377"/>
    </row>
    <row r="228" spans="1:22" ht="15.75" hidden="1" outlineLevel="3" x14ac:dyDescent="0.25">
      <c r="A228" s="377"/>
      <c r="B228" s="1051" t="s">
        <v>1256</v>
      </c>
      <c r="C228" s="1051"/>
      <c r="D228" s="1051"/>
      <c r="E228" s="1048">
        <f>+E216+E226</f>
        <v>100</v>
      </c>
      <c r="F228" s="1048">
        <f t="shared" ref="F228:I228" si="60">+F216+F226</f>
        <v>125</v>
      </c>
      <c r="G228" s="1048">
        <f t="shared" si="60"/>
        <v>50</v>
      </c>
      <c r="H228" s="1048">
        <f t="shared" si="60"/>
        <v>50</v>
      </c>
      <c r="I228" s="1048">
        <f t="shared" si="60"/>
        <v>2</v>
      </c>
      <c r="J228" s="1048">
        <f>SUM(E228:I228)</f>
        <v>327</v>
      </c>
      <c r="O228" s="384"/>
      <c r="P228" s="385"/>
      <c r="Q228" s="386"/>
      <c r="R228" s="386"/>
      <c r="S228" s="386"/>
      <c r="T228" s="386"/>
      <c r="U228" s="377"/>
      <c r="V228" s="377"/>
    </row>
    <row r="229" spans="1:22" ht="15.75" hidden="1" outlineLevel="2" collapsed="1" x14ac:dyDescent="0.25">
      <c r="A229" s="377"/>
      <c r="O229" s="384"/>
      <c r="P229" s="385"/>
      <c r="Q229" s="386"/>
      <c r="R229" s="386"/>
      <c r="S229" s="386"/>
      <c r="T229" s="386"/>
      <c r="U229" s="377"/>
      <c r="V229" s="377"/>
    </row>
    <row r="230" spans="1:22" ht="15.75" hidden="1" outlineLevel="2" x14ac:dyDescent="0.25">
      <c r="A230" s="377"/>
      <c r="B230" s="1067" t="s">
        <v>491</v>
      </c>
      <c r="C230" s="1067"/>
      <c r="D230" s="1067"/>
      <c r="E230" s="1068"/>
      <c r="F230" s="1068"/>
      <c r="G230" s="1068"/>
      <c r="H230" s="1068"/>
      <c r="I230" s="1068"/>
      <c r="J230" s="1068"/>
      <c r="O230" s="384"/>
      <c r="P230" s="385"/>
      <c r="Q230" s="386"/>
      <c r="R230" s="386"/>
      <c r="S230" s="386"/>
      <c r="T230" s="386"/>
      <c r="U230" s="377"/>
      <c r="V230" s="377"/>
    </row>
    <row r="231" spans="1:22" ht="15.75" hidden="1" outlineLevel="2" x14ac:dyDescent="0.25">
      <c r="A231" s="377"/>
      <c r="B231" s="1062" t="s">
        <v>1230</v>
      </c>
      <c r="C231" s="1062"/>
      <c r="D231" s="1062"/>
      <c r="E231" s="1016"/>
      <c r="F231" s="1016"/>
      <c r="G231" s="1062"/>
      <c r="H231" s="1016"/>
      <c r="I231" s="1016"/>
      <c r="J231" s="1063"/>
      <c r="O231" s="384"/>
      <c r="P231" s="385"/>
      <c r="Q231" s="386"/>
      <c r="R231" s="386"/>
      <c r="S231" s="386"/>
      <c r="T231" s="386"/>
      <c r="U231" s="377"/>
      <c r="V231" s="377"/>
    </row>
    <row r="232" spans="1:22" ht="15.75" hidden="1" outlineLevel="2" x14ac:dyDescent="0.25">
      <c r="A232" s="377"/>
      <c r="B232" s="1004"/>
      <c r="C232" s="1004"/>
      <c r="D232" s="1004"/>
      <c r="E232" s="1004" t="s">
        <v>1252</v>
      </c>
      <c r="F232" s="404"/>
      <c r="G232" s="1004"/>
      <c r="H232" s="404"/>
      <c r="I232" s="404"/>
      <c r="J232" s="1058"/>
      <c r="O232" s="384"/>
      <c r="P232" s="385"/>
      <c r="Q232" s="386"/>
      <c r="R232" s="386"/>
      <c r="S232" s="386"/>
      <c r="T232" s="386"/>
      <c r="U232" s="377"/>
      <c r="V232" s="377"/>
    </row>
    <row r="233" spans="1:22" ht="15.75" hidden="1" outlineLevel="2" x14ac:dyDescent="0.25">
      <c r="A233" s="377"/>
      <c r="B233" s="1007"/>
      <c r="C233" s="1007"/>
      <c r="D233" s="1007"/>
      <c r="E233" s="1007" t="s">
        <v>672</v>
      </c>
      <c r="F233" s="1007" t="s">
        <v>1220</v>
      </c>
      <c r="G233" s="1007" t="s">
        <v>1221</v>
      </c>
      <c r="H233" s="1007" t="s">
        <v>1210</v>
      </c>
      <c r="I233" s="1007" t="s">
        <v>1222</v>
      </c>
      <c r="J233" s="1007" t="s">
        <v>156</v>
      </c>
      <c r="O233" s="384"/>
      <c r="P233" s="385"/>
      <c r="Q233" s="386"/>
      <c r="R233" s="386"/>
      <c r="S233" s="386"/>
      <c r="T233" s="386"/>
      <c r="U233" s="377"/>
      <c r="V233" s="377"/>
    </row>
    <row r="234" spans="1:22" ht="15.75" hidden="1" outlineLevel="2" x14ac:dyDescent="0.25">
      <c r="A234" s="377">
        <v>1</v>
      </c>
      <c r="B234" t="str">
        <f>+B$67</f>
        <v xml:space="preserve">Carson City </v>
      </c>
      <c r="C234" s="496"/>
      <c r="D234" s="496">
        <f>D67</f>
        <v>7494</v>
      </c>
      <c r="E234" s="1075">
        <f>+E247+E257</f>
        <v>74940</v>
      </c>
      <c r="F234" s="1075">
        <f t="shared" ref="F234:I234" si="61">+F247+F257</f>
        <v>41452.014005835765</v>
      </c>
      <c r="G234" s="1075">
        <f t="shared" si="61"/>
        <v>41067.120000000003</v>
      </c>
      <c r="H234" s="1075">
        <f t="shared" si="61"/>
        <v>38144.46</v>
      </c>
      <c r="I234" s="1075">
        <f t="shared" si="61"/>
        <v>8393.2800000000007</v>
      </c>
      <c r="J234" s="1073">
        <f t="shared" ref="J234:J241" si="62">SUM(E234:I234)</f>
        <v>203996.87400583577</v>
      </c>
      <c r="O234" s="384"/>
      <c r="P234" s="385"/>
      <c r="Q234" s="386"/>
      <c r="R234" s="386"/>
      <c r="S234" s="386"/>
      <c r="T234" s="386"/>
      <c r="U234" s="377"/>
      <c r="V234" s="377"/>
    </row>
    <row r="235" spans="1:22" ht="15.75" hidden="1" outlineLevel="2" x14ac:dyDescent="0.25">
      <c r="A235" s="377">
        <f>1+A234</f>
        <v>2</v>
      </c>
      <c r="B235" t="str">
        <f>+$B$68</f>
        <v>Churchill</v>
      </c>
      <c r="C235" s="5"/>
      <c r="D235" s="5">
        <f>D68</f>
        <v>8093</v>
      </c>
      <c r="E235" s="1039">
        <f t="shared" ref="E235:I235" si="63">+E248+E258</f>
        <v>80930</v>
      </c>
      <c r="F235" s="1039">
        <f t="shared" si="63"/>
        <v>44765.298818952338</v>
      </c>
      <c r="G235" s="1039">
        <f t="shared" si="63"/>
        <v>44349.64</v>
      </c>
      <c r="H235" s="1039">
        <f t="shared" si="63"/>
        <v>41193.370000000003</v>
      </c>
      <c r="I235" s="1039">
        <f t="shared" si="63"/>
        <v>9064.16</v>
      </c>
      <c r="J235" s="1039">
        <f t="shared" si="62"/>
        <v>220302.46881895236</v>
      </c>
      <c r="O235" s="384"/>
      <c r="P235" s="385"/>
      <c r="Q235" s="386"/>
      <c r="R235" s="386"/>
      <c r="S235" s="386"/>
      <c r="T235" s="386"/>
      <c r="U235" s="377"/>
      <c r="V235" s="377"/>
    </row>
    <row r="236" spans="1:22" ht="15.75" hidden="1" outlineLevel="2" x14ac:dyDescent="0.25">
      <c r="A236" s="377">
        <f t="shared" ref="A236:A239" si="64">1+A235</f>
        <v>3</v>
      </c>
      <c r="B236" t="str">
        <f>+$B$69</f>
        <v>Clark</v>
      </c>
      <c r="C236" s="5"/>
      <c r="D236" s="5">
        <f>D69</f>
        <v>7197</v>
      </c>
      <c r="E236" s="1039">
        <f t="shared" ref="E236:I236" si="65">+E249+E259</f>
        <v>71970</v>
      </c>
      <c r="F236" s="1039">
        <f t="shared" si="65"/>
        <v>39809.199999999997</v>
      </c>
      <c r="G236" s="1039">
        <f t="shared" si="65"/>
        <v>39439.56</v>
      </c>
      <c r="H236" s="1039">
        <f t="shared" si="65"/>
        <v>36632.730000000003</v>
      </c>
      <c r="I236" s="1039">
        <f t="shared" si="65"/>
        <v>8060.64</v>
      </c>
      <c r="J236" s="1039">
        <f t="shared" si="62"/>
        <v>195912.13000000003</v>
      </c>
      <c r="O236" s="384"/>
      <c r="P236" s="385"/>
      <c r="Q236" s="386"/>
      <c r="R236" s="386"/>
      <c r="S236" s="386"/>
      <c r="T236" s="386"/>
      <c r="U236" s="377"/>
      <c r="V236" s="377"/>
    </row>
    <row r="237" spans="1:22" ht="15.75" hidden="1" outlineLevel="2" x14ac:dyDescent="0.25">
      <c r="A237" s="377">
        <f t="shared" si="64"/>
        <v>4</v>
      </c>
      <c r="B237" t="str">
        <f>+$B$70</f>
        <v>Elko</v>
      </c>
      <c r="C237" s="5"/>
      <c r="D237" s="5">
        <f>D70</f>
        <v>7715</v>
      </c>
      <c r="E237" s="1039">
        <f>+E250+E260</f>
        <v>77150</v>
      </c>
      <c r="F237" s="1039">
        <f t="shared" ref="F237:I237" si="66">+F250+F260</f>
        <v>42674.444629706821</v>
      </c>
      <c r="G237" s="1039">
        <f t="shared" si="66"/>
        <v>42278.2</v>
      </c>
      <c r="H237" s="1039">
        <f t="shared" si="66"/>
        <v>39269.35</v>
      </c>
      <c r="I237" s="1039">
        <f t="shared" si="66"/>
        <v>8640.7999999999993</v>
      </c>
      <c r="J237" s="1039">
        <f t="shared" si="62"/>
        <v>210012.7946297068</v>
      </c>
      <c r="O237" s="384"/>
      <c r="P237" s="385"/>
      <c r="Q237" s="386"/>
      <c r="R237" s="386"/>
      <c r="S237" s="386"/>
      <c r="T237" s="386"/>
      <c r="U237" s="377"/>
      <c r="V237" s="377"/>
    </row>
    <row r="238" spans="1:22" ht="15.75" hidden="1" outlineLevel="2" x14ac:dyDescent="0.25">
      <c r="A238" s="377">
        <f t="shared" si="64"/>
        <v>5</v>
      </c>
      <c r="B238" t="str">
        <f>+$B$72</f>
        <v>Washoe</v>
      </c>
      <c r="C238" s="5"/>
      <c r="D238" s="5">
        <f>D72</f>
        <v>6980</v>
      </c>
      <c r="E238" s="1050">
        <f t="shared" ref="E238:I238" si="67">+E251+E261</f>
        <v>69800</v>
      </c>
      <c r="F238" s="1050">
        <f t="shared" si="67"/>
        <v>38608.894817284978</v>
      </c>
      <c r="G238" s="1050">
        <f t="shared" si="67"/>
        <v>38250.400000000001</v>
      </c>
      <c r="H238" s="1050">
        <f t="shared" si="67"/>
        <v>35528.199999999997</v>
      </c>
      <c r="I238" s="1050">
        <f t="shared" si="67"/>
        <v>7817.6</v>
      </c>
      <c r="J238" s="1039">
        <f t="shared" si="62"/>
        <v>190005.09481728499</v>
      </c>
      <c r="O238" s="384"/>
      <c r="P238" s="385"/>
      <c r="Q238" s="386"/>
      <c r="R238" s="386"/>
      <c r="S238" s="386"/>
      <c r="T238" s="386"/>
      <c r="U238" s="377"/>
      <c r="V238" s="377"/>
    </row>
    <row r="239" spans="1:22" ht="15.75" hidden="1" outlineLevel="2" x14ac:dyDescent="0.25">
      <c r="A239" s="377">
        <f t="shared" si="64"/>
        <v>6</v>
      </c>
      <c r="B239" t="str">
        <f>+$B$73</f>
        <v>White Pine</v>
      </c>
      <c r="C239" s="5"/>
      <c r="D239" s="5">
        <f>D73</f>
        <v>10367</v>
      </c>
      <c r="E239" s="1050">
        <f t="shared" ref="E239:I239" si="68">+E252+E262</f>
        <v>103670</v>
      </c>
      <c r="F239" s="1050">
        <f t="shared" si="68"/>
        <v>57343.612116159507</v>
      </c>
      <c r="G239" s="1050">
        <f t="shared" si="68"/>
        <v>56811.16</v>
      </c>
      <c r="H239" s="1050">
        <f t="shared" si="68"/>
        <v>52768.03</v>
      </c>
      <c r="I239" s="1050">
        <f t="shared" si="68"/>
        <v>11611.04</v>
      </c>
      <c r="J239" s="1050">
        <f t="shared" si="62"/>
        <v>282203.8421161595</v>
      </c>
      <c r="O239" s="384"/>
      <c r="P239" s="385"/>
      <c r="Q239" s="386"/>
      <c r="R239" s="386"/>
      <c r="S239" s="386"/>
      <c r="T239" s="386"/>
      <c r="U239" s="377"/>
      <c r="V239" s="377"/>
    </row>
    <row r="240" spans="1:22" ht="15.75" hidden="1" outlineLevel="2" x14ac:dyDescent="0.25">
      <c r="A240" s="377"/>
      <c r="B240" s="1051" t="s">
        <v>587</v>
      </c>
      <c r="C240" s="1051"/>
      <c r="D240" s="1051"/>
      <c r="E240" s="1074">
        <f>SUM(E234:E239)</f>
        <v>478460</v>
      </c>
      <c r="F240" s="1074">
        <f>SUM(F234:F239)</f>
        <v>264653.46438793937</v>
      </c>
      <c r="G240" s="1074">
        <f t="shared" ref="G240" si="69">SUM(G234:G239)</f>
        <v>262196.08</v>
      </c>
      <c r="H240" s="1074">
        <f t="shared" ref="H240" si="70">SUM(H234:H239)</f>
        <v>243536.13999999998</v>
      </c>
      <c r="I240" s="1074">
        <f t="shared" ref="I240" si="71">SUM(I234:I239)</f>
        <v>53587.520000000004</v>
      </c>
      <c r="J240" s="1076">
        <f t="shared" si="62"/>
        <v>1302433.2043879393</v>
      </c>
      <c r="O240" s="384"/>
      <c r="P240" s="385"/>
      <c r="Q240" s="386"/>
      <c r="R240" s="386"/>
      <c r="S240" s="386"/>
      <c r="T240" s="386"/>
      <c r="U240" s="377"/>
      <c r="V240" s="377"/>
    </row>
    <row r="241" spans="1:22" ht="15.75" hidden="1" outlineLevel="2" x14ac:dyDescent="0.25">
      <c r="A241" s="377"/>
      <c r="B241" s="1" t="s">
        <v>584</v>
      </c>
      <c r="E241" s="1044">
        <f>+E170</f>
        <v>60</v>
      </c>
      <c r="F241" s="1044">
        <f t="shared" ref="F241:I241" si="72">+F170</f>
        <v>24</v>
      </c>
      <c r="G241" s="1044">
        <f t="shared" si="72"/>
        <v>30</v>
      </c>
      <c r="H241" s="1044">
        <f t="shared" si="72"/>
        <v>30</v>
      </c>
      <c r="I241" s="1044">
        <f t="shared" si="72"/>
        <v>6</v>
      </c>
      <c r="J241" s="1044">
        <f t="shared" si="62"/>
        <v>150</v>
      </c>
      <c r="O241" s="384"/>
      <c r="P241" s="385"/>
      <c r="Q241" s="386"/>
      <c r="R241" s="386"/>
      <c r="S241" s="386"/>
      <c r="T241" s="386"/>
      <c r="U241" s="377"/>
      <c r="V241" s="377"/>
    </row>
    <row r="242" spans="1:22" ht="15.75" hidden="1" outlineLevel="2" x14ac:dyDescent="0.25">
      <c r="A242" s="377"/>
      <c r="B242" s="1051" t="s">
        <v>1259</v>
      </c>
      <c r="C242" s="1061"/>
      <c r="D242" s="1061"/>
      <c r="E242" s="1078">
        <f t="shared" ref="E242:I242" si="73">+E240/E241</f>
        <v>7974.333333333333</v>
      </c>
      <c r="F242" s="1078">
        <f t="shared" si="73"/>
        <v>11027.227682830808</v>
      </c>
      <c r="G242" s="1078">
        <f t="shared" si="73"/>
        <v>8739.869333333334</v>
      </c>
      <c r="H242" s="1078">
        <f t="shared" si="73"/>
        <v>8117.8713333333326</v>
      </c>
      <c r="I242" s="1078">
        <f t="shared" si="73"/>
        <v>8931.253333333334</v>
      </c>
      <c r="J242" s="1078">
        <f>+J240/J241</f>
        <v>8682.8880292529284</v>
      </c>
      <c r="O242" s="384"/>
      <c r="P242" s="385"/>
      <c r="Q242" s="386"/>
      <c r="R242" s="386"/>
      <c r="S242" s="386"/>
      <c r="T242" s="386"/>
      <c r="U242" s="377"/>
      <c r="V242" s="377"/>
    </row>
    <row r="243" spans="1:22" ht="15.75" hidden="1" outlineLevel="2" x14ac:dyDescent="0.25">
      <c r="A243" s="377"/>
      <c r="B243" s="1"/>
      <c r="J243" s="1044"/>
      <c r="O243" s="384"/>
      <c r="P243" s="385"/>
      <c r="Q243" s="386"/>
      <c r="R243" s="386"/>
      <c r="S243" s="386"/>
      <c r="T243" s="386"/>
      <c r="U243" s="377"/>
      <c r="V243" s="377"/>
    </row>
    <row r="244" spans="1:22" ht="15.75" hidden="1" outlineLevel="2" x14ac:dyDescent="0.25">
      <c r="A244" s="377"/>
      <c r="E244" s="1004" t="s">
        <v>1260</v>
      </c>
      <c r="F244" s="404"/>
      <c r="G244" s="1004"/>
      <c r="H244" s="1004"/>
      <c r="I244" s="1004"/>
      <c r="J244" s="404"/>
      <c r="O244" s="384"/>
      <c r="P244" s="385"/>
      <c r="Q244" s="386"/>
      <c r="R244" s="386"/>
      <c r="S244" s="386"/>
      <c r="T244" s="386"/>
      <c r="U244" s="377"/>
      <c r="V244" s="377"/>
    </row>
    <row r="245" spans="1:22" ht="15.75" hidden="1" outlineLevel="2" x14ac:dyDescent="0.25">
      <c r="A245" s="377"/>
      <c r="E245" s="1007" t="s">
        <v>672</v>
      </c>
      <c r="F245" s="1007" t="s">
        <v>1220</v>
      </c>
      <c r="G245" s="1007" t="s">
        <v>1221</v>
      </c>
      <c r="H245" s="1007" t="s">
        <v>1210</v>
      </c>
      <c r="I245" s="1007" t="s">
        <v>1222</v>
      </c>
      <c r="J245" s="1040"/>
      <c r="O245" s="384"/>
      <c r="P245" s="385"/>
      <c r="Q245" s="386"/>
      <c r="R245" s="386"/>
      <c r="S245" s="386"/>
      <c r="T245" s="386"/>
      <c r="U245" s="377"/>
      <c r="V245" s="377"/>
    </row>
    <row r="246" spans="1:22" ht="15.75" hidden="1" outlineLevel="2" x14ac:dyDescent="0.25">
      <c r="A246" s="377"/>
      <c r="B246" s="1007" t="s">
        <v>1254</v>
      </c>
      <c r="C246" s="1007"/>
      <c r="D246" s="1007"/>
      <c r="E246" s="1084">
        <v>0</v>
      </c>
      <c r="F246" s="1083">
        <f>+F174</f>
        <v>0.38284007225232736</v>
      </c>
      <c r="G246" s="1083">
        <f t="shared" ref="G246:I246" si="74">+G174</f>
        <v>0.24</v>
      </c>
      <c r="H246" s="1083">
        <f t="shared" si="74"/>
        <v>0.03</v>
      </c>
      <c r="I246" s="1083">
        <f t="shared" si="74"/>
        <v>0.12</v>
      </c>
      <c r="J246" s="1007" t="s">
        <v>156</v>
      </c>
      <c r="O246" s="384"/>
      <c r="P246" s="385"/>
      <c r="Q246" s="386"/>
      <c r="R246" s="386"/>
      <c r="S246" s="386"/>
      <c r="T246" s="386"/>
      <c r="U246" s="377"/>
      <c r="V246" s="377"/>
    </row>
    <row r="247" spans="1:22" ht="15.75" hidden="1" outlineLevel="2" x14ac:dyDescent="0.25">
      <c r="A247" s="377">
        <v>1</v>
      </c>
      <c r="B247" t="str">
        <f>+B$67</f>
        <v xml:space="preserve">Carson City </v>
      </c>
      <c r="C247" s="496"/>
      <c r="D247" s="496">
        <f>D67</f>
        <v>7494</v>
      </c>
      <c r="E247" s="1042"/>
      <c r="F247" s="1093">
        <f t="shared" ref="F247:I252" si="75">F$246*F175*$D247</f>
        <v>11476.014005835765</v>
      </c>
      <c r="G247" s="1093">
        <f t="shared" si="75"/>
        <v>3597.12</v>
      </c>
      <c r="H247" s="1093">
        <f t="shared" si="75"/>
        <v>674.45999999999992</v>
      </c>
      <c r="I247" s="1093">
        <f t="shared" si="75"/>
        <v>899.28</v>
      </c>
      <c r="J247" s="1073">
        <f t="shared" ref="J247:J253" si="76">SUM(E247:I247)</f>
        <v>16646.874005835762</v>
      </c>
      <c r="O247" s="384"/>
      <c r="P247" s="385"/>
      <c r="Q247" s="386"/>
      <c r="R247" s="386"/>
      <c r="S247" s="386"/>
      <c r="T247" s="386"/>
      <c r="U247" s="377"/>
      <c r="V247" s="377"/>
    </row>
    <row r="248" spans="1:22" ht="15.75" hidden="1" outlineLevel="2" x14ac:dyDescent="0.25">
      <c r="A248" s="377">
        <f>1+A247</f>
        <v>2</v>
      </c>
      <c r="B248" t="str">
        <f>+$B$68</f>
        <v>Churchill</v>
      </c>
      <c r="C248" s="5"/>
      <c r="D248" s="5">
        <f>D68</f>
        <v>8093</v>
      </c>
      <c r="E248" s="1042"/>
      <c r="F248" s="1070">
        <f t="shared" si="75"/>
        <v>12393.29881895234</v>
      </c>
      <c r="G248" s="1070">
        <f t="shared" si="75"/>
        <v>3884.64</v>
      </c>
      <c r="H248" s="1070">
        <f t="shared" si="75"/>
        <v>728.37</v>
      </c>
      <c r="I248" s="1070">
        <f t="shared" si="75"/>
        <v>971.16</v>
      </c>
      <c r="J248" s="1039">
        <f t="shared" si="76"/>
        <v>17977.46881895234</v>
      </c>
      <c r="O248" s="384"/>
      <c r="P248" s="385"/>
      <c r="Q248" s="386"/>
      <c r="R248" s="386"/>
      <c r="S248" s="386"/>
      <c r="T248" s="386"/>
      <c r="U248" s="377"/>
      <c r="V248" s="377"/>
    </row>
    <row r="249" spans="1:22" ht="15.75" hidden="1" outlineLevel="2" x14ac:dyDescent="0.25">
      <c r="A249" s="377">
        <f t="shared" ref="A249:A252" si="77">1+A248</f>
        <v>3</v>
      </c>
      <c r="B249" t="str">
        <f>+$B$69</f>
        <v>Clark</v>
      </c>
      <c r="C249" s="5"/>
      <c r="D249" s="5">
        <f>D69</f>
        <v>7197</v>
      </c>
      <c r="E249" s="1042"/>
      <c r="F249" s="1070">
        <f t="shared" si="75"/>
        <v>11021.2</v>
      </c>
      <c r="G249" s="1070">
        <f t="shared" si="75"/>
        <v>3454.56</v>
      </c>
      <c r="H249" s="1070">
        <f t="shared" si="75"/>
        <v>647.73</v>
      </c>
      <c r="I249" s="1070">
        <f t="shared" si="75"/>
        <v>863.64</v>
      </c>
      <c r="J249" s="1039">
        <f t="shared" si="76"/>
        <v>15987.13</v>
      </c>
      <c r="O249" s="384"/>
      <c r="P249" s="385"/>
      <c r="Q249" s="386"/>
      <c r="R249" s="386"/>
      <c r="S249" s="386"/>
      <c r="T249" s="386"/>
      <c r="U249" s="377"/>
      <c r="V249" s="377"/>
    </row>
    <row r="250" spans="1:22" ht="15.75" hidden="1" outlineLevel="2" x14ac:dyDescent="0.25">
      <c r="A250" s="377">
        <f t="shared" si="77"/>
        <v>4</v>
      </c>
      <c r="B250" t="str">
        <f>+$B$70</f>
        <v>Elko</v>
      </c>
      <c r="C250" s="5"/>
      <c r="D250" s="5">
        <f>D70</f>
        <v>7715</v>
      </c>
      <c r="E250" s="1042"/>
      <c r="F250" s="1070">
        <f t="shared" si="75"/>
        <v>11814.444629706823</v>
      </c>
      <c r="G250" s="1070">
        <f t="shared" si="75"/>
        <v>3703.2</v>
      </c>
      <c r="H250" s="1070">
        <f t="shared" si="75"/>
        <v>694.35</v>
      </c>
      <c r="I250" s="1070">
        <f t="shared" si="75"/>
        <v>925.8</v>
      </c>
      <c r="J250" s="1039">
        <f t="shared" si="76"/>
        <v>17137.794629706823</v>
      </c>
      <c r="O250" s="384"/>
      <c r="P250" s="385"/>
      <c r="Q250" s="386"/>
      <c r="R250" s="386"/>
      <c r="S250" s="386"/>
      <c r="T250" s="386"/>
      <c r="U250" s="377"/>
      <c r="V250" s="377"/>
    </row>
    <row r="251" spans="1:22" ht="15.75" hidden="1" outlineLevel="2" x14ac:dyDescent="0.25">
      <c r="A251" s="377">
        <f t="shared" si="77"/>
        <v>5</v>
      </c>
      <c r="B251" t="str">
        <f>+$B$72</f>
        <v>Washoe</v>
      </c>
      <c r="C251" s="5"/>
      <c r="D251" s="5">
        <f>D72</f>
        <v>6980</v>
      </c>
      <c r="E251" s="1042"/>
      <c r="F251" s="1070">
        <f t="shared" si="75"/>
        <v>10688.89481728498</v>
      </c>
      <c r="G251" s="1070">
        <f t="shared" si="75"/>
        <v>3350.4</v>
      </c>
      <c r="H251" s="1070">
        <f t="shared" si="75"/>
        <v>628.19999999999993</v>
      </c>
      <c r="I251" s="1070">
        <f t="shared" si="75"/>
        <v>837.6</v>
      </c>
      <c r="J251" s="1039">
        <f t="shared" si="76"/>
        <v>15505.09481728498</v>
      </c>
      <c r="O251" s="384"/>
      <c r="P251" s="385"/>
      <c r="Q251" s="386"/>
      <c r="R251" s="386"/>
      <c r="S251" s="386"/>
      <c r="T251" s="386"/>
      <c r="U251" s="377"/>
      <c r="V251" s="377"/>
    </row>
    <row r="252" spans="1:22" ht="15.75" hidden="1" outlineLevel="2" x14ac:dyDescent="0.25">
      <c r="A252" s="377">
        <f t="shared" si="77"/>
        <v>6</v>
      </c>
      <c r="B252" t="str">
        <f>+$B$73</f>
        <v>White Pine</v>
      </c>
      <c r="C252" s="5"/>
      <c r="D252" s="5">
        <f>D73</f>
        <v>10367</v>
      </c>
      <c r="E252" s="1042"/>
      <c r="F252" s="1071">
        <f t="shared" si="75"/>
        <v>15875.612116159511</v>
      </c>
      <c r="G252" s="1071">
        <f t="shared" si="75"/>
        <v>4976.16</v>
      </c>
      <c r="H252" s="1071">
        <f t="shared" si="75"/>
        <v>933.03</v>
      </c>
      <c r="I252" s="1071">
        <f t="shared" si="75"/>
        <v>1244.04</v>
      </c>
      <c r="J252" s="1050">
        <f t="shared" si="76"/>
        <v>23028.842116159511</v>
      </c>
      <c r="O252" s="384"/>
      <c r="P252" s="385"/>
      <c r="Q252" s="386"/>
      <c r="R252" s="386"/>
      <c r="S252" s="386"/>
      <c r="T252" s="386"/>
      <c r="U252" s="377"/>
      <c r="V252" s="377"/>
    </row>
    <row r="253" spans="1:22" ht="15.75" hidden="1" outlineLevel="2" x14ac:dyDescent="0.25">
      <c r="A253" s="377"/>
      <c r="B253" s="1051" t="s">
        <v>156</v>
      </c>
      <c r="C253" s="1051"/>
      <c r="D253" s="1051"/>
      <c r="E253" s="1079"/>
      <c r="F253" s="1078">
        <f t="shared" ref="F253" si="78">SUM(F247:F252)</f>
        <v>73269.464387939413</v>
      </c>
      <c r="G253" s="1078">
        <f t="shared" ref="G253" si="79">SUM(G247:G252)</f>
        <v>22966.080000000002</v>
      </c>
      <c r="H253" s="1078">
        <f t="shared" ref="H253" si="80">SUM(H247:H252)</f>
        <v>4306.1399999999994</v>
      </c>
      <c r="I253" s="1078">
        <f t="shared" ref="I253" si="81">SUM(I247:I252)</f>
        <v>5741.52</v>
      </c>
      <c r="J253" s="1074">
        <f t="shared" si="76"/>
        <v>106283.20438793942</v>
      </c>
      <c r="O253" s="384"/>
      <c r="P253" s="385"/>
      <c r="Q253" s="386"/>
      <c r="R253" s="386"/>
      <c r="S253" s="386"/>
      <c r="T253" s="386"/>
      <c r="U253" s="377"/>
      <c r="V253" s="377"/>
    </row>
    <row r="254" spans="1:22" ht="15.75" hidden="1" outlineLevel="2" x14ac:dyDescent="0.25">
      <c r="A254" s="377"/>
      <c r="O254" s="384"/>
      <c r="P254" s="385"/>
      <c r="Q254" s="386"/>
      <c r="R254" s="386"/>
      <c r="S254" s="386"/>
      <c r="T254" s="386"/>
      <c r="U254" s="377"/>
      <c r="V254" s="377"/>
    </row>
    <row r="255" spans="1:22" ht="15.75" hidden="1" outlineLevel="2" x14ac:dyDescent="0.25">
      <c r="A255" s="377"/>
      <c r="E255" s="1004" t="s">
        <v>1261</v>
      </c>
      <c r="F255" s="1"/>
      <c r="G255" s="404"/>
      <c r="H255" s="404"/>
      <c r="I255" s="404"/>
      <c r="O255" s="384"/>
      <c r="P255" s="385"/>
      <c r="Q255" s="386"/>
      <c r="R255" s="386"/>
      <c r="S255" s="386"/>
      <c r="T255" s="386"/>
      <c r="U255" s="377"/>
      <c r="V255" s="377"/>
    </row>
    <row r="256" spans="1:22" ht="15.75" hidden="1" outlineLevel="2" x14ac:dyDescent="0.25">
      <c r="A256" s="377"/>
      <c r="E256" s="1007" t="s">
        <v>672</v>
      </c>
      <c r="F256" s="1052" t="s">
        <v>1220</v>
      </c>
      <c r="G256" s="1007" t="s">
        <v>1221</v>
      </c>
      <c r="H256" s="1007" t="s">
        <v>1210</v>
      </c>
      <c r="I256" s="1007" t="s">
        <v>1222</v>
      </c>
      <c r="J256" s="1052" t="s">
        <v>156</v>
      </c>
      <c r="O256" s="384"/>
      <c r="P256" s="385"/>
      <c r="Q256" s="386"/>
      <c r="R256" s="386"/>
      <c r="S256" s="386"/>
      <c r="T256" s="386"/>
      <c r="U256" s="377"/>
      <c r="V256" s="377"/>
    </row>
    <row r="257" spans="1:22" ht="15.75" hidden="1" outlineLevel="2" x14ac:dyDescent="0.25">
      <c r="A257" s="377">
        <v>1</v>
      </c>
      <c r="B257" t="str">
        <f>+B$67</f>
        <v xml:space="preserve">Carson City </v>
      </c>
      <c r="C257" s="496"/>
      <c r="D257" s="496">
        <f>D67</f>
        <v>7494</v>
      </c>
      <c r="E257" s="1094">
        <f>+$D67*E164</f>
        <v>74940</v>
      </c>
      <c r="F257" s="1094">
        <f>+$D257*F164</f>
        <v>29976</v>
      </c>
      <c r="G257" s="1094">
        <f t="shared" ref="G257:I260" si="82">+$D67*G164</f>
        <v>37470</v>
      </c>
      <c r="H257" s="1094">
        <f t="shared" si="82"/>
        <v>37470</v>
      </c>
      <c r="I257" s="1094">
        <f t="shared" si="82"/>
        <v>7494</v>
      </c>
      <c r="J257" s="1077">
        <f t="shared" ref="J257:J263" si="83">SUM(E257:I257)</f>
        <v>187350</v>
      </c>
      <c r="O257" s="384"/>
      <c r="P257" s="385"/>
      <c r="Q257" s="386"/>
      <c r="R257" s="386"/>
      <c r="S257" s="386"/>
      <c r="T257" s="386"/>
      <c r="U257" s="377"/>
      <c r="V257" s="377"/>
    </row>
    <row r="258" spans="1:22" ht="15.75" hidden="1" outlineLevel="2" x14ac:dyDescent="0.25">
      <c r="A258" s="377">
        <f>1+A257</f>
        <v>2</v>
      </c>
      <c r="B258" t="str">
        <f>+$B$68</f>
        <v>Churchill</v>
      </c>
      <c r="C258" s="5"/>
      <c r="D258" s="5">
        <f>D68</f>
        <v>8093</v>
      </c>
      <c r="E258" s="1054">
        <f>+$D68*E165</f>
        <v>80930</v>
      </c>
      <c r="F258" s="1054">
        <f>+$D68*F165</f>
        <v>32372</v>
      </c>
      <c r="G258" s="1054">
        <f t="shared" si="82"/>
        <v>40465</v>
      </c>
      <c r="H258" s="1054">
        <f t="shared" si="82"/>
        <v>40465</v>
      </c>
      <c r="I258" s="1054">
        <f t="shared" si="82"/>
        <v>8093</v>
      </c>
      <c r="J258" s="1044">
        <f t="shared" si="83"/>
        <v>202325</v>
      </c>
      <c r="O258" s="384"/>
      <c r="P258" s="385"/>
      <c r="Q258" s="386"/>
      <c r="R258" s="386"/>
      <c r="S258" s="386"/>
      <c r="T258" s="386"/>
      <c r="U258" s="377"/>
      <c r="V258" s="377"/>
    </row>
    <row r="259" spans="1:22" ht="15.75" hidden="1" outlineLevel="2" x14ac:dyDescent="0.25">
      <c r="A259" s="377">
        <f t="shared" ref="A259:A262" si="84">1+A258</f>
        <v>3</v>
      </c>
      <c r="B259" t="str">
        <f>+$B$69</f>
        <v>Clark</v>
      </c>
      <c r="C259" s="5"/>
      <c r="D259" s="5">
        <f>D69</f>
        <v>7197</v>
      </c>
      <c r="E259" s="1054">
        <f>+$D69*E166</f>
        <v>71970</v>
      </c>
      <c r="F259" s="1054">
        <f>+$D69*F166</f>
        <v>28788</v>
      </c>
      <c r="G259" s="1054">
        <f t="shared" si="82"/>
        <v>35985</v>
      </c>
      <c r="H259" s="1054">
        <f t="shared" si="82"/>
        <v>35985</v>
      </c>
      <c r="I259" s="1054">
        <f t="shared" si="82"/>
        <v>7197</v>
      </c>
      <c r="J259" s="1044">
        <f t="shared" si="83"/>
        <v>179925</v>
      </c>
      <c r="O259" s="384"/>
      <c r="P259" s="385"/>
      <c r="Q259" s="386"/>
      <c r="R259" s="386"/>
      <c r="S259" s="386"/>
      <c r="T259" s="386"/>
      <c r="U259" s="377"/>
      <c r="V259" s="377"/>
    </row>
    <row r="260" spans="1:22" ht="15.75" hidden="1" outlineLevel="2" x14ac:dyDescent="0.25">
      <c r="A260" s="377">
        <f t="shared" si="84"/>
        <v>4</v>
      </c>
      <c r="B260" t="str">
        <f>+$B$70</f>
        <v>Elko</v>
      </c>
      <c r="C260" s="5"/>
      <c r="D260" s="5">
        <f>D70</f>
        <v>7715</v>
      </c>
      <c r="E260" s="1054">
        <f>+$D70*E167</f>
        <v>77150</v>
      </c>
      <c r="F260" s="1054">
        <f>+$D70*F167</f>
        <v>30860</v>
      </c>
      <c r="G260" s="1054">
        <f t="shared" si="82"/>
        <v>38575</v>
      </c>
      <c r="H260" s="1054">
        <f t="shared" si="82"/>
        <v>38575</v>
      </c>
      <c r="I260" s="1054">
        <f t="shared" si="82"/>
        <v>7715</v>
      </c>
      <c r="J260" s="1044">
        <f t="shared" si="83"/>
        <v>192875</v>
      </c>
      <c r="O260" s="384"/>
      <c r="P260" s="385"/>
      <c r="Q260" s="386"/>
      <c r="R260" s="386"/>
      <c r="S260" s="386"/>
      <c r="T260" s="386"/>
      <c r="U260" s="377"/>
      <c r="V260" s="377"/>
    </row>
    <row r="261" spans="1:22" ht="15.75" hidden="1" outlineLevel="2" x14ac:dyDescent="0.25">
      <c r="A261" s="377">
        <f t="shared" si="84"/>
        <v>5</v>
      </c>
      <c r="B261" t="str">
        <f>+$B$72</f>
        <v>Washoe</v>
      </c>
      <c r="C261" s="5"/>
      <c r="D261" s="5">
        <f>D72</f>
        <v>6980</v>
      </c>
      <c r="E261" s="1054">
        <f t="shared" ref="E261:I262" si="85">+$D72*E168</f>
        <v>69800</v>
      </c>
      <c r="F261" s="1054">
        <f t="shared" si="85"/>
        <v>27920</v>
      </c>
      <c r="G261" s="1054">
        <f t="shared" si="85"/>
        <v>34900</v>
      </c>
      <c r="H261" s="1054">
        <f t="shared" si="85"/>
        <v>34900</v>
      </c>
      <c r="I261" s="1054">
        <f t="shared" si="85"/>
        <v>6980</v>
      </c>
      <c r="J261" s="1044">
        <f t="shared" si="83"/>
        <v>174500</v>
      </c>
      <c r="O261" s="384"/>
      <c r="P261" s="385"/>
      <c r="Q261" s="386"/>
      <c r="R261" s="386"/>
      <c r="S261" s="386"/>
      <c r="T261" s="386"/>
      <c r="U261" s="377"/>
      <c r="V261" s="377"/>
    </row>
    <row r="262" spans="1:22" ht="15.75" hidden="1" outlineLevel="2" x14ac:dyDescent="0.25">
      <c r="A262" s="377">
        <f t="shared" si="84"/>
        <v>6</v>
      </c>
      <c r="B262" t="str">
        <f>+$B$73</f>
        <v>White Pine</v>
      </c>
      <c r="C262" s="5"/>
      <c r="D262" s="5">
        <f>D73</f>
        <v>10367</v>
      </c>
      <c r="E262" s="1055">
        <f t="shared" si="85"/>
        <v>103670</v>
      </c>
      <c r="F262" s="1055">
        <f t="shared" si="85"/>
        <v>41468</v>
      </c>
      <c r="G262" s="1055">
        <f t="shared" si="85"/>
        <v>51835</v>
      </c>
      <c r="H262" s="1055">
        <f t="shared" si="85"/>
        <v>51835</v>
      </c>
      <c r="I262" s="1055">
        <f t="shared" si="85"/>
        <v>10367</v>
      </c>
      <c r="J262" s="1044">
        <f t="shared" si="83"/>
        <v>259175</v>
      </c>
      <c r="O262" s="384"/>
      <c r="P262" s="385"/>
      <c r="Q262" s="386"/>
      <c r="R262" s="386"/>
      <c r="S262" s="386"/>
      <c r="T262" s="386"/>
      <c r="U262" s="377"/>
      <c r="V262" s="377"/>
    </row>
    <row r="263" spans="1:22" ht="15.75" hidden="1" outlineLevel="2" x14ac:dyDescent="0.25">
      <c r="A263" s="377"/>
      <c r="B263" s="1051" t="s">
        <v>156</v>
      </c>
      <c r="C263" s="1051"/>
      <c r="D263" s="1051"/>
      <c r="E263" s="1078">
        <f>SUM(E257:E262)</f>
        <v>478460</v>
      </c>
      <c r="F263" s="1078">
        <f t="shared" ref="F263" si="86">SUM(F257:F262)</f>
        <v>191384</v>
      </c>
      <c r="G263" s="1078">
        <f t="shared" ref="G263" si="87">SUM(G257:G262)</f>
        <v>239230</v>
      </c>
      <c r="H263" s="1078">
        <f t="shared" ref="H263" si="88">SUM(H257:H262)</f>
        <v>239230</v>
      </c>
      <c r="I263" s="1078">
        <f t="shared" ref="I263" si="89">SUM(I257:I262)</f>
        <v>47846</v>
      </c>
      <c r="J263" s="1078">
        <f t="shared" si="83"/>
        <v>1196150</v>
      </c>
      <c r="O263" s="384"/>
      <c r="P263" s="385"/>
      <c r="Q263" s="386"/>
      <c r="R263" s="386"/>
      <c r="S263" s="386"/>
      <c r="T263" s="386"/>
      <c r="U263" s="377"/>
      <c r="V263" s="377"/>
    </row>
    <row r="264" spans="1:22" ht="15.75" hidden="1" outlineLevel="2" x14ac:dyDescent="0.25">
      <c r="A264" s="377"/>
      <c r="O264" s="384"/>
      <c r="P264" s="385"/>
      <c r="Q264" s="386"/>
      <c r="R264" s="386"/>
      <c r="S264" s="386"/>
      <c r="T264" s="386"/>
      <c r="U264" s="377"/>
      <c r="V264" s="377"/>
    </row>
    <row r="265" spans="1:22" ht="15.75" hidden="1" outlineLevel="2" x14ac:dyDescent="0.25">
      <c r="A265" s="377"/>
      <c r="B265" s="1051" t="s">
        <v>1256</v>
      </c>
      <c r="C265" s="1051"/>
      <c r="D265" s="1051"/>
      <c r="E265" s="1078">
        <f>+E253+E263</f>
        <v>478460</v>
      </c>
      <c r="F265" s="1078">
        <f t="shared" ref="F265:I265" si="90">+F253+F263</f>
        <v>264653.46438793943</v>
      </c>
      <c r="G265" s="1078">
        <f t="shared" si="90"/>
        <v>262196.08</v>
      </c>
      <c r="H265" s="1078">
        <f t="shared" si="90"/>
        <v>243536.14</v>
      </c>
      <c r="I265" s="1078">
        <f t="shared" si="90"/>
        <v>53587.520000000004</v>
      </c>
      <c r="J265" s="1080">
        <f>SUM(E265:I265)</f>
        <v>1302433.2043879395</v>
      </c>
      <c r="O265" s="384"/>
      <c r="P265" s="385"/>
      <c r="Q265" s="386"/>
      <c r="R265" s="386"/>
      <c r="S265" s="386"/>
      <c r="T265" s="386"/>
      <c r="U265" s="377"/>
      <c r="V265" s="377"/>
    </row>
    <row r="266" spans="1:22" ht="15.75" hidden="1" outlineLevel="2" x14ac:dyDescent="0.25">
      <c r="A266" s="377"/>
      <c r="O266" s="384"/>
      <c r="P266" s="385"/>
      <c r="Q266" s="386"/>
      <c r="R266" s="386"/>
      <c r="S266" s="386"/>
      <c r="T266" s="386"/>
      <c r="U266" s="377"/>
      <c r="V266" s="377"/>
    </row>
    <row r="267" spans="1:22" ht="15.75" hidden="1" outlineLevel="2" x14ac:dyDescent="0.25">
      <c r="A267" s="377"/>
      <c r="B267" s="1067" t="s">
        <v>491</v>
      </c>
      <c r="C267" s="1067"/>
      <c r="D267" s="1067"/>
      <c r="E267" s="1068"/>
      <c r="F267" s="1068"/>
      <c r="G267" s="1068"/>
      <c r="H267" s="1068"/>
      <c r="I267" s="1068"/>
      <c r="J267" s="1068"/>
      <c r="O267" s="384"/>
      <c r="P267" s="385"/>
      <c r="Q267" s="386"/>
      <c r="R267" s="386"/>
      <c r="S267" s="386"/>
      <c r="T267" s="386"/>
      <c r="U267" s="377"/>
      <c r="V267" s="377"/>
    </row>
    <row r="268" spans="1:22" ht="15.75" hidden="1" outlineLevel="2" x14ac:dyDescent="0.25">
      <c r="A268" s="377"/>
      <c r="B268" s="1062" t="s">
        <v>1257</v>
      </c>
      <c r="C268" s="1062"/>
      <c r="D268" s="1062"/>
      <c r="E268" s="1062"/>
      <c r="F268" s="1016"/>
      <c r="G268" s="1062"/>
      <c r="H268" s="1016"/>
      <c r="I268" s="1016"/>
      <c r="J268" s="1063"/>
      <c r="O268" s="384"/>
      <c r="P268" s="385"/>
      <c r="Q268" s="386"/>
      <c r="R268" s="386"/>
      <c r="S268" s="386"/>
      <c r="T268" s="386"/>
      <c r="U268" s="377"/>
      <c r="V268" s="377"/>
    </row>
    <row r="269" spans="1:22" ht="15.75" hidden="1" outlineLevel="2" x14ac:dyDescent="0.25">
      <c r="A269" s="377"/>
      <c r="B269" s="1004"/>
      <c r="C269" s="1004"/>
      <c r="D269" s="1004"/>
      <c r="E269" s="1004" t="s">
        <v>1252</v>
      </c>
      <c r="F269" s="404"/>
      <c r="G269" s="1004"/>
      <c r="H269" s="404"/>
      <c r="I269" s="404"/>
      <c r="J269" s="1058"/>
      <c r="O269" s="384"/>
      <c r="P269" s="385"/>
      <c r="Q269" s="386"/>
      <c r="R269" s="386"/>
      <c r="S269" s="386"/>
      <c r="T269" s="386"/>
      <c r="U269" s="377"/>
      <c r="V269" s="377"/>
    </row>
    <row r="270" spans="1:22" ht="15.75" hidden="1" outlineLevel="2" x14ac:dyDescent="0.25">
      <c r="A270" s="377"/>
      <c r="B270" s="1007"/>
      <c r="C270" s="1007"/>
      <c r="D270" s="1007"/>
      <c r="E270" s="1007" t="s">
        <v>672</v>
      </c>
      <c r="F270" s="1007" t="s">
        <v>1220</v>
      </c>
      <c r="G270" s="1007" t="s">
        <v>1221</v>
      </c>
      <c r="H270" s="1007" t="s">
        <v>1210</v>
      </c>
      <c r="I270" s="1007" t="s">
        <v>1222</v>
      </c>
      <c r="J270" s="1007" t="s">
        <v>156</v>
      </c>
      <c r="O270" s="384"/>
      <c r="P270" s="385"/>
      <c r="Q270" s="386"/>
      <c r="R270" s="386"/>
      <c r="S270" s="386"/>
      <c r="T270" s="386"/>
      <c r="U270" s="377"/>
      <c r="V270" s="377"/>
    </row>
    <row r="271" spans="1:22" ht="15.75" hidden="1" outlineLevel="2" x14ac:dyDescent="0.25">
      <c r="A271" s="377">
        <v>1</v>
      </c>
      <c r="B271" t="str">
        <f>+B$67</f>
        <v xml:space="preserve">Carson City </v>
      </c>
      <c r="C271" s="496"/>
      <c r="D271" s="496">
        <f>$D$50</f>
        <v>8966</v>
      </c>
      <c r="E271" s="1075">
        <f t="shared" ref="E271" si="91">+E282+E292</f>
        <v>0</v>
      </c>
      <c r="F271" s="1075">
        <f>+F282+F292</f>
        <v>68650.881756287345</v>
      </c>
      <c r="G271" s="1075">
        <f t="shared" ref="G271:I271" si="92">+G282+G292</f>
        <v>43036.799999999996</v>
      </c>
      <c r="H271" s="1075">
        <f t="shared" si="92"/>
        <v>8069.4</v>
      </c>
      <c r="I271" s="1075">
        <f t="shared" si="92"/>
        <v>1075.92</v>
      </c>
      <c r="J271" s="1073">
        <f t="shared" ref="J271:J277" si="93">SUM(E271:I271)</f>
        <v>120833.00175628734</v>
      </c>
      <c r="O271" s="384"/>
      <c r="P271" s="385"/>
      <c r="Q271" s="386"/>
      <c r="R271" s="386"/>
      <c r="S271" s="386"/>
      <c r="T271" s="386"/>
      <c r="U271" s="377"/>
      <c r="V271" s="377"/>
    </row>
    <row r="272" spans="1:22" ht="15.75" hidden="1" outlineLevel="2" x14ac:dyDescent="0.25">
      <c r="A272" s="377">
        <f>1+A271</f>
        <v>2</v>
      </c>
      <c r="B272" t="str">
        <f>+$B$68</f>
        <v>Churchill</v>
      </c>
      <c r="C272" s="5"/>
      <c r="D272" s="5">
        <f t="shared" ref="D272:D276" si="94">$D$50</f>
        <v>8966</v>
      </c>
      <c r="E272" s="1039">
        <f t="shared" ref="E272:I272" si="95">+E283+E293</f>
        <v>0</v>
      </c>
      <c r="F272" s="1039">
        <f t="shared" si="95"/>
        <v>0</v>
      </c>
      <c r="G272" s="1039">
        <f t="shared" si="95"/>
        <v>0</v>
      </c>
      <c r="H272" s="1039">
        <f t="shared" si="95"/>
        <v>0</v>
      </c>
      <c r="I272" s="1039">
        <f t="shared" si="95"/>
        <v>0</v>
      </c>
      <c r="J272" s="1039">
        <f t="shared" si="93"/>
        <v>0</v>
      </c>
      <c r="O272" s="384"/>
      <c r="P272" s="385"/>
      <c r="Q272" s="386"/>
      <c r="R272" s="386"/>
      <c r="S272" s="386"/>
      <c r="T272" s="386"/>
      <c r="U272" s="377"/>
      <c r="V272" s="377"/>
    </row>
    <row r="273" spans="1:22" ht="15.75" hidden="1" outlineLevel="2" x14ac:dyDescent="0.25">
      <c r="A273" s="377">
        <f t="shared" ref="A273:A276" si="96">1+A272</f>
        <v>3</v>
      </c>
      <c r="B273" t="str">
        <f>+$B$69</f>
        <v>Clark</v>
      </c>
      <c r="C273" s="5"/>
      <c r="D273" s="5">
        <f t="shared" si="94"/>
        <v>8966</v>
      </c>
      <c r="E273" s="1039">
        <f t="shared" ref="E273:I273" si="97">+E284+E294</f>
        <v>0</v>
      </c>
      <c r="F273" s="1039">
        <f t="shared" si="97"/>
        <v>102976.32263443101</v>
      </c>
      <c r="G273" s="1039">
        <f t="shared" si="97"/>
        <v>0</v>
      </c>
      <c r="H273" s="1039">
        <f t="shared" si="97"/>
        <v>0</v>
      </c>
      <c r="I273" s="1039">
        <f t="shared" si="97"/>
        <v>0</v>
      </c>
      <c r="J273" s="1039">
        <f t="shared" si="93"/>
        <v>102976.32263443101</v>
      </c>
      <c r="O273" s="384"/>
      <c r="P273" s="385"/>
      <c r="Q273" s="386"/>
      <c r="R273" s="386"/>
      <c r="S273" s="386"/>
      <c r="T273" s="386"/>
      <c r="U273" s="377"/>
      <c r="V273" s="377"/>
    </row>
    <row r="274" spans="1:22" ht="15.75" hidden="1" outlineLevel="2" x14ac:dyDescent="0.25">
      <c r="A274" s="377">
        <f t="shared" si="96"/>
        <v>4</v>
      </c>
      <c r="B274" t="str">
        <f>+$B$70</f>
        <v>Elko</v>
      </c>
      <c r="C274" s="5"/>
      <c r="D274" s="5">
        <f t="shared" si="94"/>
        <v>8966</v>
      </c>
      <c r="E274" s="1039">
        <f t="shared" ref="E274:I274" si="98">+E285+E295</f>
        <v>0</v>
      </c>
      <c r="F274" s="1039">
        <f t="shared" si="98"/>
        <v>17162.720439071836</v>
      </c>
      <c r="G274" s="1039">
        <f t="shared" si="98"/>
        <v>0</v>
      </c>
      <c r="H274" s="1039">
        <f t="shared" si="98"/>
        <v>0</v>
      </c>
      <c r="I274" s="1039">
        <f t="shared" si="98"/>
        <v>0</v>
      </c>
      <c r="J274" s="1039">
        <f t="shared" si="93"/>
        <v>17162.720439071836</v>
      </c>
      <c r="O274" s="384"/>
      <c r="P274" s="385"/>
      <c r="Q274" s="386"/>
      <c r="R274" s="386"/>
      <c r="S274" s="386"/>
      <c r="T274" s="386"/>
      <c r="U274" s="377"/>
      <c r="V274" s="377"/>
    </row>
    <row r="275" spans="1:22" ht="15.75" hidden="1" outlineLevel="2" x14ac:dyDescent="0.25">
      <c r="A275" s="377">
        <f t="shared" si="96"/>
        <v>5</v>
      </c>
      <c r="B275" t="str">
        <f>+$B$72</f>
        <v>Washoe</v>
      </c>
      <c r="C275" s="5"/>
      <c r="D275" s="5">
        <f t="shared" si="94"/>
        <v>8966</v>
      </c>
      <c r="E275" s="1050">
        <f t="shared" ref="E275:I275" si="99">+E286+E296</f>
        <v>0</v>
      </c>
      <c r="F275" s="1050">
        <f t="shared" si="99"/>
        <v>34325.440878143672</v>
      </c>
      <c r="G275" s="1050">
        <f t="shared" si="99"/>
        <v>0</v>
      </c>
      <c r="H275" s="1050">
        <f t="shared" si="99"/>
        <v>0</v>
      </c>
      <c r="I275" s="1050">
        <f t="shared" si="99"/>
        <v>0</v>
      </c>
      <c r="J275" s="1039">
        <f t="shared" si="93"/>
        <v>34325.440878143672</v>
      </c>
      <c r="O275" s="384"/>
      <c r="P275" s="385"/>
      <c r="Q275" s="386"/>
      <c r="R275" s="386"/>
      <c r="S275" s="386"/>
      <c r="T275" s="386"/>
      <c r="U275" s="377"/>
      <c r="V275" s="377"/>
    </row>
    <row r="276" spans="1:22" ht="15.75" hidden="1" outlineLevel="2" x14ac:dyDescent="0.25">
      <c r="A276" s="377">
        <f t="shared" si="96"/>
        <v>6</v>
      </c>
      <c r="B276" t="str">
        <f>+$B$73</f>
        <v>White Pine</v>
      </c>
      <c r="C276" s="5"/>
      <c r="D276" s="5">
        <f t="shared" si="94"/>
        <v>8966</v>
      </c>
      <c r="E276" s="1050">
        <f t="shared" ref="E276:I276" si="100">+E287+E297</f>
        <v>0</v>
      </c>
      <c r="F276" s="1050">
        <f t="shared" si="100"/>
        <v>0</v>
      </c>
      <c r="G276" s="1050">
        <f t="shared" si="100"/>
        <v>0</v>
      </c>
      <c r="H276" s="1050">
        <f t="shared" si="100"/>
        <v>0</v>
      </c>
      <c r="I276" s="1050">
        <f t="shared" si="100"/>
        <v>0</v>
      </c>
      <c r="J276" s="1050">
        <f t="shared" si="93"/>
        <v>0</v>
      </c>
      <c r="O276" s="384"/>
      <c r="P276" s="385"/>
      <c r="Q276" s="386"/>
      <c r="R276" s="386"/>
      <c r="S276" s="386"/>
      <c r="T276" s="386"/>
      <c r="U276" s="377"/>
      <c r="V276" s="377"/>
    </row>
    <row r="277" spans="1:22" ht="15.75" hidden="1" outlineLevel="2" x14ac:dyDescent="0.25">
      <c r="A277" s="377"/>
      <c r="B277" s="1051" t="s">
        <v>156</v>
      </c>
      <c r="C277" s="1051"/>
      <c r="D277" s="1051"/>
      <c r="E277" s="1074">
        <f>SUM(E271:E276)</f>
        <v>0</v>
      </c>
      <c r="F277" s="1074">
        <f>SUM(F271:F276)</f>
        <v>223115.36570793387</v>
      </c>
      <c r="G277" s="1074">
        <f t="shared" ref="G277" si="101">SUM(G271:G276)</f>
        <v>43036.799999999996</v>
      </c>
      <c r="H277" s="1074">
        <f t="shared" ref="H277" si="102">SUM(H271:H276)</f>
        <v>8069.4</v>
      </c>
      <c r="I277" s="1074">
        <f t="shared" ref="I277" si="103">SUM(I271:I276)</f>
        <v>1075.92</v>
      </c>
      <c r="J277" s="1076">
        <f t="shared" si="93"/>
        <v>275297.4857079339</v>
      </c>
      <c r="O277" s="384"/>
      <c r="P277" s="385"/>
      <c r="Q277" s="386"/>
      <c r="R277" s="386"/>
      <c r="S277" s="386"/>
      <c r="T277" s="386"/>
      <c r="U277" s="377"/>
      <c r="V277" s="377"/>
    </row>
    <row r="278" spans="1:22" ht="15.75" hidden="1" outlineLevel="2" x14ac:dyDescent="0.25">
      <c r="A278" s="377"/>
      <c r="J278" s="1044"/>
      <c r="O278" s="384"/>
      <c r="P278" s="385"/>
      <c r="Q278" s="386"/>
      <c r="R278" s="386"/>
      <c r="S278" s="386"/>
      <c r="T278" s="386"/>
      <c r="U278" s="377"/>
      <c r="V278" s="377"/>
    </row>
    <row r="279" spans="1:22" ht="15.75" hidden="1" outlineLevel="2" x14ac:dyDescent="0.25">
      <c r="A279" s="377"/>
      <c r="E279" s="1004" t="s">
        <v>1260</v>
      </c>
      <c r="F279" s="404"/>
      <c r="G279" s="1004"/>
      <c r="H279" s="1004"/>
      <c r="I279" s="1004"/>
      <c r="J279" s="404"/>
      <c r="O279" s="384"/>
      <c r="P279" s="385"/>
      <c r="Q279" s="386"/>
      <c r="R279" s="386"/>
      <c r="S279" s="386"/>
      <c r="T279" s="386"/>
      <c r="U279" s="377"/>
      <c r="V279" s="377"/>
    </row>
    <row r="280" spans="1:22" ht="15.75" hidden="1" outlineLevel="2" x14ac:dyDescent="0.25">
      <c r="A280" s="377"/>
      <c r="E280" s="1007" t="s">
        <v>672</v>
      </c>
      <c r="F280" s="1007" t="s">
        <v>1220</v>
      </c>
      <c r="G280" s="1007" t="s">
        <v>1221</v>
      </c>
      <c r="H280" s="1007" t="s">
        <v>1210</v>
      </c>
      <c r="I280" s="1007" t="s">
        <v>1222</v>
      </c>
      <c r="J280" s="1040"/>
      <c r="O280" s="384"/>
      <c r="P280" s="385"/>
      <c r="Q280" s="386"/>
      <c r="R280" s="386"/>
      <c r="S280" s="386"/>
      <c r="T280" s="386"/>
      <c r="U280" s="377"/>
      <c r="V280" s="377"/>
    </row>
    <row r="281" spans="1:22" ht="15.75" hidden="1" outlineLevel="2" x14ac:dyDescent="0.25">
      <c r="A281" s="377"/>
      <c r="E281" s="1040"/>
      <c r="F281" s="1037">
        <f>+F246</f>
        <v>0.38284007225232736</v>
      </c>
      <c r="G281" s="1037">
        <f t="shared" ref="G281:I281" si="104">+G246</f>
        <v>0.24</v>
      </c>
      <c r="H281" s="1037">
        <f t="shared" si="104"/>
        <v>0.03</v>
      </c>
      <c r="I281" s="1037">
        <f t="shared" si="104"/>
        <v>0.12</v>
      </c>
      <c r="J281" s="1007" t="s">
        <v>156</v>
      </c>
      <c r="O281" s="384"/>
      <c r="P281" s="385"/>
      <c r="Q281" s="386"/>
      <c r="R281" s="386"/>
      <c r="S281" s="386"/>
      <c r="T281" s="386"/>
      <c r="U281" s="377"/>
      <c r="V281" s="377"/>
    </row>
    <row r="282" spans="1:22" ht="15.75" hidden="1" outlineLevel="2" x14ac:dyDescent="0.25">
      <c r="A282" s="377">
        <v>1</v>
      </c>
      <c r="B282" t="str">
        <f>+B$67</f>
        <v xml:space="preserve">Carson City </v>
      </c>
      <c r="C282" s="5"/>
      <c r="D282" s="5">
        <f t="shared" ref="D282:D287" si="105">$D$50</f>
        <v>8966</v>
      </c>
      <c r="E282" s="1042"/>
      <c r="F282" s="1093">
        <f t="shared" ref="F282:I287" si="106">F$246*F210*$D282</f>
        <v>68650.881756287345</v>
      </c>
      <c r="G282" s="1093">
        <f t="shared" si="106"/>
        <v>43036.799999999996</v>
      </c>
      <c r="H282" s="1093">
        <f t="shared" si="106"/>
        <v>8069.4</v>
      </c>
      <c r="I282" s="1093">
        <f t="shared" si="106"/>
        <v>1075.92</v>
      </c>
      <c r="J282" s="1073">
        <f t="shared" ref="J282:J288" si="107">SUM(E282:I282)</f>
        <v>120833.00175628734</v>
      </c>
      <c r="O282" s="384"/>
      <c r="P282" s="385"/>
      <c r="Q282" s="386"/>
      <c r="R282" s="386"/>
      <c r="S282" s="386"/>
      <c r="T282" s="386"/>
      <c r="U282" s="377"/>
      <c r="V282" s="377"/>
    </row>
    <row r="283" spans="1:22" ht="15.75" hidden="1" outlineLevel="2" x14ac:dyDescent="0.25">
      <c r="A283" s="377">
        <f>1+A282</f>
        <v>2</v>
      </c>
      <c r="B283" t="str">
        <f>+$B$68</f>
        <v>Churchill</v>
      </c>
      <c r="C283" s="5"/>
      <c r="D283" s="5">
        <f t="shared" si="105"/>
        <v>8966</v>
      </c>
      <c r="E283" s="1042"/>
      <c r="F283" s="1070">
        <f t="shared" si="106"/>
        <v>0</v>
      </c>
      <c r="G283" s="1070">
        <f t="shared" si="106"/>
        <v>0</v>
      </c>
      <c r="H283" s="1070">
        <f t="shared" si="106"/>
        <v>0</v>
      </c>
      <c r="I283" s="1070">
        <f t="shared" si="106"/>
        <v>0</v>
      </c>
      <c r="J283" s="1039">
        <f t="shared" si="107"/>
        <v>0</v>
      </c>
      <c r="O283" s="384"/>
      <c r="P283" s="385"/>
      <c r="Q283" s="386"/>
      <c r="R283" s="386"/>
      <c r="S283" s="386"/>
      <c r="T283" s="386"/>
      <c r="U283" s="377"/>
      <c r="V283" s="377"/>
    </row>
    <row r="284" spans="1:22" ht="15.75" hidden="1" outlineLevel="2" x14ac:dyDescent="0.25">
      <c r="A284" s="377">
        <f t="shared" ref="A284:A287" si="108">1+A283</f>
        <v>3</v>
      </c>
      <c r="B284" t="str">
        <f>+$B$69</f>
        <v>Clark</v>
      </c>
      <c r="C284" s="5"/>
      <c r="D284" s="5">
        <f t="shared" si="105"/>
        <v>8966</v>
      </c>
      <c r="E284" s="1042"/>
      <c r="F284" s="1070">
        <f t="shared" si="106"/>
        <v>102976.32263443101</v>
      </c>
      <c r="G284" s="1070">
        <f t="shared" si="106"/>
        <v>0</v>
      </c>
      <c r="H284" s="1070">
        <f t="shared" si="106"/>
        <v>0</v>
      </c>
      <c r="I284" s="1070">
        <f t="shared" si="106"/>
        <v>0</v>
      </c>
      <c r="J284" s="1039">
        <f t="shared" si="107"/>
        <v>102976.32263443101</v>
      </c>
      <c r="O284" s="384"/>
      <c r="P284" s="385"/>
      <c r="Q284" s="386"/>
      <c r="R284" s="386"/>
      <c r="S284" s="386"/>
      <c r="T284" s="386"/>
      <c r="U284" s="377"/>
      <c r="V284" s="377"/>
    </row>
    <row r="285" spans="1:22" ht="15.75" hidden="1" outlineLevel="2" x14ac:dyDescent="0.25">
      <c r="A285" s="377">
        <f t="shared" si="108"/>
        <v>4</v>
      </c>
      <c r="B285" t="str">
        <f>+$B$70</f>
        <v>Elko</v>
      </c>
      <c r="C285" s="5"/>
      <c r="D285" s="5">
        <f t="shared" si="105"/>
        <v>8966</v>
      </c>
      <c r="E285" s="1042"/>
      <c r="F285" s="1070">
        <f t="shared" si="106"/>
        <v>17162.720439071836</v>
      </c>
      <c r="G285" s="1070">
        <f t="shared" si="106"/>
        <v>0</v>
      </c>
      <c r="H285" s="1070">
        <f t="shared" si="106"/>
        <v>0</v>
      </c>
      <c r="I285" s="1070">
        <f t="shared" si="106"/>
        <v>0</v>
      </c>
      <c r="J285" s="1039">
        <f t="shared" si="107"/>
        <v>17162.720439071836</v>
      </c>
      <c r="O285" s="384"/>
      <c r="P285" s="385"/>
      <c r="Q285" s="386"/>
      <c r="R285" s="386"/>
      <c r="S285" s="386"/>
      <c r="T285" s="386"/>
      <c r="U285" s="377"/>
      <c r="V285" s="377"/>
    </row>
    <row r="286" spans="1:22" ht="15.75" hidden="1" outlineLevel="2" x14ac:dyDescent="0.25">
      <c r="A286" s="377">
        <f t="shared" si="108"/>
        <v>5</v>
      </c>
      <c r="B286" t="str">
        <f>+$B$72</f>
        <v>Washoe</v>
      </c>
      <c r="C286" s="5"/>
      <c r="D286" s="5">
        <f t="shared" si="105"/>
        <v>8966</v>
      </c>
      <c r="E286" s="1042"/>
      <c r="F286" s="1070">
        <f t="shared" si="106"/>
        <v>34325.440878143672</v>
      </c>
      <c r="G286" s="1070">
        <f t="shared" si="106"/>
        <v>0</v>
      </c>
      <c r="H286" s="1070">
        <f t="shared" si="106"/>
        <v>0</v>
      </c>
      <c r="I286" s="1070">
        <f t="shared" si="106"/>
        <v>0</v>
      </c>
      <c r="J286" s="1039">
        <f t="shared" si="107"/>
        <v>34325.440878143672</v>
      </c>
      <c r="O286" s="384"/>
      <c r="P286" s="385"/>
      <c r="Q286" s="386"/>
      <c r="R286" s="386"/>
      <c r="S286" s="386"/>
      <c r="T286" s="386"/>
      <c r="U286" s="377"/>
      <c r="V286" s="377"/>
    </row>
    <row r="287" spans="1:22" ht="15.75" hidden="1" outlineLevel="2" x14ac:dyDescent="0.25">
      <c r="A287" s="377">
        <f t="shared" si="108"/>
        <v>6</v>
      </c>
      <c r="B287" t="str">
        <f>+$B$73</f>
        <v>White Pine</v>
      </c>
      <c r="C287" s="5"/>
      <c r="D287" s="5">
        <f t="shared" si="105"/>
        <v>8966</v>
      </c>
      <c r="E287" s="1042"/>
      <c r="F287" s="1071">
        <f t="shared" si="106"/>
        <v>0</v>
      </c>
      <c r="G287" s="1071">
        <f t="shared" si="106"/>
        <v>0</v>
      </c>
      <c r="H287" s="1071">
        <f t="shared" si="106"/>
        <v>0</v>
      </c>
      <c r="I287" s="1071">
        <f t="shared" si="106"/>
        <v>0</v>
      </c>
      <c r="J287" s="1050">
        <f t="shared" si="107"/>
        <v>0</v>
      </c>
      <c r="O287" s="384"/>
      <c r="P287" s="385"/>
      <c r="Q287" s="386"/>
      <c r="R287" s="386"/>
      <c r="S287" s="386"/>
      <c r="T287" s="386"/>
      <c r="U287" s="377"/>
      <c r="V287" s="377"/>
    </row>
    <row r="288" spans="1:22" ht="15.75" hidden="1" outlineLevel="2" x14ac:dyDescent="0.25">
      <c r="A288" s="377"/>
      <c r="B288" s="1051" t="s">
        <v>156</v>
      </c>
      <c r="C288" s="1051"/>
      <c r="D288" s="1051"/>
      <c r="E288" s="1079"/>
      <c r="F288" s="1078">
        <f t="shared" ref="F288" si="109">SUM(F282:F287)</f>
        <v>223115.36570793387</v>
      </c>
      <c r="G288" s="1078">
        <f t="shared" ref="G288" si="110">SUM(G282:G287)</f>
        <v>43036.799999999996</v>
      </c>
      <c r="H288" s="1078">
        <f t="shared" ref="H288" si="111">SUM(H282:H287)</f>
        <v>8069.4</v>
      </c>
      <c r="I288" s="1078">
        <f t="shared" ref="I288" si="112">SUM(I282:I287)</f>
        <v>1075.92</v>
      </c>
      <c r="J288" s="1074">
        <f t="shared" si="107"/>
        <v>275297.4857079339</v>
      </c>
      <c r="O288" s="384"/>
      <c r="P288" s="385"/>
      <c r="Q288" s="386"/>
      <c r="R288" s="386"/>
      <c r="S288" s="386"/>
      <c r="T288" s="386"/>
      <c r="U288" s="377"/>
      <c r="V288" s="377"/>
    </row>
    <row r="289" spans="1:22" ht="15.75" hidden="1" outlineLevel="2" x14ac:dyDescent="0.25">
      <c r="A289" s="377"/>
      <c r="O289" s="384"/>
      <c r="P289" s="385"/>
      <c r="Q289" s="386"/>
      <c r="R289" s="386"/>
      <c r="S289" s="386"/>
      <c r="T289" s="386"/>
      <c r="U289" s="377"/>
      <c r="V289" s="377"/>
    </row>
    <row r="290" spans="1:22" ht="15.75" hidden="1" outlineLevel="2" x14ac:dyDescent="0.25">
      <c r="A290" s="377"/>
      <c r="E290" s="1004" t="s">
        <v>1261</v>
      </c>
      <c r="F290" s="1"/>
      <c r="G290" s="404"/>
      <c r="H290" s="404"/>
      <c r="I290" s="404"/>
      <c r="O290" s="384"/>
      <c r="P290" s="385"/>
      <c r="Q290" s="386"/>
      <c r="R290" s="386"/>
      <c r="S290" s="386"/>
      <c r="T290" s="386"/>
      <c r="U290" s="377"/>
      <c r="V290" s="377"/>
    </row>
    <row r="291" spans="1:22" ht="15.75" hidden="1" outlineLevel="2" x14ac:dyDescent="0.25">
      <c r="A291" s="377"/>
      <c r="E291" s="1007" t="s">
        <v>672</v>
      </c>
      <c r="F291" s="1052" t="s">
        <v>1220</v>
      </c>
      <c r="G291" s="1007" t="s">
        <v>1221</v>
      </c>
      <c r="H291" s="1007" t="s">
        <v>1210</v>
      </c>
      <c r="I291" s="1007" t="s">
        <v>1222</v>
      </c>
      <c r="J291" s="1052" t="s">
        <v>156</v>
      </c>
      <c r="O291" s="384"/>
      <c r="P291" s="385"/>
      <c r="Q291" s="386"/>
      <c r="R291" s="386"/>
      <c r="S291" s="386"/>
      <c r="T291" s="386"/>
      <c r="U291" s="377"/>
      <c r="V291" s="377"/>
    </row>
    <row r="292" spans="1:22" ht="15.75" hidden="1" outlineLevel="2" x14ac:dyDescent="0.25">
      <c r="A292" s="377">
        <v>1</v>
      </c>
      <c r="B292" t="str">
        <f>+B$67</f>
        <v xml:space="preserve">Carson City </v>
      </c>
      <c r="C292" s="5"/>
      <c r="D292" s="5">
        <f t="shared" ref="D292:D297" si="113">$D$50</f>
        <v>8966</v>
      </c>
      <c r="E292" s="1094">
        <f t="shared" ref="E292:I297" si="114">+$E177*E199</f>
        <v>0</v>
      </c>
      <c r="F292" s="1094">
        <f t="shared" si="114"/>
        <v>0</v>
      </c>
      <c r="G292" s="1094">
        <f t="shared" si="114"/>
        <v>0</v>
      </c>
      <c r="H292" s="1094">
        <f t="shared" si="114"/>
        <v>0</v>
      </c>
      <c r="I292" s="1094">
        <f t="shared" si="114"/>
        <v>0</v>
      </c>
      <c r="J292" s="1077">
        <f t="shared" ref="J292:J298" si="115">SUM(E292:I292)</f>
        <v>0</v>
      </c>
      <c r="O292" s="384"/>
      <c r="P292" s="385"/>
      <c r="Q292" s="386"/>
      <c r="R292" s="386"/>
      <c r="S292" s="386"/>
      <c r="T292" s="386"/>
      <c r="U292" s="377"/>
      <c r="V292" s="377"/>
    </row>
    <row r="293" spans="1:22" ht="15.75" hidden="1" outlineLevel="2" x14ac:dyDescent="0.25">
      <c r="A293" s="377">
        <f>1+A292</f>
        <v>2</v>
      </c>
      <c r="B293" t="str">
        <f>+$B$68</f>
        <v>Churchill</v>
      </c>
      <c r="C293" s="5"/>
      <c r="D293" s="5">
        <f t="shared" si="113"/>
        <v>8966</v>
      </c>
      <c r="E293" s="1054">
        <f t="shared" si="114"/>
        <v>0</v>
      </c>
      <c r="F293" s="1054">
        <f t="shared" si="114"/>
        <v>0</v>
      </c>
      <c r="G293" s="1054">
        <f t="shared" si="114"/>
        <v>0</v>
      </c>
      <c r="H293" s="1054">
        <f t="shared" si="114"/>
        <v>0</v>
      </c>
      <c r="I293" s="1054">
        <f t="shared" si="114"/>
        <v>0</v>
      </c>
      <c r="J293" s="1044">
        <f t="shared" si="115"/>
        <v>0</v>
      </c>
      <c r="O293" s="384"/>
      <c r="P293" s="385"/>
      <c r="Q293" s="386"/>
      <c r="R293" s="386"/>
      <c r="S293" s="386"/>
      <c r="T293" s="386"/>
      <c r="U293" s="377"/>
      <c r="V293" s="377"/>
    </row>
    <row r="294" spans="1:22" ht="15.75" hidden="1" outlineLevel="2" x14ac:dyDescent="0.25">
      <c r="A294" s="377">
        <f t="shared" ref="A294:A297" si="116">1+A293</f>
        <v>3</v>
      </c>
      <c r="B294" t="str">
        <f>+$B$69</f>
        <v>Clark</v>
      </c>
      <c r="C294" s="5"/>
      <c r="D294" s="5">
        <f t="shared" si="113"/>
        <v>8966</v>
      </c>
      <c r="E294" s="1054">
        <f t="shared" si="114"/>
        <v>0</v>
      </c>
      <c r="F294" s="1054">
        <f t="shared" si="114"/>
        <v>0</v>
      </c>
      <c r="G294" s="1054">
        <f t="shared" si="114"/>
        <v>0</v>
      </c>
      <c r="H294" s="1054">
        <f t="shared" si="114"/>
        <v>0</v>
      </c>
      <c r="I294" s="1054">
        <f t="shared" si="114"/>
        <v>0</v>
      </c>
      <c r="J294" s="1044">
        <f t="shared" si="115"/>
        <v>0</v>
      </c>
      <c r="O294" s="384"/>
      <c r="P294" s="385"/>
      <c r="Q294" s="386"/>
      <c r="R294" s="386"/>
      <c r="S294" s="386"/>
      <c r="T294" s="386"/>
      <c r="U294" s="377"/>
      <c r="V294" s="377"/>
    </row>
    <row r="295" spans="1:22" ht="15.75" hidden="1" outlineLevel="2" x14ac:dyDescent="0.25">
      <c r="A295" s="377">
        <f t="shared" si="116"/>
        <v>4</v>
      </c>
      <c r="B295" t="str">
        <f>+$B$70</f>
        <v>Elko</v>
      </c>
      <c r="C295" s="5"/>
      <c r="D295" s="5">
        <f t="shared" si="113"/>
        <v>8966</v>
      </c>
      <c r="E295" s="1054">
        <f t="shared" si="114"/>
        <v>0</v>
      </c>
      <c r="F295" s="1054">
        <f t="shared" si="114"/>
        <v>0</v>
      </c>
      <c r="G295" s="1054">
        <f t="shared" si="114"/>
        <v>0</v>
      </c>
      <c r="H295" s="1054">
        <f t="shared" si="114"/>
        <v>0</v>
      </c>
      <c r="I295" s="1054">
        <f t="shared" si="114"/>
        <v>0</v>
      </c>
      <c r="J295" s="1044">
        <f t="shared" si="115"/>
        <v>0</v>
      </c>
      <c r="O295" s="384"/>
      <c r="P295" s="385"/>
      <c r="Q295" s="386"/>
      <c r="R295" s="386"/>
      <c r="S295" s="386"/>
      <c r="T295" s="386"/>
      <c r="U295" s="377"/>
      <c r="V295" s="377"/>
    </row>
    <row r="296" spans="1:22" ht="15.75" hidden="1" outlineLevel="2" x14ac:dyDescent="0.25">
      <c r="A296" s="377">
        <f t="shared" si="116"/>
        <v>5</v>
      </c>
      <c r="B296" t="str">
        <f>+$B$72</f>
        <v>Washoe</v>
      </c>
      <c r="C296" s="5"/>
      <c r="D296" s="5">
        <f t="shared" si="113"/>
        <v>8966</v>
      </c>
      <c r="E296" s="1054">
        <f t="shared" si="114"/>
        <v>0</v>
      </c>
      <c r="F296" s="1054">
        <f t="shared" si="114"/>
        <v>0</v>
      </c>
      <c r="G296" s="1054">
        <f t="shared" si="114"/>
        <v>0</v>
      </c>
      <c r="H296" s="1054">
        <f t="shared" si="114"/>
        <v>0</v>
      </c>
      <c r="I296" s="1054">
        <f t="shared" si="114"/>
        <v>0</v>
      </c>
      <c r="J296" s="1044">
        <f t="shared" si="115"/>
        <v>0</v>
      </c>
      <c r="O296" s="384"/>
      <c r="P296" s="385"/>
      <c r="Q296" s="386"/>
      <c r="R296" s="386"/>
      <c r="S296" s="386"/>
      <c r="T296" s="386"/>
      <c r="U296" s="377"/>
      <c r="V296" s="377"/>
    </row>
    <row r="297" spans="1:22" ht="15.75" hidden="1" outlineLevel="2" x14ac:dyDescent="0.25">
      <c r="A297" s="377">
        <f t="shared" si="116"/>
        <v>6</v>
      </c>
      <c r="B297" t="str">
        <f>+$B$73</f>
        <v>White Pine</v>
      </c>
      <c r="C297" s="5"/>
      <c r="D297" s="5">
        <f t="shared" si="113"/>
        <v>8966</v>
      </c>
      <c r="E297" s="1055">
        <f t="shared" si="114"/>
        <v>0</v>
      </c>
      <c r="F297" s="1055">
        <f t="shared" si="114"/>
        <v>0</v>
      </c>
      <c r="G297" s="1055">
        <f t="shared" si="114"/>
        <v>0</v>
      </c>
      <c r="H297" s="1055">
        <f t="shared" si="114"/>
        <v>0</v>
      </c>
      <c r="I297" s="1055">
        <f t="shared" si="114"/>
        <v>0</v>
      </c>
      <c r="J297" s="1044">
        <f t="shared" si="115"/>
        <v>0</v>
      </c>
      <c r="O297" s="384"/>
      <c r="P297" s="385"/>
      <c r="Q297" s="386"/>
      <c r="R297" s="386"/>
      <c r="S297" s="386"/>
      <c r="T297" s="386"/>
      <c r="U297" s="377"/>
      <c r="V297" s="377"/>
    </row>
    <row r="298" spans="1:22" ht="15.75" hidden="1" outlineLevel="2" x14ac:dyDescent="0.25">
      <c r="A298" s="377"/>
      <c r="B298" s="1051" t="s">
        <v>156</v>
      </c>
      <c r="C298" s="1051"/>
      <c r="D298" s="1051"/>
      <c r="E298" s="1078">
        <f>SUM(E292:E297)</f>
        <v>0</v>
      </c>
      <c r="F298" s="1078">
        <f t="shared" ref="F298" si="117">SUM(F292:F297)</f>
        <v>0</v>
      </c>
      <c r="G298" s="1078">
        <f t="shared" ref="G298" si="118">SUM(G292:G297)</f>
        <v>0</v>
      </c>
      <c r="H298" s="1078">
        <f t="shared" ref="H298" si="119">SUM(H292:H297)</f>
        <v>0</v>
      </c>
      <c r="I298" s="1078">
        <f t="shared" ref="I298" si="120">SUM(I292:I297)</f>
        <v>0</v>
      </c>
      <c r="J298" s="1078">
        <f t="shared" si="115"/>
        <v>0</v>
      </c>
      <c r="O298" s="384"/>
      <c r="P298" s="385"/>
      <c r="Q298" s="386"/>
      <c r="R298" s="386"/>
      <c r="S298" s="386"/>
      <c r="T298" s="386"/>
      <c r="U298" s="377"/>
      <c r="V298" s="377"/>
    </row>
    <row r="299" spans="1:22" ht="15.75" hidden="1" outlineLevel="2" x14ac:dyDescent="0.25">
      <c r="A299" s="377"/>
      <c r="O299" s="384"/>
      <c r="P299" s="385"/>
      <c r="Q299" s="386"/>
      <c r="R299" s="386"/>
      <c r="S299" s="386"/>
      <c r="T299" s="386"/>
      <c r="U299" s="377"/>
      <c r="V299" s="377"/>
    </row>
    <row r="300" spans="1:22" ht="15.75" hidden="1" outlineLevel="2" x14ac:dyDescent="0.25">
      <c r="A300" s="377"/>
      <c r="B300" s="1051" t="s">
        <v>1256</v>
      </c>
      <c r="C300" s="1051"/>
      <c r="D300" s="1051"/>
      <c r="E300" s="1078">
        <f>+E288+E298</f>
        <v>0</v>
      </c>
      <c r="F300" s="1078">
        <f t="shared" ref="F300:I300" si="121">+F288+F298</f>
        <v>223115.36570793387</v>
      </c>
      <c r="G300" s="1078">
        <f t="shared" si="121"/>
        <v>43036.799999999996</v>
      </c>
      <c r="H300" s="1078">
        <f t="shared" si="121"/>
        <v>8069.4</v>
      </c>
      <c r="I300" s="1078">
        <f t="shared" si="121"/>
        <v>1075.92</v>
      </c>
      <c r="J300" s="1080">
        <f>SUM(E300:I300)</f>
        <v>275297.4857079339</v>
      </c>
      <c r="O300" s="384"/>
      <c r="P300" s="385"/>
      <c r="Q300" s="386"/>
      <c r="R300" s="386"/>
      <c r="S300" s="386"/>
      <c r="T300" s="386"/>
      <c r="U300" s="377"/>
      <c r="V300" s="377"/>
    </row>
    <row r="301" spans="1:22" ht="15.75" hidden="1" outlineLevel="2" x14ac:dyDescent="0.25">
      <c r="A301" s="377"/>
      <c r="O301" s="384"/>
      <c r="P301" s="385"/>
      <c r="Q301" s="386"/>
      <c r="R301" s="386"/>
      <c r="S301" s="386"/>
      <c r="T301" s="386"/>
      <c r="U301" s="377"/>
      <c r="V301" s="377"/>
    </row>
    <row r="302" spans="1:22" ht="15.75" hidden="1" outlineLevel="2" x14ac:dyDescent="0.25">
      <c r="A302" s="377"/>
      <c r="O302" s="384"/>
      <c r="P302" s="385"/>
      <c r="Q302" s="386"/>
      <c r="R302" s="386"/>
      <c r="S302" s="386"/>
      <c r="T302" s="386"/>
      <c r="U302" s="377"/>
      <c r="V302" s="377"/>
    </row>
    <row r="303" spans="1:22" ht="15.75" hidden="1" outlineLevel="2" x14ac:dyDescent="0.25">
      <c r="A303" s="377"/>
      <c r="O303" s="377"/>
      <c r="P303" s="387"/>
      <c r="Q303" s="377"/>
      <c r="R303" s="377"/>
      <c r="S303" s="377"/>
      <c r="T303" s="377"/>
      <c r="U303" s="377"/>
      <c r="V303" s="377"/>
    </row>
    <row r="304" spans="1:22" ht="15.75" hidden="1" outlineLevel="2" x14ac:dyDescent="0.25">
      <c r="A304" s="377"/>
      <c r="B304" s="1067" t="s">
        <v>491</v>
      </c>
      <c r="C304" s="1067"/>
      <c r="D304" s="1067"/>
      <c r="E304" s="1068"/>
      <c r="F304" s="1068"/>
      <c r="G304" s="1068"/>
      <c r="H304" s="1068"/>
      <c r="I304" s="1068"/>
      <c r="J304" s="1068"/>
      <c r="O304" s="377"/>
      <c r="P304" s="387"/>
      <c r="Q304" s="377"/>
      <c r="R304" s="377"/>
      <c r="S304" s="377"/>
      <c r="T304" s="377"/>
      <c r="U304" s="377"/>
      <c r="V304" s="377"/>
    </row>
    <row r="305" spans="1:22" ht="15.75" hidden="1" outlineLevel="2" x14ac:dyDescent="0.25">
      <c r="A305" s="377"/>
      <c r="B305" s="1062" t="s">
        <v>1230</v>
      </c>
      <c r="C305" s="1062"/>
      <c r="D305" s="1062"/>
      <c r="E305" s="1016"/>
      <c r="F305" s="1016"/>
      <c r="G305" s="1062"/>
      <c r="H305" s="1016"/>
      <c r="I305" s="1016"/>
      <c r="J305" s="1063"/>
      <c r="O305" s="377"/>
      <c r="P305" s="387"/>
      <c r="Q305" s="377"/>
      <c r="R305" s="377"/>
      <c r="S305" s="377"/>
      <c r="T305" s="377"/>
      <c r="U305" s="377"/>
      <c r="V305" s="377"/>
    </row>
    <row r="306" spans="1:22" ht="15.75" hidden="1" outlineLevel="2" x14ac:dyDescent="0.25">
      <c r="A306" s="377"/>
      <c r="B306" s="1004"/>
      <c r="C306" s="1004"/>
      <c r="D306" s="1004"/>
      <c r="E306" s="1004" t="s">
        <v>1252</v>
      </c>
      <c r="F306" s="404"/>
      <c r="G306" s="1004"/>
      <c r="H306" s="404"/>
      <c r="I306" s="404"/>
      <c r="J306" s="1058"/>
      <c r="O306" s="377"/>
      <c r="P306" s="387"/>
      <c r="Q306" s="377"/>
      <c r="R306" s="377"/>
      <c r="S306" s="377"/>
      <c r="T306" s="377"/>
      <c r="U306" s="377"/>
      <c r="V306" s="377"/>
    </row>
    <row r="307" spans="1:22" ht="15.75" hidden="1" outlineLevel="2" x14ac:dyDescent="0.25">
      <c r="A307" s="377"/>
      <c r="B307" s="1007"/>
      <c r="C307" s="1007"/>
      <c r="D307" s="1007"/>
      <c r="E307" s="1007" t="s">
        <v>672</v>
      </c>
      <c r="F307" s="1007" t="s">
        <v>1220</v>
      </c>
      <c r="G307" s="1007" t="s">
        <v>1221</v>
      </c>
      <c r="H307" s="1007" t="s">
        <v>1210</v>
      </c>
      <c r="I307" s="1007" t="s">
        <v>1222</v>
      </c>
      <c r="J307" s="1007" t="s">
        <v>156</v>
      </c>
      <c r="O307" s="377"/>
      <c r="P307" s="387"/>
      <c r="Q307" s="377"/>
      <c r="R307" s="377"/>
      <c r="S307" s="377"/>
      <c r="T307" s="377"/>
      <c r="U307" s="377"/>
      <c r="V307" s="377"/>
    </row>
    <row r="308" spans="1:22" ht="15.75" hidden="1" outlineLevel="2" x14ac:dyDescent="0.25">
      <c r="A308" s="377">
        <v>1</v>
      </c>
      <c r="B308" t="str">
        <f>+B$67</f>
        <v xml:space="preserve">Carson City </v>
      </c>
      <c r="C308" s="496"/>
      <c r="D308" s="496">
        <f>E217</f>
        <v>0</v>
      </c>
      <c r="E308" s="1075">
        <f>+E321+E331</f>
        <v>0</v>
      </c>
      <c r="F308" s="1075">
        <f t="shared" ref="F308:I308" si="122">+F321+F331</f>
        <v>0</v>
      </c>
      <c r="G308" s="1075">
        <f t="shared" si="122"/>
        <v>0</v>
      </c>
      <c r="H308" s="1075">
        <f t="shared" si="122"/>
        <v>0</v>
      </c>
      <c r="I308" s="1075">
        <f t="shared" si="122"/>
        <v>0</v>
      </c>
      <c r="J308" s="1073">
        <f t="shared" ref="J308:J315" si="123">SUM(E308:I308)</f>
        <v>0</v>
      </c>
      <c r="O308" s="377"/>
      <c r="P308" s="387"/>
      <c r="Q308" s="377"/>
      <c r="R308" s="377"/>
      <c r="S308" s="377"/>
      <c r="T308" s="377"/>
      <c r="U308" s="377"/>
      <c r="V308" s="377"/>
    </row>
    <row r="309" spans="1:22" ht="15.75" hidden="1" outlineLevel="2" x14ac:dyDescent="0.25">
      <c r="A309" s="377">
        <f>1+A308</f>
        <v>2</v>
      </c>
      <c r="B309" t="str">
        <f>+$B$68</f>
        <v>Churchill</v>
      </c>
      <c r="C309" s="5"/>
      <c r="D309" s="5">
        <f t="shared" ref="D309:D313" si="124">E218</f>
        <v>0</v>
      </c>
      <c r="E309" s="1039">
        <f t="shared" ref="E309:I309" si="125">+E322+E332</f>
        <v>0</v>
      </c>
      <c r="F309" s="1039">
        <f t="shared" si="125"/>
        <v>0</v>
      </c>
      <c r="G309" s="1039">
        <f t="shared" si="125"/>
        <v>0</v>
      </c>
      <c r="H309" s="1039">
        <f t="shared" si="125"/>
        <v>0</v>
      </c>
      <c r="I309" s="1039">
        <f t="shared" si="125"/>
        <v>0</v>
      </c>
      <c r="J309" s="1039">
        <f t="shared" si="123"/>
        <v>0</v>
      </c>
      <c r="O309" s="377"/>
      <c r="P309" s="387"/>
      <c r="Q309" s="377"/>
      <c r="R309" s="377"/>
      <c r="S309" s="377"/>
      <c r="T309" s="377"/>
      <c r="U309" s="377"/>
      <c r="V309" s="377"/>
    </row>
    <row r="310" spans="1:22" ht="15.75" hidden="1" outlineLevel="2" x14ac:dyDescent="0.25">
      <c r="A310" s="377">
        <f t="shared" ref="A310:A313" si="126">1+A309</f>
        <v>3</v>
      </c>
      <c r="B310" t="str">
        <f>+$B$69</f>
        <v>Clark</v>
      </c>
      <c r="C310" s="5"/>
      <c r="D310" s="5" t="str">
        <f t="shared" si="124"/>
        <v>General</v>
      </c>
      <c r="E310" s="1039" t="e">
        <f t="shared" ref="E310:I310" si="127">+E323+E333</f>
        <v>#VALUE!</v>
      </c>
      <c r="F310" s="1039" t="e">
        <f t="shared" si="127"/>
        <v>#VALUE!</v>
      </c>
      <c r="G310" s="1039" t="e">
        <f t="shared" si="127"/>
        <v>#VALUE!</v>
      </c>
      <c r="H310" s="1039" t="e">
        <f t="shared" si="127"/>
        <v>#VALUE!</v>
      </c>
      <c r="I310" s="1039" t="e">
        <f t="shared" si="127"/>
        <v>#VALUE!</v>
      </c>
      <c r="J310" s="1039" t="e">
        <f t="shared" si="123"/>
        <v>#VALUE!</v>
      </c>
      <c r="O310" s="377"/>
      <c r="P310" s="387"/>
      <c r="Q310" s="377"/>
      <c r="R310" s="377"/>
      <c r="S310" s="377"/>
      <c r="T310" s="377"/>
      <c r="U310" s="377"/>
      <c r="V310" s="377"/>
    </row>
    <row r="311" spans="1:22" ht="15.75" hidden="1" outlineLevel="2" x14ac:dyDescent="0.25">
      <c r="A311" s="377">
        <f t="shared" si="126"/>
        <v>4</v>
      </c>
      <c r="B311" t="str">
        <f>+$B$70</f>
        <v>Elko</v>
      </c>
      <c r="C311" s="5"/>
      <c r="D311" s="5">
        <f t="shared" si="124"/>
        <v>100</v>
      </c>
      <c r="E311" s="1039">
        <f>+E324+E334</f>
        <v>797433.33333333326</v>
      </c>
      <c r="F311" s="1039">
        <f t="shared" ref="F311:I311" si="128">+F324+F334</f>
        <v>3907771.4722998859</v>
      </c>
      <c r="G311" s="1039">
        <f t="shared" si="128"/>
        <v>1425172.8533333335</v>
      </c>
      <c r="H311" s="1039">
        <f t="shared" si="128"/>
        <v>824705.55333333334</v>
      </c>
      <c r="I311" s="1039">
        <f t="shared" si="128"/>
        <v>962023.57333333336</v>
      </c>
      <c r="J311" s="1039">
        <f t="shared" si="123"/>
        <v>7917106.7856332194</v>
      </c>
      <c r="O311" s="377"/>
      <c r="P311" s="387"/>
      <c r="Q311" s="377"/>
      <c r="R311" s="377"/>
      <c r="S311" s="377"/>
      <c r="T311" s="377"/>
      <c r="U311" s="377"/>
      <c r="V311" s="377"/>
    </row>
    <row r="312" spans="1:22" ht="15.75" hidden="1" outlineLevel="2" x14ac:dyDescent="0.25">
      <c r="A312" s="377">
        <f t="shared" si="126"/>
        <v>5</v>
      </c>
      <c r="B312" t="str">
        <f>+$B$72</f>
        <v>Washoe</v>
      </c>
      <c r="C312" s="5"/>
      <c r="D312" s="5">
        <f t="shared" si="124"/>
        <v>0</v>
      </c>
      <c r="E312" s="1050">
        <f t="shared" ref="E312:I312" si="129">+E325+E335</f>
        <v>0</v>
      </c>
      <c r="F312" s="1050">
        <f t="shared" si="129"/>
        <v>0</v>
      </c>
      <c r="G312" s="1050">
        <f t="shared" si="129"/>
        <v>0</v>
      </c>
      <c r="H312" s="1050">
        <f t="shared" si="129"/>
        <v>0</v>
      </c>
      <c r="I312" s="1050">
        <f t="shared" si="129"/>
        <v>0</v>
      </c>
      <c r="J312" s="1039">
        <f t="shared" si="123"/>
        <v>0</v>
      </c>
      <c r="O312" s="377"/>
      <c r="P312" s="387"/>
      <c r="Q312" s="377"/>
      <c r="R312" s="377"/>
      <c r="S312" s="377"/>
      <c r="T312" s="377"/>
      <c r="U312" s="377"/>
      <c r="V312" s="377"/>
    </row>
    <row r="313" spans="1:22" ht="15.75" hidden="1" outlineLevel="2" x14ac:dyDescent="0.25">
      <c r="A313" s="377">
        <f t="shared" si="126"/>
        <v>6</v>
      </c>
      <c r="B313" t="str">
        <f>+$B$73</f>
        <v>White Pine</v>
      </c>
      <c r="C313" s="5"/>
      <c r="D313" s="5">
        <f t="shared" si="124"/>
        <v>0</v>
      </c>
      <c r="E313" s="1050" t="e">
        <f t="shared" ref="E313:I313" si="130">+E326+E336</f>
        <v>#VALUE!</v>
      </c>
      <c r="F313" s="1050">
        <f t="shared" si="130"/>
        <v>0</v>
      </c>
      <c r="G313" s="1050">
        <f t="shared" si="130"/>
        <v>0</v>
      </c>
      <c r="H313" s="1050">
        <f t="shared" si="130"/>
        <v>0</v>
      </c>
      <c r="I313" s="1050">
        <f t="shared" si="130"/>
        <v>0</v>
      </c>
      <c r="J313" s="1050" t="e">
        <f t="shared" si="123"/>
        <v>#VALUE!</v>
      </c>
      <c r="O313" s="377"/>
      <c r="P313" s="387"/>
      <c r="Q313" s="377"/>
      <c r="R313" s="377"/>
      <c r="S313" s="377"/>
      <c r="T313" s="377"/>
      <c r="U313" s="377"/>
      <c r="V313" s="377"/>
    </row>
    <row r="314" spans="1:22" ht="15.75" hidden="1" outlineLevel="2" x14ac:dyDescent="0.25">
      <c r="A314" s="377"/>
      <c r="B314" s="1051" t="s">
        <v>587</v>
      </c>
      <c r="C314" s="1051"/>
      <c r="D314" s="1051"/>
      <c r="E314" s="1074" t="e">
        <f>SUM(E308:E313)</f>
        <v>#VALUE!</v>
      </c>
      <c r="F314" s="1074" t="e">
        <f>SUM(F308:F313)</f>
        <v>#VALUE!</v>
      </c>
      <c r="G314" s="1074" t="e">
        <f t="shared" ref="G314" si="131">SUM(G308:G313)</f>
        <v>#VALUE!</v>
      </c>
      <c r="H314" s="1074" t="e">
        <f t="shared" ref="H314" si="132">SUM(H308:H313)</f>
        <v>#VALUE!</v>
      </c>
      <c r="I314" s="1074" t="e">
        <f t="shared" ref="I314" si="133">SUM(I308:I313)</f>
        <v>#VALUE!</v>
      </c>
      <c r="J314" s="1076" t="e">
        <f t="shared" si="123"/>
        <v>#VALUE!</v>
      </c>
      <c r="O314" s="377"/>
      <c r="P314" s="387"/>
      <c r="Q314" s="377"/>
      <c r="R314" s="377"/>
      <c r="S314" s="377"/>
      <c r="T314" s="377"/>
      <c r="U314" s="377"/>
      <c r="V314" s="377"/>
    </row>
    <row r="315" spans="1:22" ht="15.75" hidden="1" outlineLevel="2" x14ac:dyDescent="0.25">
      <c r="A315" s="377"/>
      <c r="B315" s="1" t="s">
        <v>584</v>
      </c>
      <c r="E315" s="1044" t="str">
        <f>+E245</f>
        <v>General</v>
      </c>
      <c r="F315" s="1044" t="str">
        <f t="shared" ref="F315:I315" si="134">+F245</f>
        <v>SpEd</v>
      </c>
      <c r="G315" s="1044" t="str">
        <f t="shared" si="134"/>
        <v>EL</v>
      </c>
      <c r="H315" s="1044" t="str">
        <f t="shared" si="134"/>
        <v>AR</v>
      </c>
      <c r="I315" s="1044" t="str">
        <f t="shared" si="134"/>
        <v>G&amp;T</v>
      </c>
      <c r="J315" s="1044">
        <f t="shared" si="123"/>
        <v>0</v>
      </c>
      <c r="O315" s="377"/>
      <c r="P315" s="387"/>
      <c r="Q315" s="377"/>
      <c r="R315" s="377"/>
      <c r="S315" s="377"/>
      <c r="T315" s="377"/>
      <c r="U315" s="377"/>
      <c r="V315" s="377"/>
    </row>
    <row r="316" spans="1:22" ht="15.75" hidden="1" outlineLevel="2" x14ac:dyDescent="0.25">
      <c r="A316" s="377"/>
      <c r="B316" s="1051" t="s">
        <v>1259</v>
      </c>
      <c r="C316" s="1061"/>
      <c r="D316" s="1061"/>
      <c r="E316" s="1078" t="e">
        <f t="shared" ref="E316" si="135">+E314/E315</f>
        <v>#VALUE!</v>
      </c>
      <c r="F316" s="1078" t="e">
        <f t="shared" ref="F316" si="136">+F314/F315</f>
        <v>#VALUE!</v>
      </c>
      <c r="G316" s="1078" t="e">
        <f t="shared" ref="G316" si="137">+G314/G315</f>
        <v>#VALUE!</v>
      </c>
      <c r="H316" s="1078" t="e">
        <f t="shared" ref="H316" si="138">+H314/H315</f>
        <v>#VALUE!</v>
      </c>
      <c r="I316" s="1078" t="e">
        <f t="shared" ref="I316" si="139">+I314/I315</f>
        <v>#VALUE!</v>
      </c>
      <c r="J316" s="1078" t="e">
        <f>+J314/J315</f>
        <v>#VALUE!</v>
      </c>
      <c r="O316" s="377"/>
      <c r="P316" s="387"/>
      <c r="Q316" s="377"/>
      <c r="R316" s="377"/>
      <c r="S316" s="377"/>
      <c r="T316" s="377"/>
      <c r="U316" s="377"/>
      <c r="V316" s="377"/>
    </row>
    <row r="317" spans="1:22" ht="15.75" hidden="1" outlineLevel="2" x14ac:dyDescent="0.25">
      <c r="A317" s="377"/>
      <c r="B317" s="1"/>
      <c r="J317" s="1044"/>
      <c r="O317" s="377"/>
      <c r="P317" s="387"/>
      <c r="Q317" s="377"/>
      <c r="R317" s="377"/>
      <c r="S317" s="377"/>
      <c r="T317" s="377"/>
      <c r="U317" s="377"/>
      <c r="V317" s="377"/>
    </row>
    <row r="318" spans="1:22" ht="15.75" hidden="1" outlineLevel="2" x14ac:dyDescent="0.25">
      <c r="A318" s="377"/>
      <c r="E318" s="1004" t="s">
        <v>1260</v>
      </c>
      <c r="F318" s="404"/>
      <c r="G318" s="1004"/>
      <c r="H318" s="1004"/>
      <c r="I318" s="1004"/>
      <c r="J318" s="404"/>
      <c r="O318" s="377"/>
      <c r="P318" s="387"/>
      <c r="Q318" s="377"/>
      <c r="R318" s="377"/>
      <c r="S318" s="377"/>
      <c r="T318" s="377"/>
      <c r="U318" s="377"/>
      <c r="V318" s="377"/>
    </row>
    <row r="319" spans="1:22" ht="15.75" hidden="1" outlineLevel="2" x14ac:dyDescent="0.25">
      <c r="A319" s="377"/>
      <c r="E319" s="1007" t="s">
        <v>672</v>
      </c>
      <c r="F319" s="1007" t="s">
        <v>1220</v>
      </c>
      <c r="G319" s="1007" t="s">
        <v>1221</v>
      </c>
      <c r="H319" s="1007" t="s">
        <v>1210</v>
      </c>
      <c r="I319" s="1007" t="s">
        <v>1222</v>
      </c>
      <c r="J319" s="1040"/>
      <c r="O319" s="377"/>
      <c r="P319" s="387"/>
      <c r="Q319" s="377"/>
      <c r="R319" s="377"/>
      <c r="S319" s="377"/>
      <c r="T319" s="377"/>
      <c r="U319" s="377"/>
      <c r="V319" s="377"/>
    </row>
    <row r="320" spans="1:22" ht="15.75" hidden="1" outlineLevel="2" x14ac:dyDescent="0.25">
      <c r="A320" s="377"/>
      <c r="B320" s="1007" t="s">
        <v>1254</v>
      </c>
      <c r="C320" s="1007"/>
      <c r="D320" s="1007"/>
      <c r="E320" s="1084">
        <v>0</v>
      </c>
      <c r="F320" s="1083">
        <f>+F249</f>
        <v>11021.2</v>
      </c>
      <c r="G320" s="1083">
        <f t="shared" ref="G320:I320" si="140">+G249</f>
        <v>3454.56</v>
      </c>
      <c r="H320" s="1083">
        <f t="shared" si="140"/>
        <v>647.73</v>
      </c>
      <c r="I320" s="1083">
        <f t="shared" si="140"/>
        <v>863.64</v>
      </c>
      <c r="J320" s="1007" t="s">
        <v>156</v>
      </c>
      <c r="O320" s="377"/>
      <c r="P320" s="387"/>
      <c r="Q320" s="377"/>
      <c r="R320" s="377"/>
      <c r="S320" s="377"/>
      <c r="T320" s="377"/>
      <c r="U320" s="377"/>
      <c r="V320" s="377"/>
    </row>
    <row r="321" spans="1:22" ht="15.75" hidden="1" outlineLevel="2" x14ac:dyDescent="0.25">
      <c r="A321" s="377">
        <v>1</v>
      </c>
      <c r="B321" t="str">
        <f>+B$67</f>
        <v xml:space="preserve">Carson City </v>
      </c>
      <c r="C321" s="496"/>
      <c r="D321" s="496">
        <f>E217</f>
        <v>0</v>
      </c>
      <c r="E321" s="1042"/>
      <c r="F321" s="1069">
        <f t="shared" ref="F321:I326" si="141">F$246*F250*$D321</f>
        <v>0</v>
      </c>
      <c r="G321" s="1069">
        <f t="shared" si="141"/>
        <v>0</v>
      </c>
      <c r="H321" s="1069">
        <f t="shared" si="141"/>
        <v>0</v>
      </c>
      <c r="I321" s="1069">
        <f t="shared" si="141"/>
        <v>0</v>
      </c>
      <c r="J321" s="1073">
        <f t="shared" ref="J321:J327" si="142">SUM(E321:I321)</f>
        <v>0</v>
      </c>
      <c r="O321" s="377"/>
      <c r="P321" s="387"/>
      <c r="Q321" s="377"/>
      <c r="R321" s="377"/>
      <c r="S321" s="377"/>
      <c r="T321" s="377"/>
      <c r="U321" s="377"/>
      <c r="V321" s="377"/>
    </row>
    <row r="322" spans="1:22" ht="15.75" hidden="1" outlineLevel="2" x14ac:dyDescent="0.25">
      <c r="A322" s="377">
        <f>1+A321</f>
        <v>2</v>
      </c>
      <c r="B322" t="str">
        <f>+$B$68</f>
        <v>Churchill</v>
      </c>
      <c r="C322" s="5"/>
      <c r="D322" s="5">
        <f t="shared" ref="D322:D326" si="143">E218</f>
        <v>0</v>
      </c>
      <c r="E322" s="1042"/>
      <c r="F322" s="1070">
        <f t="shared" si="141"/>
        <v>0</v>
      </c>
      <c r="G322" s="1070">
        <f t="shared" si="141"/>
        <v>0</v>
      </c>
      <c r="H322" s="1070">
        <f t="shared" si="141"/>
        <v>0</v>
      </c>
      <c r="I322" s="1070">
        <f t="shared" si="141"/>
        <v>0</v>
      </c>
      <c r="J322" s="1039">
        <f t="shared" si="142"/>
        <v>0</v>
      </c>
      <c r="O322" s="377"/>
      <c r="P322" s="387"/>
      <c r="Q322" s="377"/>
      <c r="R322" s="377"/>
      <c r="S322" s="377"/>
      <c r="T322" s="377"/>
      <c r="U322" s="377"/>
      <c r="V322" s="377"/>
    </row>
    <row r="323" spans="1:22" ht="15.75" hidden="1" outlineLevel="2" x14ac:dyDescent="0.25">
      <c r="A323" s="377">
        <f t="shared" ref="A323:A326" si="144">1+A322</f>
        <v>3</v>
      </c>
      <c r="B323" t="str">
        <f>+$B$69</f>
        <v>Clark</v>
      </c>
      <c r="C323" s="5"/>
      <c r="D323" s="5" t="str">
        <f t="shared" si="143"/>
        <v>General</v>
      </c>
      <c r="E323" s="1042"/>
      <c r="F323" s="1070" t="e">
        <f t="shared" si="141"/>
        <v>#VALUE!</v>
      </c>
      <c r="G323" s="1070" t="e">
        <f t="shared" si="141"/>
        <v>#VALUE!</v>
      </c>
      <c r="H323" s="1070" t="e">
        <f t="shared" si="141"/>
        <v>#VALUE!</v>
      </c>
      <c r="I323" s="1070" t="e">
        <f t="shared" si="141"/>
        <v>#VALUE!</v>
      </c>
      <c r="J323" s="1039" t="e">
        <f t="shared" si="142"/>
        <v>#VALUE!</v>
      </c>
      <c r="O323" s="377"/>
      <c r="P323" s="387"/>
      <c r="Q323" s="377"/>
      <c r="R323" s="377"/>
      <c r="S323" s="377"/>
      <c r="T323" s="377"/>
      <c r="U323" s="377"/>
      <c r="V323" s="377"/>
    </row>
    <row r="324" spans="1:22" ht="15.75" hidden="1" outlineLevel="2" x14ac:dyDescent="0.25">
      <c r="A324" s="377">
        <f t="shared" si="144"/>
        <v>4</v>
      </c>
      <c r="B324" t="str">
        <f>+$B$70</f>
        <v>Elko</v>
      </c>
      <c r="C324" s="5"/>
      <c r="D324" s="5">
        <f t="shared" si="143"/>
        <v>100</v>
      </c>
      <c r="E324" s="1042"/>
      <c r="F324" s="1070">
        <f t="shared" si="141"/>
        <v>2805048.7040168052</v>
      </c>
      <c r="G324" s="1070">
        <f t="shared" si="141"/>
        <v>551185.92000000004</v>
      </c>
      <c r="H324" s="1070">
        <f t="shared" si="141"/>
        <v>12918.419999999998</v>
      </c>
      <c r="I324" s="1070">
        <f t="shared" si="141"/>
        <v>68898.240000000005</v>
      </c>
      <c r="J324" s="1039">
        <f t="shared" si="142"/>
        <v>3438051.2840168052</v>
      </c>
      <c r="O324" s="377"/>
      <c r="P324" s="387"/>
      <c r="Q324" s="377"/>
      <c r="R324" s="377"/>
      <c r="S324" s="377"/>
      <c r="T324" s="377"/>
      <c r="U324" s="377"/>
      <c r="V324" s="377"/>
    </row>
    <row r="325" spans="1:22" ht="15.75" hidden="1" outlineLevel="2" x14ac:dyDescent="0.25">
      <c r="A325" s="377">
        <f t="shared" si="144"/>
        <v>5</v>
      </c>
      <c r="B325" t="str">
        <f>+$B$72</f>
        <v>Washoe</v>
      </c>
      <c r="C325" s="5"/>
      <c r="D325" s="5">
        <f t="shared" si="143"/>
        <v>0</v>
      </c>
      <c r="E325" s="1042"/>
      <c r="F325" s="1070">
        <f t="shared" si="141"/>
        <v>0</v>
      </c>
      <c r="G325" s="1070">
        <f t="shared" si="141"/>
        <v>0</v>
      </c>
      <c r="H325" s="1070">
        <f t="shared" si="141"/>
        <v>0</v>
      </c>
      <c r="I325" s="1070">
        <f t="shared" si="141"/>
        <v>0</v>
      </c>
      <c r="J325" s="1039">
        <f t="shared" si="142"/>
        <v>0</v>
      </c>
      <c r="O325" s="377"/>
      <c r="P325" s="387"/>
      <c r="Q325" s="377"/>
      <c r="R325" s="377"/>
      <c r="S325" s="377"/>
      <c r="T325" s="377"/>
      <c r="U325" s="377"/>
      <c r="V325" s="377"/>
    </row>
    <row r="326" spans="1:22" ht="15.75" hidden="1" outlineLevel="2" x14ac:dyDescent="0.25">
      <c r="A326" s="377">
        <f t="shared" si="144"/>
        <v>6</v>
      </c>
      <c r="B326" t="str">
        <f>+$B$73</f>
        <v>White Pine</v>
      </c>
      <c r="C326" s="5"/>
      <c r="D326" s="5">
        <f t="shared" si="143"/>
        <v>0</v>
      </c>
      <c r="E326" s="1042"/>
      <c r="F326" s="1071">
        <f t="shared" si="141"/>
        <v>0</v>
      </c>
      <c r="G326" s="1071">
        <f t="shared" si="141"/>
        <v>0</v>
      </c>
      <c r="H326" s="1071">
        <f t="shared" si="141"/>
        <v>0</v>
      </c>
      <c r="I326" s="1071">
        <f t="shared" si="141"/>
        <v>0</v>
      </c>
      <c r="J326" s="1050">
        <f t="shared" si="142"/>
        <v>0</v>
      </c>
      <c r="O326" s="377"/>
      <c r="P326" s="387"/>
      <c r="Q326" s="377"/>
      <c r="R326" s="377"/>
      <c r="S326" s="377"/>
      <c r="T326" s="377"/>
      <c r="U326" s="377"/>
      <c r="V326" s="377"/>
    </row>
    <row r="327" spans="1:22" ht="15.75" hidden="1" outlineLevel="2" x14ac:dyDescent="0.25">
      <c r="A327" s="377"/>
      <c r="B327" s="1051" t="s">
        <v>156</v>
      </c>
      <c r="C327" s="1051"/>
      <c r="D327" s="1051"/>
      <c r="E327" s="1079"/>
      <c r="F327" s="1078" t="e">
        <f t="shared" ref="F327" si="145">SUM(F321:F326)</f>
        <v>#VALUE!</v>
      </c>
      <c r="G327" s="1078" t="e">
        <f t="shared" ref="G327" si="146">SUM(G321:G326)</f>
        <v>#VALUE!</v>
      </c>
      <c r="H327" s="1078" t="e">
        <f t="shared" ref="H327" si="147">SUM(H321:H326)</f>
        <v>#VALUE!</v>
      </c>
      <c r="I327" s="1078" t="e">
        <f t="shared" ref="I327" si="148">SUM(I321:I326)</f>
        <v>#VALUE!</v>
      </c>
      <c r="J327" s="1074" t="e">
        <f t="shared" si="142"/>
        <v>#VALUE!</v>
      </c>
      <c r="O327" s="377"/>
      <c r="P327" s="387"/>
      <c r="Q327" s="377"/>
      <c r="R327" s="377"/>
      <c r="S327" s="377"/>
      <c r="T327" s="377"/>
      <c r="U327" s="377"/>
      <c r="V327" s="377"/>
    </row>
    <row r="328" spans="1:22" ht="15.75" hidden="1" outlineLevel="2" x14ac:dyDescent="0.25">
      <c r="A328" s="377"/>
      <c r="O328" s="377"/>
      <c r="P328" s="387"/>
      <c r="Q328" s="377"/>
      <c r="R328" s="377"/>
      <c r="S328" s="377"/>
      <c r="T328" s="377"/>
      <c r="U328" s="377"/>
      <c r="V328" s="377"/>
    </row>
    <row r="329" spans="1:22" ht="15.75" hidden="1" outlineLevel="2" x14ac:dyDescent="0.25">
      <c r="A329" s="377"/>
      <c r="E329" s="1004" t="s">
        <v>1261</v>
      </c>
      <c r="F329" s="1"/>
      <c r="G329" s="404"/>
      <c r="H329" s="404"/>
      <c r="I329" s="404"/>
      <c r="O329" s="377"/>
      <c r="P329" s="387"/>
      <c r="Q329" s="377"/>
      <c r="R329" s="377"/>
      <c r="S329" s="377"/>
      <c r="T329" s="377"/>
      <c r="U329" s="377"/>
      <c r="V329" s="377"/>
    </row>
    <row r="330" spans="1:22" ht="15.75" hidden="1" outlineLevel="2" x14ac:dyDescent="0.25">
      <c r="A330" s="377"/>
      <c r="E330" s="1007" t="s">
        <v>672</v>
      </c>
      <c r="F330" s="1052" t="s">
        <v>1220</v>
      </c>
      <c r="G330" s="1007" t="s">
        <v>1221</v>
      </c>
      <c r="H330" s="1007" t="s">
        <v>1210</v>
      </c>
      <c r="I330" s="1007" t="s">
        <v>1222</v>
      </c>
      <c r="J330" s="1052" t="s">
        <v>156</v>
      </c>
      <c r="O330" s="377"/>
      <c r="P330" s="387"/>
      <c r="Q330" s="377"/>
      <c r="R330" s="377"/>
      <c r="S330" s="377"/>
      <c r="T330" s="377"/>
      <c r="U330" s="377"/>
      <c r="V330" s="377"/>
    </row>
    <row r="331" spans="1:22" ht="15.75" hidden="1" outlineLevel="2" x14ac:dyDescent="0.25">
      <c r="A331" s="377">
        <v>1</v>
      </c>
      <c r="B331" t="str">
        <f>+B$67</f>
        <v xml:space="preserve">Carson City </v>
      </c>
      <c r="C331" s="496"/>
      <c r="D331" s="496">
        <f>E217</f>
        <v>0</v>
      </c>
      <c r="E331" s="1053">
        <f t="shared" ref="E331:I336" si="149">+$E217*E239</f>
        <v>0</v>
      </c>
      <c r="F331" s="1053">
        <f t="shared" si="149"/>
        <v>0</v>
      </c>
      <c r="G331" s="1053">
        <f t="shared" si="149"/>
        <v>0</v>
      </c>
      <c r="H331" s="1053">
        <f t="shared" si="149"/>
        <v>0</v>
      </c>
      <c r="I331" s="1053">
        <f t="shared" si="149"/>
        <v>0</v>
      </c>
      <c r="J331" s="1077">
        <f t="shared" ref="J331:J337" si="150">SUM(E331:I331)</f>
        <v>0</v>
      </c>
      <c r="O331" s="377"/>
      <c r="P331" s="387"/>
      <c r="Q331" s="377"/>
      <c r="R331" s="377"/>
      <c r="S331" s="377"/>
      <c r="T331" s="377"/>
      <c r="U331" s="377"/>
      <c r="V331" s="377"/>
    </row>
    <row r="332" spans="1:22" ht="15.75" hidden="1" outlineLevel="2" x14ac:dyDescent="0.25">
      <c r="A332" s="377">
        <f>1+A331</f>
        <v>2</v>
      </c>
      <c r="B332" t="str">
        <f>+$B$68</f>
        <v>Churchill</v>
      </c>
      <c r="C332" s="5"/>
      <c r="D332" s="5">
        <f t="shared" ref="D332:D336" si="151">E218</f>
        <v>0</v>
      </c>
      <c r="E332" s="1054">
        <f t="shared" si="149"/>
        <v>0</v>
      </c>
      <c r="F332" s="1054">
        <f t="shared" si="149"/>
        <v>0</v>
      </c>
      <c r="G332" s="1054">
        <f t="shared" si="149"/>
        <v>0</v>
      </c>
      <c r="H332" s="1054">
        <f t="shared" si="149"/>
        <v>0</v>
      </c>
      <c r="I332" s="1054">
        <f t="shared" si="149"/>
        <v>0</v>
      </c>
      <c r="J332" s="1044">
        <f t="shared" si="150"/>
        <v>0</v>
      </c>
      <c r="O332" s="377"/>
      <c r="P332" s="387"/>
      <c r="Q332" s="377"/>
      <c r="R332" s="377"/>
      <c r="S332" s="377"/>
      <c r="T332" s="377"/>
      <c r="U332" s="377"/>
      <c r="V332" s="377"/>
    </row>
    <row r="333" spans="1:22" ht="15.75" hidden="1" outlineLevel="2" x14ac:dyDescent="0.25">
      <c r="A333" s="377">
        <f t="shared" ref="A333:A336" si="152">1+A332</f>
        <v>3</v>
      </c>
      <c r="B333" t="str">
        <f>+$B$69</f>
        <v>Clark</v>
      </c>
      <c r="C333" s="5"/>
      <c r="D333" s="5" t="str">
        <f t="shared" si="151"/>
        <v>General</v>
      </c>
      <c r="E333" s="1054" t="e">
        <f t="shared" si="149"/>
        <v>#VALUE!</v>
      </c>
      <c r="F333" s="1054" t="e">
        <f t="shared" si="149"/>
        <v>#VALUE!</v>
      </c>
      <c r="G333" s="1054" t="e">
        <f t="shared" si="149"/>
        <v>#VALUE!</v>
      </c>
      <c r="H333" s="1054" t="e">
        <f t="shared" si="149"/>
        <v>#VALUE!</v>
      </c>
      <c r="I333" s="1054" t="e">
        <f t="shared" si="149"/>
        <v>#VALUE!</v>
      </c>
      <c r="J333" s="1044" t="e">
        <f t="shared" si="150"/>
        <v>#VALUE!</v>
      </c>
      <c r="O333" s="377"/>
      <c r="P333" s="387"/>
      <c r="Q333" s="377"/>
      <c r="R333" s="377"/>
      <c r="S333" s="377"/>
      <c r="T333" s="377"/>
      <c r="U333" s="377"/>
      <c r="V333" s="377"/>
    </row>
    <row r="334" spans="1:22" ht="15.75" hidden="1" outlineLevel="2" x14ac:dyDescent="0.25">
      <c r="A334" s="377">
        <f t="shared" si="152"/>
        <v>4</v>
      </c>
      <c r="B334" t="str">
        <f>+$B$70</f>
        <v>Elko</v>
      </c>
      <c r="C334" s="5"/>
      <c r="D334" s="5">
        <f t="shared" si="151"/>
        <v>100</v>
      </c>
      <c r="E334" s="1054">
        <f t="shared" si="149"/>
        <v>797433.33333333326</v>
      </c>
      <c r="F334" s="1054">
        <f t="shared" si="149"/>
        <v>1102722.7682830808</v>
      </c>
      <c r="G334" s="1054">
        <f t="shared" si="149"/>
        <v>873986.93333333335</v>
      </c>
      <c r="H334" s="1054">
        <f t="shared" si="149"/>
        <v>811787.1333333333</v>
      </c>
      <c r="I334" s="1054">
        <f t="shared" si="149"/>
        <v>893125.33333333337</v>
      </c>
      <c r="J334" s="1044">
        <f t="shared" si="150"/>
        <v>4479055.5016164137</v>
      </c>
      <c r="O334" s="377"/>
      <c r="P334" s="387"/>
      <c r="Q334" s="377"/>
      <c r="R334" s="377"/>
      <c r="S334" s="377"/>
      <c r="T334" s="377"/>
      <c r="U334" s="377"/>
      <c r="V334" s="377"/>
    </row>
    <row r="335" spans="1:22" ht="15.75" hidden="1" outlineLevel="2" x14ac:dyDescent="0.25">
      <c r="A335" s="377">
        <f t="shared" si="152"/>
        <v>5</v>
      </c>
      <c r="B335" t="str">
        <f>+$B$72</f>
        <v>Washoe</v>
      </c>
      <c r="C335" s="5"/>
      <c r="D335" s="5">
        <f t="shared" si="151"/>
        <v>0</v>
      </c>
      <c r="E335" s="1054">
        <f t="shared" si="149"/>
        <v>0</v>
      </c>
      <c r="F335" s="1054">
        <f t="shared" si="149"/>
        <v>0</v>
      </c>
      <c r="G335" s="1054">
        <f t="shared" si="149"/>
        <v>0</v>
      </c>
      <c r="H335" s="1054">
        <f t="shared" si="149"/>
        <v>0</v>
      </c>
      <c r="I335" s="1054">
        <f t="shared" si="149"/>
        <v>0</v>
      </c>
      <c r="J335" s="1044">
        <f t="shared" si="150"/>
        <v>0</v>
      </c>
      <c r="O335" s="377"/>
      <c r="P335" s="387"/>
      <c r="Q335" s="377"/>
      <c r="R335" s="377"/>
      <c r="S335" s="377"/>
      <c r="T335" s="377"/>
      <c r="U335" s="377"/>
      <c r="V335" s="377"/>
    </row>
    <row r="336" spans="1:22" ht="15.75" hidden="1" outlineLevel="2" x14ac:dyDescent="0.25">
      <c r="A336" s="377">
        <f t="shared" si="152"/>
        <v>6</v>
      </c>
      <c r="B336" t="str">
        <f>+$B$73</f>
        <v>White Pine</v>
      </c>
      <c r="C336" s="5"/>
      <c r="D336" s="5">
        <f t="shared" si="151"/>
        <v>0</v>
      </c>
      <c r="E336" s="1055" t="e">
        <f t="shared" si="149"/>
        <v>#VALUE!</v>
      </c>
      <c r="F336" s="1055">
        <f t="shared" si="149"/>
        <v>0</v>
      </c>
      <c r="G336" s="1055">
        <f t="shared" si="149"/>
        <v>0</v>
      </c>
      <c r="H336" s="1055">
        <f t="shared" si="149"/>
        <v>0</v>
      </c>
      <c r="I336" s="1055">
        <f t="shared" si="149"/>
        <v>0</v>
      </c>
      <c r="J336" s="1044" t="e">
        <f t="shared" si="150"/>
        <v>#VALUE!</v>
      </c>
      <c r="O336" s="377"/>
      <c r="P336" s="387"/>
      <c r="Q336" s="377"/>
      <c r="R336" s="377"/>
      <c r="S336" s="377"/>
      <c r="T336" s="377"/>
      <c r="U336" s="377"/>
      <c r="V336" s="377"/>
    </row>
    <row r="337" spans="1:22" ht="15.75" hidden="1" outlineLevel="2" x14ac:dyDescent="0.25">
      <c r="A337" s="377"/>
      <c r="B337" s="1051" t="s">
        <v>156</v>
      </c>
      <c r="C337" s="1051"/>
      <c r="D337" s="1051"/>
      <c r="E337" s="1078" t="e">
        <f>SUM(E331:E336)</f>
        <v>#VALUE!</v>
      </c>
      <c r="F337" s="1078" t="e">
        <f t="shared" ref="F337" si="153">SUM(F331:F336)</f>
        <v>#VALUE!</v>
      </c>
      <c r="G337" s="1078" t="e">
        <f t="shared" ref="G337" si="154">SUM(G331:G336)</f>
        <v>#VALUE!</v>
      </c>
      <c r="H337" s="1078" t="e">
        <f t="shared" ref="H337" si="155">SUM(H331:H336)</f>
        <v>#VALUE!</v>
      </c>
      <c r="I337" s="1078" t="e">
        <f t="shared" ref="I337" si="156">SUM(I331:I336)</f>
        <v>#VALUE!</v>
      </c>
      <c r="J337" s="1078" t="e">
        <f t="shared" si="150"/>
        <v>#VALUE!</v>
      </c>
      <c r="O337" s="377"/>
      <c r="P337" s="387"/>
      <c r="Q337" s="377"/>
      <c r="R337" s="377"/>
      <c r="S337" s="377"/>
      <c r="T337" s="377"/>
      <c r="U337" s="377"/>
      <c r="V337" s="377"/>
    </row>
    <row r="338" spans="1:22" ht="15.75" hidden="1" outlineLevel="2" x14ac:dyDescent="0.25">
      <c r="A338" s="377"/>
      <c r="O338" s="377"/>
      <c r="P338" s="387"/>
      <c r="Q338" s="377"/>
      <c r="R338" s="377"/>
      <c r="S338" s="377"/>
      <c r="T338" s="377"/>
      <c r="U338" s="377"/>
      <c r="V338" s="377"/>
    </row>
    <row r="339" spans="1:22" ht="15.75" hidden="1" outlineLevel="2" x14ac:dyDescent="0.25">
      <c r="A339" s="377"/>
      <c r="B339" s="1051" t="s">
        <v>1256</v>
      </c>
      <c r="C339" s="1051"/>
      <c r="D339" s="1051"/>
      <c r="E339" s="1078" t="e">
        <f>+E327+E337</f>
        <v>#VALUE!</v>
      </c>
      <c r="F339" s="1078" t="e">
        <f t="shared" ref="F339:I339" si="157">+F327+F337</f>
        <v>#VALUE!</v>
      </c>
      <c r="G339" s="1078" t="e">
        <f t="shared" si="157"/>
        <v>#VALUE!</v>
      </c>
      <c r="H339" s="1078" t="e">
        <f t="shared" si="157"/>
        <v>#VALUE!</v>
      </c>
      <c r="I339" s="1078" t="e">
        <f t="shared" si="157"/>
        <v>#VALUE!</v>
      </c>
      <c r="J339" s="1080" t="e">
        <f>SUM(E339:I339)</f>
        <v>#VALUE!</v>
      </c>
      <c r="O339" s="377"/>
      <c r="P339" s="387"/>
      <c r="Q339" s="377"/>
      <c r="R339" s="377"/>
      <c r="S339" s="377"/>
      <c r="T339" s="377"/>
      <c r="U339" s="377"/>
      <c r="V339" s="377"/>
    </row>
    <row r="340" spans="1:22" ht="15.75" hidden="1" outlineLevel="2" x14ac:dyDescent="0.25">
      <c r="A340" s="377"/>
      <c r="O340" s="377"/>
      <c r="P340" s="387"/>
      <c r="Q340" s="377"/>
      <c r="R340" s="377"/>
      <c r="S340" s="377"/>
      <c r="T340" s="377"/>
      <c r="U340" s="377"/>
      <c r="V340" s="377"/>
    </row>
    <row r="341" spans="1:22" ht="15.75" hidden="1" outlineLevel="2" x14ac:dyDescent="0.25">
      <c r="A341" s="377"/>
      <c r="O341" s="377"/>
      <c r="P341" s="387"/>
      <c r="Q341" s="377"/>
      <c r="R341" s="377"/>
      <c r="S341" s="377"/>
      <c r="T341" s="377"/>
      <c r="U341" s="377"/>
      <c r="V341" s="377"/>
    </row>
    <row r="342" spans="1:22" ht="15.75" hidden="1" outlineLevel="2" x14ac:dyDescent="0.25">
      <c r="A342" s="377"/>
      <c r="O342" s="377"/>
      <c r="P342" s="387"/>
      <c r="Q342" s="377"/>
      <c r="R342" s="377"/>
      <c r="S342" s="377"/>
      <c r="T342" s="377"/>
      <c r="U342" s="377"/>
      <c r="V342" s="377"/>
    </row>
    <row r="343" spans="1:22" ht="15.75" hidden="1" outlineLevel="1" collapsed="1" x14ac:dyDescent="0.25">
      <c r="A343" s="377"/>
      <c r="O343" s="377"/>
      <c r="P343" s="387"/>
      <c r="Q343" s="377"/>
      <c r="R343" s="377"/>
      <c r="S343" s="377"/>
      <c r="T343" s="377"/>
      <c r="U343" s="377"/>
      <c r="V343" s="377"/>
    </row>
    <row r="344" spans="1:22" ht="15.75" collapsed="1" x14ac:dyDescent="0.25">
      <c r="A344" s="377"/>
      <c r="K344" s="1037"/>
      <c r="L344" s="1037"/>
      <c r="M344" s="1037"/>
      <c r="N344" s="1602"/>
      <c r="O344" s="1603"/>
      <c r="P344" s="387"/>
      <c r="Q344" s="377"/>
      <c r="R344" s="377"/>
      <c r="S344" s="377"/>
      <c r="T344" s="377"/>
      <c r="U344" s="377"/>
      <c r="V344" s="377"/>
    </row>
    <row r="345" spans="1:22" ht="15.75" x14ac:dyDescent="0.25">
      <c r="A345" s="377"/>
      <c r="J345" s="1309"/>
      <c r="N345" s="496"/>
      <c r="O345" s="496"/>
      <c r="P345" s="387"/>
      <c r="Q345" s="377"/>
      <c r="R345" s="377"/>
      <c r="S345" s="377"/>
      <c r="T345" s="377"/>
      <c r="U345" s="377"/>
      <c r="V345" s="377"/>
    </row>
    <row r="346" spans="1:22" ht="15.75" x14ac:dyDescent="0.25">
      <c r="A346" s="377"/>
      <c r="J346" s="1309"/>
      <c r="N346" s="496"/>
      <c r="O346" s="496"/>
      <c r="P346" s="387"/>
      <c r="Q346" s="377"/>
      <c r="R346" s="377"/>
      <c r="S346" s="377"/>
      <c r="T346" s="377"/>
      <c r="U346" s="377"/>
      <c r="V346" s="377"/>
    </row>
    <row r="347" spans="1:22" ht="15.75" x14ac:dyDescent="0.25">
      <c r="A347" s="377"/>
      <c r="J347" s="1309"/>
      <c r="N347" s="496"/>
      <c r="O347" s="496"/>
      <c r="P347" s="387"/>
      <c r="Q347" s="377"/>
      <c r="R347" s="377"/>
      <c r="S347" s="377"/>
      <c r="T347" s="377"/>
      <c r="U347" s="377"/>
      <c r="V347" s="377"/>
    </row>
    <row r="348" spans="1:22" ht="15.75" x14ac:dyDescent="0.25">
      <c r="A348" s="377"/>
      <c r="J348" s="1309"/>
      <c r="N348" s="496"/>
      <c r="O348" s="496"/>
      <c r="P348" s="387"/>
      <c r="Q348" s="377"/>
      <c r="R348" s="377"/>
      <c r="S348" s="377"/>
      <c r="T348" s="377"/>
      <c r="U348" s="377"/>
      <c r="V348" s="377"/>
    </row>
    <row r="349" spans="1:22" ht="15.75" x14ac:dyDescent="0.25">
      <c r="A349" s="377"/>
      <c r="O349" s="377"/>
      <c r="P349" s="387"/>
      <c r="Q349" s="377"/>
      <c r="R349" s="377"/>
      <c r="S349" s="377"/>
      <c r="T349" s="377"/>
      <c r="U349" s="377"/>
      <c r="V349" s="377"/>
    </row>
    <row r="350" spans="1:22" ht="15.75" x14ac:dyDescent="0.25">
      <c r="A350" s="377"/>
      <c r="O350" s="377"/>
      <c r="P350" s="387"/>
      <c r="Q350" s="377"/>
      <c r="R350" s="377"/>
      <c r="S350" s="377"/>
      <c r="T350" s="377"/>
      <c r="U350" s="377"/>
      <c r="V350" s="377"/>
    </row>
    <row r="351" spans="1:22" ht="15.75" x14ac:dyDescent="0.25">
      <c r="A351" s="377"/>
      <c r="O351" s="377"/>
      <c r="P351" s="387"/>
      <c r="Q351" s="377"/>
      <c r="R351" s="377"/>
      <c r="S351" s="377"/>
      <c r="T351" s="377"/>
      <c r="U351" s="377"/>
      <c r="V351" s="377"/>
    </row>
    <row r="352" spans="1:22" ht="15.75" x14ac:dyDescent="0.25">
      <c r="A352" s="377"/>
      <c r="O352" s="377"/>
      <c r="P352" s="387"/>
      <c r="Q352" s="377"/>
      <c r="R352" s="377"/>
      <c r="S352" s="377"/>
      <c r="T352" s="377"/>
      <c r="U352" s="377"/>
      <c r="V352" s="377"/>
    </row>
    <row r="353" spans="1:22" ht="15.75" x14ac:dyDescent="0.25">
      <c r="A353" s="377"/>
      <c r="O353" s="377"/>
      <c r="P353" s="387"/>
      <c r="Q353" s="377"/>
      <c r="R353" s="377"/>
      <c r="S353" s="377"/>
      <c r="T353" s="377"/>
      <c r="U353" s="377"/>
      <c r="V353" s="377"/>
    </row>
    <row r="354" spans="1:22" ht="15.75" x14ac:dyDescent="0.25">
      <c r="A354" s="377"/>
      <c r="O354" s="377"/>
      <c r="P354" s="387"/>
      <c r="Q354" s="377"/>
      <c r="R354" s="377"/>
      <c r="S354" s="377"/>
      <c r="T354" s="377"/>
      <c r="U354" s="377"/>
      <c r="V354" s="377"/>
    </row>
    <row r="355" spans="1:22" ht="15.75" x14ac:dyDescent="0.25">
      <c r="A355" s="377"/>
      <c r="O355" s="377"/>
      <c r="P355" s="387"/>
      <c r="Q355" s="377"/>
      <c r="R355" s="377"/>
      <c r="S355" s="377"/>
      <c r="T355" s="377"/>
      <c r="U355" s="377"/>
      <c r="V355" s="377"/>
    </row>
    <row r="356" spans="1:22" ht="15.75" x14ac:dyDescent="0.25">
      <c r="A356" s="377"/>
      <c r="O356" s="377"/>
      <c r="P356" s="387"/>
      <c r="Q356" s="377"/>
      <c r="R356" s="377"/>
      <c r="S356" s="377"/>
      <c r="T356" s="377"/>
      <c r="U356" s="377"/>
      <c r="V356" s="377"/>
    </row>
    <row r="357" spans="1:22" ht="15.75" x14ac:dyDescent="0.25">
      <c r="A357" s="377"/>
      <c r="O357" s="377"/>
      <c r="P357" s="387"/>
      <c r="Q357" s="377"/>
      <c r="R357" s="377"/>
      <c r="S357" s="377"/>
      <c r="T357" s="377"/>
      <c r="U357" s="377"/>
      <c r="V357" s="377"/>
    </row>
    <row r="358" spans="1:22" ht="15.75" x14ac:dyDescent="0.25">
      <c r="A358" s="377"/>
      <c r="O358" s="377"/>
      <c r="P358" s="387"/>
      <c r="Q358" s="377"/>
      <c r="R358" s="377"/>
      <c r="S358" s="377"/>
      <c r="T358" s="377"/>
      <c r="U358" s="377"/>
      <c r="V358" s="377"/>
    </row>
    <row r="359" spans="1:22" ht="15.75" x14ac:dyDescent="0.25">
      <c r="A359" s="377"/>
      <c r="O359" s="377"/>
      <c r="P359" s="387"/>
      <c r="Q359" s="377"/>
      <c r="R359" s="377"/>
      <c r="S359" s="377"/>
      <c r="T359" s="377"/>
      <c r="U359" s="377"/>
      <c r="V359" s="377"/>
    </row>
    <row r="360" spans="1:22" ht="15.75" x14ac:dyDescent="0.25">
      <c r="A360" s="377"/>
      <c r="O360" s="377"/>
      <c r="P360" s="387"/>
      <c r="Q360" s="377"/>
      <c r="R360" s="377"/>
      <c r="S360" s="377"/>
      <c r="T360" s="377"/>
      <c r="U360" s="377"/>
      <c r="V360" s="377"/>
    </row>
    <row r="361" spans="1:22" ht="15.75" x14ac:dyDescent="0.25">
      <c r="A361" s="377"/>
      <c r="O361" s="377"/>
      <c r="P361" s="387"/>
      <c r="Q361" s="377"/>
      <c r="R361" s="377"/>
      <c r="S361" s="377"/>
      <c r="T361" s="377"/>
      <c r="U361" s="377"/>
      <c r="V361" s="377"/>
    </row>
    <row r="362" spans="1:22" ht="15.75" x14ac:dyDescent="0.25">
      <c r="A362" s="377"/>
      <c r="O362" s="377"/>
      <c r="P362" s="387"/>
      <c r="Q362" s="377"/>
      <c r="R362" s="377"/>
      <c r="S362" s="377"/>
      <c r="T362" s="377"/>
      <c r="U362" s="377"/>
      <c r="V362" s="377"/>
    </row>
    <row r="363" spans="1:22" ht="15.75" x14ac:dyDescent="0.25">
      <c r="A363" s="377"/>
      <c r="O363" s="377"/>
      <c r="P363" s="387"/>
      <c r="Q363" s="377"/>
      <c r="R363" s="377"/>
      <c r="S363" s="377"/>
      <c r="T363" s="377"/>
      <c r="U363" s="377"/>
      <c r="V363" s="377"/>
    </row>
    <row r="364" spans="1:22" ht="15.75" x14ac:dyDescent="0.25">
      <c r="A364" s="377"/>
      <c r="O364" s="377"/>
      <c r="P364" s="387"/>
      <c r="Q364" s="377"/>
      <c r="R364" s="377"/>
      <c r="S364" s="377"/>
      <c r="T364" s="377"/>
      <c r="U364" s="377"/>
      <c r="V364" s="377"/>
    </row>
    <row r="365" spans="1:22" ht="15.75" x14ac:dyDescent="0.25">
      <c r="A365" s="377"/>
      <c r="O365" s="377"/>
      <c r="P365" s="387"/>
      <c r="Q365" s="377"/>
      <c r="R365" s="377"/>
      <c r="S365" s="377"/>
      <c r="T365" s="377"/>
      <c r="U365" s="377"/>
      <c r="V365" s="377"/>
    </row>
    <row r="366" spans="1:22" ht="15.75" x14ac:dyDescent="0.25">
      <c r="A366" s="377"/>
      <c r="O366" s="377"/>
      <c r="P366" s="387"/>
      <c r="Q366" s="377"/>
      <c r="R366" s="377"/>
      <c r="S366" s="377"/>
      <c r="T366" s="377"/>
      <c r="U366" s="377"/>
      <c r="V366" s="377"/>
    </row>
    <row r="367" spans="1:22" ht="15.75" x14ac:dyDescent="0.25">
      <c r="A367" s="377"/>
      <c r="O367" s="377"/>
      <c r="P367" s="387"/>
      <c r="Q367" s="377"/>
      <c r="R367" s="377"/>
      <c r="S367" s="377"/>
      <c r="T367" s="377"/>
      <c r="U367" s="377"/>
      <c r="V367" s="377"/>
    </row>
    <row r="368" spans="1:22" ht="15.75" x14ac:dyDescent="0.25">
      <c r="A368" s="377"/>
      <c r="O368" s="377"/>
      <c r="P368" s="387"/>
      <c r="Q368" s="377"/>
      <c r="R368" s="377"/>
      <c r="S368" s="377"/>
      <c r="T368" s="377"/>
      <c r="U368" s="377"/>
      <c r="V368" s="377"/>
    </row>
    <row r="369" spans="1:22" ht="15.75" x14ac:dyDescent="0.25">
      <c r="A369" s="377"/>
      <c r="O369" s="377"/>
      <c r="P369" s="387"/>
      <c r="Q369" s="377"/>
      <c r="R369" s="377"/>
      <c r="S369" s="377"/>
      <c r="T369" s="377"/>
      <c r="U369" s="377"/>
      <c r="V369" s="377"/>
    </row>
    <row r="370" spans="1:22" ht="15.75" x14ac:dyDescent="0.25">
      <c r="A370" s="377"/>
      <c r="O370" s="377"/>
      <c r="P370" s="387"/>
      <c r="Q370" s="377"/>
      <c r="R370" s="377"/>
      <c r="S370" s="377"/>
      <c r="T370" s="377"/>
      <c r="U370" s="377"/>
      <c r="V370" s="377"/>
    </row>
    <row r="371" spans="1:22" ht="15.75" x14ac:dyDescent="0.25">
      <c r="A371" s="377"/>
      <c r="O371" s="377"/>
      <c r="P371" s="387"/>
      <c r="Q371" s="377"/>
      <c r="R371" s="377"/>
      <c r="S371" s="377"/>
      <c r="T371" s="377"/>
      <c r="U371" s="377"/>
      <c r="V371" s="377"/>
    </row>
    <row r="372" spans="1:22" ht="15.75" x14ac:dyDescent="0.25">
      <c r="A372" s="377"/>
      <c r="O372" s="377"/>
      <c r="P372" s="387"/>
      <c r="Q372" s="377"/>
      <c r="R372" s="377"/>
      <c r="S372" s="377"/>
      <c r="T372" s="377"/>
      <c r="U372" s="377"/>
      <c r="V372" s="377"/>
    </row>
    <row r="373" spans="1:22" ht="15.75" x14ac:dyDescent="0.25">
      <c r="A373" s="377"/>
      <c r="O373" s="377"/>
      <c r="P373" s="387"/>
      <c r="Q373" s="377"/>
      <c r="R373" s="377"/>
      <c r="S373" s="377"/>
      <c r="T373" s="377"/>
      <c r="U373" s="377"/>
      <c r="V373" s="377"/>
    </row>
    <row r="374" spans="1:22" ht="15.75" x14ac:dyDescent="0.25">
      <c r="A374" s="377"/>
      <c r="O374" s="377"/>
      <c r="P374" s="387"/>
      <c r="Q374" s="377"/>
      <c r="R374" s="377"/>
      <c r="S374" s="377"/>
      <c r="T374" s="377"/>
      <c r="U374" s="377"/>
      <c r="V374" s="377"/>
    </row>
    <row r="375" spans="1:22" ht="15.75" x14ac:dyDescent="0.25">
      <c r="A375" s="377"/>
      <c r="O375" s="377"/>
      <c r="P375" s="387"/>
      <c r="Q375" s="377"/>
      <c r="R375" s="377"/>
      <c r="S375" s="377"/>
      <c r="T375" s="377"/>
      <c r="U375" s="377"/>
      <c r="V375" s="377"/>
    </row>
    <row r="376" spans="1:22" ht="15.75" x14ac:dyDescent="0.25">
      <c r="A376" s="377"/>
      <c r="O376" s="377"/>
      <c r="P376" s="387"/>
      <c r="Q376" s="377"/>
      <c r="R376" s="377"/>
      <c r="S376" s="377"/>
      <c r="T376" s="377"/>
      <c r="U376" s="377"/>
      <c r="V376" s="377"/>
    </row>
    <row r="377" spans="1:22" ht="15.75" x14ac:dyDescent="0.25">
      <c r="A377" s="377"/>
      <c r="O377" s="377"/>
      <c r="P377" s="387"/>
      <c r="Q377" s="377"/>
      <c r="R377" s="377"/>
      <c r="S377" s="377"/>
      <c r="T377" s="377"/>
      <c r="U377" s="377"/>
      <c r="V377" s="377"/>
    </row>
    <row r="378" spans="1:22" ht="15.75" x14ac:dyDescent="0.25">
      <c r="A378" s="377"/>
      <c r="O378" s="377"/>
      <c r="P378" s="387"/>
      <c r="Q378" s="377"/>
      <c r="R378" s="377"/>
      <c r="S378" s="377"/>
      <c r="T378" s="377"/>
      <c r="U378" s="377"/>
      <c r="V378" s="377"/>
    </row>
    <row r="379" spans="1:22" ht="15.75" x14ac:dyDescent="0.25">
      <c r="A379" s="377"/>
      <c r="O379" s="377"/>
      <c r="P379" s="387"/>
      <c r="Q379" s="377"/>
      <c r="R379" s="377"/>
      <c r="S379" s="377"/>
      <c r="T379" s="377"/>
      <c r="U379" s="377"/>
      <c r="V379" s="377"/>
    </row>
    <row r="380" spans="1:22" ht="15.75" x14ac:dyDescent="0.25">
      <c r="A380" s="377"/>
      <c r="O380" s="377"/>
      <c r="P380" s="387"/>
      <c r="Q380" s="377"/>
      <c r="R380" s="377"/>
      <c r="S380" s="377"/>
      <c r="T380" s="377"/>
      <c r="U380" s="377"/>
      <c r="V380" s="377"/>
    </row>
    <row r="381" spans="1:22" ht="15.75" x14ac:dyDescent="0.25">
      <c r="A381" s="377"/>
      <c r="O381" s="377"/>
      <c r="P381" s="387"/>
      <c r="Q381" s="377"/>
      <c r="R381" s="377"/>
      <c r="S381" s="377"/>
      <c r="T381" s="377"/>
      <c r="U381" s="377"/>
      <c r="V381" s="377"/>
    </row>
    <row r="382" spans="1:22" ht="15.75" x14ac:dyDescent="0.25">
      <c r="A382" s="377"/>
      <c r="O382" s="377"/>
      <c r="P382" s="387"/>
      <c r="Q382" s="377"/>
      <c r="R382" s="377"/>
      <c r="S382" s="377"/>
      <c r="T382" s="377"/>
      <c r="U382" s="377"/>
      <c r="V382" s="377"/>
    </row>
    <row r="383" spans="1:22" ht="15.75" x14ac:dyDescent="0.25">
      <c r="A383" s="377"/>
      <c r="O383" s="377"/>
      <c r="P383" s="387"/>
      <c r="Q383" s="377"/>
      <c r="R383" s="377"/>
      <c r="S383" s="377"/>
      <c r="T383" s="377"/>
      <c r="U383" s="377"/>
      <c r="V383" s="377"/>
    </row>
    <row r="384" spans="1:22" ht="15.75" x14ac:dyDescent="0.25">
      <c r="A384" s="377"/>
      <c r="O384" s="377"/>
      <c r="P384" s="387"/>
      <c r="Q384" s="377"/>
      <c r="R384" s="377"/>
      <c r="S384" s="377"/>
      <c r="T384" s="377"/>
      <c r="U384" s="377"/>
      <c r="V384" s="377"/>
    </row>
    <row r="385" spans="1:22" ht="15.75" x14ac:dyDescent="0.25">
      <c r="A385" s="377"/>
      <c r="O385" s="377"/>
      <c r="P385" s="387"/>
      <c r="Q385" s="377"/>
      <c r="R385" s="377"/>
      <c r="S385" s="377"/>
      <c r="T385" s="377"/>
      <c r="U385" s="377"/>
      <c r="V385" s="377"/>
    </row>
    <row r="386" spans="1:22" ht="15.75" x14ac:dyDescent="0.25">
      <c r="A386" s="377"/>
      <c r="O386" s="377"/>
      <c r="P386" s="387"/>
      <c r="Q386" s="377"/>
      <c r="R386" s="377"/>
      <c r="S386" s="377"/>
      <c r="T386" s="377"/>
      <c r="U386" s="377"/>
      <c r="V386" s="377"/>
    </row>
    <row r="387" spans="1:22" ht="15.75" x14ac:dyDescent="0.25">
      <c r="A387" s="377"/>
      <c r="O387" s="377"/>
      <c r="P387" s="387"/>
      <c r="Q387" s="377"/>
      <c r="R387" s="377"/>
      <c r="S387" s="377"/>
      <c r="T387" s="377"/>
      <c r="U387" s="377"/>
      <c r="V387" s="377"/>
    </row>
    <row r="388" spans="1:22" ht="15.75" x14ac:dyDescent="0.25">
      <c r="A388" s="377"/>
      <c r="O388" s="377"/>
      <c r="P388" s="387"/>
      <c r="Q388" s="377"/>
      <c r="R388" s="377"/>
      <c r="S388" s="377"/>
      <c r="T388" s="377"/>
      <c r="U388" s="377"/>
      <c r="V388" s="377"/>
    </row>
    <row r="389" spans="1:22" ht="15.75" x14ac:dyDescent="0.25">
      <c r="A389" s="377"/>
      <c r="O389" s="377"/>
      <c r="P389" s="387"/>
      <c r="Q389" s="377"/>
      <c r="R389" s="377"/>
      <c r="S389" s="377"/>
      <c r="T389" s="377"/>
      <c r="U389" s="377"/>
      <c r="V389" s="377"/>
    </row>
    <row r="390" spans="1:22" ht="15.75" x14ac:dyDescent="0.25">
      <c r="A390" s="377"/>
      <c r="O390" s="377"/>
      <c r="P390" s="387"/>
      <c r="Q390" s="377"/>
      <c r="R390" s="377"/>
      <c r="S390" s="377"/>
      <c r="T390" s="377"/>
      <c r="U390" s="377"/>
      <c r="V390" s="377"/>
    </row>
    <row r="391" spans="1:22" ht="15.75" x14ac:dyDescent="0.25">
      <c r="A391" s="377"/>
      <c r="O391" s="377"/>
      <c r="P391" s="387"/>
      <c r="Q391" s="377"/>
      <c r="R391" s="377"/>
      <c r="S391" s="377"/>
      <c r="T391" s="377"/>
      <c r="U391" s="377"/>
      <c r="V391" s="377"/>
    </row>
    <row r="392" spans="1:22" ht="15.75" x14ac:dyDescent="0.25">
      <c r="A392" s="377"/>
      <c r="O392" s="377"/>
      <c r="P392" s="387"/>
      <c r="Q392" s="377"/>
      <c r="R392" s="377"/>
      <c r="S392" s="377"/>
      <c r="T392" s="377"/>
      <c r="U392" s="377"/>
      <c r="V392" s="377"/>
    </row>
    <row r="393" spans="1:22" ht="15.75" x14ac:dyDescent="0.25">
      <c r="A393" s="377"/>
      <c r="O393" s="377"/>
      <c r="P393" s="387"/>
      <c r="Q393" s="377"/>
      <c r="R393" s="377"/>
      <c r="S393" s="377"/>
      <c r="T393" s="377"/>
      <c r="U393" s="377"/>
      <c r="V393" s="377"/>
    </row>
    <row r="394" spans="1:22" ht="15.75" x14ac:dyDescent="0.25">
      <c r="A394" s="377"/>
      <c r="O394" s="377"/>
      <c r="P394" s="387"/>
      <c r="Q394" s="377"/>
      <c r="R394" s="377"/>
      <c r="S394" s="377"/>
      <c r="T394" s="377"/>
      <c r="U394" s="377"/>
      <c r="V394" s="377"/>
    </row>
    <row r="395" spans="1:22" ht="15.75" x14ac:dyDescent="0.25">
      <c r="A395" s="377"/>
      <c r="O395" s="377"/>
      <c r="P395" s="387"/>
      <c r="Q395" s="377"/>
      <c r="R395" s="377"/>
      <c r="S395" s="377"/>
      <c r="T395" s="377"/>
      <c r="U395" s="377"/>
      <c r="V395" s="377"/>
    </row>
    <row r="396" spans="1:22" ht="15.75" x14ac:dyDescent="0.25">
      <c r="A396" s="377"/>
      <c r="O396" s="377"/>
      <c r="P396" s="387"/>
      <c r="Q396" s="377"/>
      <c r="R396" s="377"/>
      <c r="S396" s="377"/>
      <c r="T396" s="377"/>
      <c r="U396" s="377"/>
      <c r="V396" s="377"/>
    </row>
    <row r="397" spans="1:22" ht="15.75" x14ac:dyDescent="0.25">
      <c r="A397" s="377"/>
      <c r="O397" s="377"/>
      <c r="P397" s="387"/>
      <c r="Q397" s="377"/>
      <c r="R397" s="377"/>
      <c r="S397" s="377"/>
      <c r="T397" s="377"/>
      <c r="U397" s="377"/>
      <c r="V397" s="377"/>
    </row>
    <row r="398" spans="1:22" ht="15.75" x14ac:dyDescent="0.25">
      <c r="A398" s="377"/>
      <c r="O398" s="377"/>
      <c r="P398" s="387"/>
      <c r="Q398" s="377"/>
      <c r="R398" s="377"/>
      <c r="S398" s="377"/>
      <c r="T398" s="377"/>
      <c r="U398" s="377"/>
      <c r="V398" s="377"/>
    </row>
    <row r="399" spans="1:22" ht="15.75" x14ac:dyDescent="0.25">
      <c r="A399" s="377"/>
      <c r="O399" s="377"/>
      <c r="P399" s="387"/>
      <c r="Q399" s="377"/>
      <c r="R399" s="377"/>
      <c r="S399" s="377"/>
      <c r="T399" s="377"/>
      <c r="U399" s="377"/>
      <c r="V399" s="377"/>
    </row>
    <row r="400" spans="1:22" ht="15.75" x14ac:dyDescent="0.25">
      <c r="A400" s="377"/>
      <c r="B400" s="1091" t="s">
        <v>1262</v>
      </c>
      <c r="C400" s="1092"/>
      <c r="D400" s="1092"/>
      <c r="E400" s="1092"/>
      <c r="F400" s="1092"/>
      <c r="G400" s="1092"/>
      <c r="H400" s="1092"/>
      <c r="I400" s="1092"/>
      <c r="J400" s="1092"/>
      <c r="O400" s="377"/>
      <c r="P400" s="387"/>
      <c r="Q400" s="377"/>
      <c r="R400" s="377"/>
      <c r="S400" s="377"/>
      <c r="T400" s="377"/>
      <c r="U400" s="377"/>
      <c r="V400" s="377"/>
    </row>
    <row r="401" spans="1:22" ht="15.75" x14ac:dyDescent="0.25">
      <c r="A401" s="377"/>
      <c r="B401" s="389" t="s">
        <v>1263</v>
      </c>
      <c r="C401" s="389"/>
      <c r="D401" s="377"/>
      <c r="E401" s="377"/>
      <c r="F401" s="377"/>
      <c r="G401" s="377"/>
      <c r="H401" s="377"/>
      <c r="I401" s="377"/>
      <c r="O401" s="377"/>
      <c r="P401" s="387"/>
      <c r="Q401" s="377"/>
      <c r="R401" s="377"/>
      <c r="S401" s="377"/>
      <c r="T401" s="377"/>
      <c r="U401" s="377"/>
      <c r="V401" s="377"/>
    </row>
    <row r="402" spans="1:22" ht="15.75" x14ac:dyDescent="0.25">
      <c r="A402" s="377"/>
      <c r="B402" s="382">
        <v>6980</v>
      </c>
      <c r="C402" s="382"/>
      <c r="D402" s="389" t="s">
        <v>1264</v>
      </c>
      <c r="E402" s="389"/>
      <c r="F402" s="377"/>
      <c r="G402" s="377"/>
      <c r="H402" s="377"/>
      <c r="I402" s="377"/>
      <c r="O402" s="377"/>
      <c r="P402" s="387"/>
      <c r="Q402" s="377"/>
      <c r="R402" s="377"/>
      <c r="S402" s="377"/>
      <c r="T402" s="377"/>
      <c r="U402" s="377"/>
      <c r="V402" s="377"/>
    </row>
    <row r="403" spans="1:22" ht="15.75" x14ac:dyDescent="0.25">
      <c r="A403" s="377"/>
      <c r="B403" s="377"/>
      <c r="C403" s="377"/>
      <c r="D403" s="377"/>
      <c r="E403" s="377"/>
      <c r="F403" s="389" t="s">
        <v>1139</v>
      </c>
      <c r="G403" s="377"/>
      <c r="H403" s="377"/>
      <c r="I403" s="389" t="s">
        <v>1139</v>
      </c>
      <c r="O403" s="377"/>
      <c r="P403" s="387"/>
      <c r="Q403" s="377"/>
      <c r="R403" s="377"/>
      <c r="S403" s="377"/>
      <c r="T403" s="377"/>
      <c r="U403" s="377"/>
      <c r="V403" s="377"/>
    </row>
    <row r="404" spans="1:22" ht="15.75" x14ac:dyDescent="0.25">
      <c r="A404" s="377"/>
      <c r="B404" s="1028" t="s">
        <v>1265</v>
      </c>
      <c r="C404" s="1028"/>
      <c r="D404" s="1029"/>
      <c r="F404" s="1028" t="s">
        <v>1266</v>
      </c>
      <c r="G404" s="1022"/>
      <c r="H404" s="377"/>
      <c r="I404" s="1009" t="s">
        <v>1267</v>
      </c>
      <c r="J404" s="996"/>
      <c r="O404" s="377"/>
      <c r="P404" s="387"/>
      <c r="Q404" s="377"/>
      <c r="R404" s="377"/>
      <c r="S404" s="377"/>
      <c r="T404" s="377"/>
      <c r="U404" s="377"/>
      <c r="V404" s="377"/>
    </row>
    <row r="405" spans="1:22" ht="15.75" x14ac:dyDescent="0.25">
      <c r="A405" s="377"/>
      <c r="B405" s="1004" t="s">
        <v>1268</v>
      </c>
      <c r="C405" s="1004"/>
      <c r="D405" s="1007" t="s">
        <v>1232</v>
      </c>
      <c r="E405" s="1007"/>
      <c r="F405" s="1005" t="s">
        <v>1141</v>
      </c>
      <c r="G405" s="1007" t="s">
        <v>1232</v>
      </c>
      <c r="H405" s="1006"/>
      <c r="I405" s="1005" t="s">
        <v>1141</v>
      </c>
      <c r="J405" s="1007" t="s">
        <v>1232</v>
      </c>
      <c r="O405" s="377"/>
      <c r="P405" s="387"/>
      <c r="Q405" s="377"/>
      <c r="R405" s="377"/>
      <c r="S405" s="377"/>
      <c r="T405" s="377"/>
      <c r="U405" s="377"/>
      <c r="V405" s="377"/>
    </row>
    <row r="406" spans="1:22" ht="15.75" x14ac:dyDescent="0.25">
      <c r="A406" s="377"/>
      <c r="B406" s="1022" t="s">
        <v>1168</v>
      </c>
      <c r="C406" s="1022"/>
      <c r="D406" s="1020">
        <v>7763.23</v>
      </c>
      <c r="E406" s="382"/>
      <c r="F406" s="1022" t="s">
        <v>1168</v>
      </c>
      <c r="G406" s="1020">
        <v>6980</v>
      </c>
      <c r="H406" s="377"/>
      <c r="I406" s="1010" t="s">
        <v>1168</v>
      </c>
      <c r="J406" s="1024">
        <v>7494.32</v>
      </c>
      <c r="O406" s="377"/>
      <c r="P406" s="387"/>
      <c r="Q406" s="377"/>
      <c r="R406" s="377"/>
      <c r="S406" s="377"/>
      <c r="T406" s="377"/>
      <c r="U406" s="377"/>
      <c r="V406" s="377"/>
    </row>
    <row r="407" spans="1:22" ht="15.75" x14ac:dyDescent="0.25">
      <c r="A407" s="377"/>
      <c r="B407" s="1022" t="s">
        <v>1169</v>
      </c>
      <c r="C407" s="1022"/>
      <c r="D407" s="1021">
        <v>8093.24</v>
      </c>
      <c r="E407" s="379"/>
      <c r="F407" s="1022" t="s">
        <v>1169</v>
      </c>
      <c r="G407" s="1021">
        <v>7169</v>
      </c>
      <c r="H407" s="377"/>
      <c r="I407" s="1010" t="s">
        <v>1169</v>
      </c>
      <c r="J407" s="1025">
        <v>8093.33</v>
      </c>
      <c r="O407" s="377"/>
      <c r="P407" s="387"/>
      <c r="Q407" s="377"/>
      <c r="R407" s="377"/>
      <c r="S407" s="377"/>
      <c r="T407" s="377"/>
      <c r="U407" s="377"/>
      <c r="V407" s="377"/>
    </row>
    <row r="408" spans="1:22" ht="15.75" x14ac:dyDescent="0.25">
      <c r="A408" s="377"/>
      <c r="B408" s="1022" t="s">
        <v>1170</v>
      </c>
      <c r="C408" s="1022"/>
      <c r="D408" s="1021">
        <v>7264.25</v>
      </c>
      <c r="E408" s="379"/>
      <c r="F408" s="1022" t="s">
        <v>1170</v>
      </c>
      <c r="G408" s="1021">
        <v>7197</v>
      </c>
      <c r="H408" s="377"/>
      <c r="I408" s="1010" t="s">
        <v>1170</v>
      </c>
      <c r="J408" s="1025">
        <v>7197.34</v>
      </c>
      <c r="O408" s="377"/>
      <c r="P408" s="387"/>
      <c r="Q408" s="377"/>
      <c r="R408" s="377"/>
      <c r="S408" s="377"/>
      <c r="T408" s="377"/>
      <c r="U408" s="377"/>
      <c r="V408" s="377"/>
    </row>
    <row r="409" spans="1:22" ht="15.75" x14ac:dyDescent="0.25">
      <c r="A409" s="377"/>
      <c r="B409" s="1022" t="s">
        <v>1269</v>
      </c>
      <c r="C409" s="1022"/>
      <c r="D409" s="1021">
        <v>9177.26</v>
      </c>
      <c r="E409" s="379"/>
      <c r="F409" s="1022" t="s">
        <v>1269</v>
      </c>
      <c r="G409" s="1021">
        <v>6980</v>
      </c>
      <c r="H409" s="377"/>
      <c r="I409" s="1010" t="s">
        <v>1171</v>
      </c>
      <c r="J409" s="1025">
        <v>7715.35</v>
      </c>
      <c r="O409" s="377"/>
      <c r="P409" s="387"/>
      <c r="Q409" s="377"/>
      <c r="R409" s="377"/>
      <c r="S409" s="377"/>
      <c r="T409" s="377"/>
      <c r="U409" s="377"/>
      <c r="V409" s="377"/>
    </row>
    <row r="410" spans="1:22" ht="15.75" x14ac:dyDescent="0.25">
      <c r="A410" s="377"/>
      <c r="B410" s="1022" t="s">
        <v>1171</v>
      </c>
      <c r="C410" s="1022"/>
      <c r="D410" s="1021">
        <v>9279.27</v>
      </c>
      <c r="E410" s="379"/>
      <c r="F410" s="1022" t="s">
        <v>1171</v>
      </c>
      <c r="G410" s="1021">
        <v>7169</v>
      </c>
      <c r="H410" s="377"/>
      <c r="I410" s="1010" t="s">
        <v>1172</v>
      </c>
      <c r="J410" s="1025">
        <v>6980.36</v>
      </c>
      <c r="O410" s="377"/>
      <c r="P410" s="387"/>
      <c r="Q410" s="377"/>
      <c r="R410" s="377"/>
      <c r="S410" s="377"/>
      <c r="T410" s="377"/>
      <c r="U410" s="377"/>
      <c r="V410" s="377"/>
    </row>
    <row r="411" spans="1:22" ht="15.75" x14ac:dyDescent="0.25">
      <c r="A411" s="377"/>
      <c r="B411" s="1022" t="s">
        <v>1270</v>
      </c>
      <c r="C411" s="1022"/>
      <c r="D411" s="1021">
        <v>22360.28</v>
      </c>
      <c r="E411" s="379"/>
      <c r="F411" s="1022" t="s">
        <v>1270</v>
      </c>
      <c r="G411" s="1021">
        <v>7169</v>
      </c>
      <c r="H411" s="377"/>
      <c r="I411" s="1010" t="s">
        <v>1173</v>
      </c>
      <c r="J411" s="1025">
        <v>10367</v>
      </c>
      <c r="O411" s="377"/>
      <c r="P411" s="387"/>
      <c r="Q411" s="377"/>
      <c r="R411" s="377"/>
      <c r="S411" s="377"/>
      <c r="T411" s="377"/>
      <c r="U411" s="377"/>
      <c r="V411" s="377"/>
    </row>
    <row r="412" spans="1:22" ht="15.75" x14ac:dyDescent="0.25">
      <c r="A412" s="377"/>
      <c r="B412" s="1022" t="s">
        <v>1271</v>
      </c>
      <c r="C412" s="1022"/>
      <c r="D412" s="1021">
        <v>33746.29</v>
      </c>
      <c r="E412" s="379"/>
      <c r="F412" s="1022" t="s">
        <v>1271</v>
      </c>
      <c r="G412" s="1023">
        <v>7169</v>
      </c>
      <c r="H412" s="379"/>
      <c r="I412" s="1010" t="s">
        <v>1272</v>
      </c>
      <c r="J412" s="1026">
        <v>6980</v>
      </c>
      <c r="O412" s="377"/>
      <c r="P412" s="387"/>
      <c r="Q412" s="377"/>
      <c r="R412" s="377"/>
      <c r="S412" s="377"/>
      <c r="T412" s="377"/>
      <c r="U412" s="377"/>
      <c r="V412" s="377"/>
    </row>
    <row r="413" spans="1:22" ht="15.75" x14ac:dyDescent="0.25">
      <c r="A413" s="377"/>
      <c r="B413" s="1022" t="s">
        <v>1273</v>
      </c>
      <c r="C413" s="1022"/>
      <c r="D413" s="1021">
        <v>9713.2999999999993</v>
      </c>
      <c r="E413" s="379"/>
      <c r="F413" s="1022" t="s">
        <v>1273</v>
      </c>
      <c r="G413" s="1023">
        <v>7169</v>
      </c>
      <c r="H413" s="379"/>
      <c r="O413" s="377"/>
      <c r="P413" s="387"/>
      <c r="Q413" s="377"/>
      <c r="R413" s="377"/>
      <c r="S413" s="377"/>
      <c r="T413" s="377"/>
      <c r="U413" s="377"/>
      <c r="V413" s="377"/>
    </row>
    <row r="414" spans="1:22" ht="15.75" x14ac:dyDescent="0.25">
      <c r="A414" s="377"/>
      <c r="B414" s="1022" t="s">
        <v>1274</v>
      </c>
      <c r="C414" s="1022"/>
      <c r="D414" s="1021">
        <v>10547.31</v>
      </c>
      <c r="E414" s="379"/>
      <c r="F414" s="1022" t="s">
        <v>1274</v>
      </c>
      <c r="G414" s="1023">
        <v>7169</v>
      </c>
      <c r="H414" s="379"/>
      <c r="I414" s="1002" t="s">
        <v>1275</v>
      </c>
      <c r="J414" s="1003"/>
      <c r="O414" s="377"/>
      <c r="P414" s="387"/>
      <c r="Q414" s="377"/>
      <c r="R414" s="377"/>
      <c r="S414" s="377"/>
      <c r="T414" s="377"/>
      <c r="U414" s="377"/>
      <c r="V414" s="377"/>
    </row>
    <row r="415" spans="1:22" ht="15.75" x14ac:dyDescent="0.25">
      <c r="A415" s="377"/>
      <c r="B415" s="1022" t="s">
        <v>1276</v>
      </c>
      <c r="C415" s="1022"/>
      <c r="D415" s="1021">
        <v>13725.32</v>
      </c>
      <c r="E415" s="379"/>
      <c r="F415" s="1022" t="s">
        <v>1276</v>
      </c>
      <c r="G415" s="1023">
        <v>7169</v>
      </c>
      <c r="H415" s="379"/>
      <c r="I415" s="1010" t="s">
        <v>1220</v>
      </c>
      <c r="J415" s="1027" t="s">
        <v>1277</v>
      </c>
      <c r="O415" s="377"/>
      <c r="P415" s="387"/>
      <c r="Q415" s="377"/>
      <c r="R415" s="377"/>
      <c r="S415" s="377"/>
      <c r="T415" s="377"/>
      <c r="U415" s="377"/>
      <c r="V415" s="377"/>
    </row>
    <row r="416" spans="1:22" ht="15.75" x14ac:dyDescent="0.25">
      <c r="A416" s="377"/>
      <c r="B416" s="1022" t="s">
        <v>1278</v>
      </c>
      <c r="C416" s="1022"/>
      <c r="D416" s="1021">
        <v>8532.33</v>
      </c>
      <c r="E416" s="379"/>
      <c r="F416" s="1022" t="s">
        <v>1278</v>
      </c>
      <c r="G416" s="1023">
        <v>6980</v>
      </c>
      <c r="H416" s="379"/>
      <c r="I416" s="1010" t="s">
        <v>1157</v>
      </c>
      <c r="J416" s="1010">
        <v>0.24</v>
      </c>
      <c r="O416" s="377"/>
      <c r="P416" s="387"/>
      <c r="Q416" s="377"/>
      <c r="R416" s="377"/>
      <c r="S416" s="377"/>
      <c r="T416" s="377"/>
      <c r="U416" s="377"/>
      <c r="V416" s="377"/>
    </row>
    <row r="417" spans="1:22" ht="15.75" x14ac:dyDescent="0.25">
      <c r="A417" s="377"/>
      <c r="B417" s="1022" t="s">
        <v>1279</v>
      </c>
      <c r="C417" s="1022"/>
      <c r="D417" s="1021">
        <v>12286.34</v>
      </c>
      <c r="E417" s="379"/>
      <c r="F417" s="1022" t="s">
        <v>1279</v>
      </c>
      <c r="G417" s="1023">
        <v>7169</v>
      </c>
      <c r="H417" s="379"/>
      <c r="I417" s="1010" t="s">
        <v>1280</v>
      </c>
      <c r="J417" s="1010">
        <v>0.03</v>
      </c>
      <c r="K417" t="s">
        <v>1281</v>
      </c>
      <c r="O417" s="377"/>
      <c r="P417" s="387"/>
      <c r="Q417" s="377"/>
      <c r="R417" s="377"/>
      <c r="S417" s="377"/>
      <c r="T417" s="377"/>
      <c r="U417" s="377"/>
      <c r="V417" s="377"/>
    </row>
    <row r="418" spans="1:22" ht="15.75" x14ac:dyDescent="0.25">
      <c r="A418" s="377"/>
      <c r="B418" s="1022" t="s">
        <v>1282</v>
      </c>
      <c r="C418" s="1022"/>
      <c r="D418" s="1021">
        <v>8764.35</v>
      </c>
      <c r="E418" s="379"/>
      <c r="F418" s="1022" t="s">
        <v>1282</v>
      </c>
      <c r="G418" s="1023">
        <v>7169</v>
      </c>
      <c r="H418" s="379"/>
      <c r="I418" s="1010" t="s">
        <v>1158</v>
      </c>
      <c r="J418" s="1010">
        <v>0.12</v>
      </c>
      <c r="O418" s="377"/>
      <c r="P418" s="387"/>
      <c r="Q418" s="377"/>
      <c r="R418" s="377"/>
      <c r="S418" s="377"/>
      <c r="T418" s="377"/>
      <c r="U418" s="377"/>
      <c r="V418" s="377"/>
    </row>
    <row r="419" spans="1:22" ht="15.75" x14ac:dyDescent="0.25">
      <c r="A419" s="377"/>
      <c r="B419" s="1022" t="s">
        <v>1283</v>
      </c>
      <c r="C419" s="1022"/>
      <c r="D419" s="1021">
        <v>11794.36</v>
      </c>
      <c r="E419" s="379"/>
      <c r="F419" s="1022" t="s">
        <v>1283</v>
      </c>
      <c r="G419" s="1023">
        <v>7169</v>
      </c>
      <c r="H419" s="379"/>
      <c r="O419" s="377"/>
      <c r="P419" s="387"/>
      <c r="Q419" s="377"/>
      <c r="R419" s="377"/>
      <c r="S419" s="377"/>
      <c r="T419" s="377"/>
      <c r="U419" s="377"/>
      <c r="V419" s="377"/>
    </row>
    <row r="420" spans="1:22" ht="15.75" x14ac:dyDescent="0.25">
      <c r="A420" s="377"/>
      <c r="B420" s="1022" t="s">
        <v>1284</v>
      </c>
      <c r="C420" s="1022"/>
      <c r="D420" s="1021">
        <v>23274.37</v>
      </c>
      <c r="E420" s="379"/>
      <c r="F420" s="1022" t="s">
        <v>1284</v>
      </c>
      <c r="G420" s="1023">
        <v>6980</v>
      </c>
      <c r="H420" s="379"/>
      <c r="O420" s="377"/>
      <c r="P420" s="387"/>
      <c r="Q420" s="377"/>
      <c r="R420" s="377"/>
      <c r="S420" s="377"/>
      <c r="T420" s="377"/>
      <c r="U420" s="377"/>
      <c r="V420" s="377"/>
    </row>
    <row r="421" spans="1:22" ht="15.75" x14ac:dyDescent="0.25">
      <c r="A421" s="377"/>
      <c r="B421" s="1022" t="s">
        <v>1172</v>
      </c>
      <c r="C421" s="1022"/>
      <c r="D421" s="1021">
        <v>7222.38</v>
      </c>
      <c r="E421" s="379"/>
      <c r="F421" s="1022" t="s">
        <v>1172</v>
      </c>
      <c r="G421" s="1023">
        <v>6980</v>
      </c>
      <c r="H421" s="379"/>
      <c r="I421" s="377"/>
      <c r="O421" s="377"/>
      <c r="P421" s="387"/>
      <c r="Q421" s="377"/>
      <c r="R421" s="377"/>
      <c r="S421" s="377"/>
      <c r="T421" s="377"/>
      <c r="U421" s="377"/>
      <c r="V421" s="377"/>
    </row>
    <row r="422" spans="1:22" ht="15.75" x14ac:dyDescent="0.25">
      <c r="A422" s="377"/>
      <c r="B422" s="1022" t="s">
        <v>1173</v>
      </c>
      <c r="C422" s="1022"/>
      <c r="D422" s="1020">
        <v>11298</v>
      </c>
      <c r="E422" s="382"/>
      <c r="F422" s="1022" t="s">
        <v>1173</v>
      </c>
      <c r="G422" s="1023">
        <v>7169</v>
      </c>
      <c r="H422" s="379"/>
      <c r="I422" s="377"/>
      <c r="O422" s="377"/>
      <c r="P422" s="387"/>
      <c r="Q422" s="377"/>
      <c r="R422" s="377"/>
      <c r="S422" s="377"/>
      <c r="T422" s="377"/>
      <c r="U422" s="377"/>
      <c r="V422" s="377"/>
    </row>
    <row r="423" spans="1:22" ht="15.75" x14ac:dyDescent="0.25">
      <c r="A423" s="377"/>
      <c r="B423" s="377"/>
      <c r="C423" s="377"/>
      <c r="D423" s="377"/>
      <c r="E423" s="377"/>
      <c r="H423" s="377"/>
      <c r="I423" s="377"/>
      <c r="O423" s="377"/>
      <c r="P423" s="387"/>
      <c r="Q423" s="377"/>
      <c r="R423" s="377"/>
      <c r="S423" s="377"/>
      <c r="T423" s="377"/>
      <c r="U423" s="377"/>
      <c r="V423" s="377"/>
    </row>
    <row r="424" spans="1:22" ht="15.75" x14ac:dyDescent="0.25">
      <c r="A424" s="377"/>
      <c r="B424" s="377"/>
      <c r="C424" s="377"/>
      <c r="D424" s="377"/>
      <c r="E424" s="377"/>
      <c r="F424" s="377"/>
      <c r="G424" s="377"/>
      <c r="H424" s="377"/>
      <c r="I424" s="377"/>
      <c r="O424" s="377"/>
      <c r="P424" s="387"/>
      <c r="Q424" s="377"/>
      <c r="R424" s="377"/>
      <c r="S424" s="377"/>
      <c r="T424" s="377"/>
      <c r="U424" s="377"/>
      <c r="V424" s="377"/>
    </row>
    <row r="425" spans="1:22" ht="15.75" x14ac:dyDescent="0.25">
      <c r="A425" s="377"/>
      <c r="B425" s="1017" t="s">
        <v>1285</v>
      </c>
      <c r="C425" s="1017"/>
      <c r="D425" s="1018"/>
      <c r="E425" s="1018"/>
      <c r="F425" s="1018"/>
      <c r="G425" s="1018"/>
      <c r="H425" s="1018"/>
      <c r="I425" s="1018"/>
      <c r="J425" s="1019"/>
      <c r="O425" s="377"/>
      <c r="P425" s="387"/>
      <c r="Q425" s="377"/>
      <c r="R425" s="377"/>
      <c r="S425" s="377"/>
      <c r="T425" s="377"/>
      <c r="U425" s="377"/>
      <c r="V425" s="377"/>
    </row>
    <row r="426" spans="1:22" ht="15.75" x14ac:dyDescent="0.25">
      <c r="A426" s="377"/>
      <c r="B426" s="389" t="s">
        <v>1263</v>
      </c>
      <c r="C426" s="389"/>
      <c r="D426" s="377"/>
      <c r="E426" s="377"/>
      <c r="F426" s="377"/>
      <c r="G426" s="377"/>
      <c r="H426" s="377"/>
      <c r="I426" s="377"/>
      <c r="O426" s="377"/>
      <c r="P426" s="387"/>
      <c r="Q426" s="377"/>
      <c r="R426" s="377"/>
      <c r="S426" s="377"/>
      <c r="T426" s="377"/>
      <c r="U426" s="377"/>
      <c r="V426" s="377"/>
    </row>
    <row r="427" spans="1:22" ht="15.75" x14ac:dyDescent="0.25">
      <c r="A427" s="377"/>
      <c r="B427" s="382">
        <v>7074</v>
      </c>
      <c r="C427" s="382"/>
      <c r="D427" s="389" t="s">
        <v>1286</v>
      </c>
      <c r="E427" s="389"/>
      <c r="F427" s="377"/>
      <c r="G427" s="377"/>
      <c r="H427" s="377"/>
      <c r="I427" s="377"/>
      <c r="O427" s="388"/>
      <c r="P427" s="387"/>
      <c r="Q427" s="377"/>
      <c r="R427" s="377"/>
      <c r="S427" s="377"/>
      <c r="T427" s="377"/>
      <c r="U427" s="377"/>
      <c r="V427" s="377"/>
    </row>
    <row r="428" spans="1:22" ht="15.75" x14ac:dyDescent="0.25">
      <c r="A428" s="377"/>
      <c r="B428" s="377"/>
      <c r="C428" s="377"/>
      <c r="D428" s="377"/>
      <c r="E428" s="377"/>
      <c r="F428" s="389" t="s">
        <v>1139</v>
      </c>
      <c r="G428" s="377"/>
      <c r="H428" s="377"/>
      <c r="I428" s="389" t="s">
        <v>1139</v>
      </c>
      <c r="O428" s="388"/>
      <c r="P428" s="387"/>
      <c r="Q428" s="377"/>
      <c r="R428" s="377"/>
      <c r="S428" s="377"/>
      <c r="T428" s="377"/>
      <c r="U428" s="377"/>
      <c r="V428" s="377"/>
    </row>
    <row r="429" spans="1:22" ht="15.75" x14ac:dyDescent="0.25">
      <c r="A429" s="377"/>
      <c r="B429" s="389" t="s">
        <v>1287</v>
      </c>
      <c r="C429" s="389"/>
      <c r="F429" s="389" t="s">
        <v>1288</v>
      </c>
      <c r="G429" s="377"/>
      <c r="H429" s="377"/>
      <c r="I429" s="389" t="s">
        <v>1289</v>
      </c>
      <c r="O429" s="388"/>
      <c r="P429" s="387"/>
      <c r="Q429" s="377"/>
      <c r="R429" s="377"/>
      <c r="S429" s="377"/>
      <c r="T429" s="377"/>
      <c r="U429" s="377"/>
      <c r="V429" s="377"/>
    </row>
    <row r="430" spans="1:22" ht="15.75" x14ac:dyDescent="0.25">
      <c r="A430" s="377"/>
      <c r="B430" s="1004" t="s">
        <v>1268</v>
      </c>
      <c r="C430" s="1004"/>
      <c r="D430" s="1007" t="s">
        <v>1232</v>
      </c>
      <c r="E430" s="1007"/>
      <c r="F430" s="1005" t="s">
        <v>1141</v>
      </c>
      <c r="G430" s="1007" t="s">
        <v>1232</v>
      </c>
      <c r="H430" s="1006"/>
      <c r="I430" s="1005" t="s">
        <v>1141</v>
      </c>
      <c r="J430" s="1007" t="s">
        <v>1232</v>
      </c>
      <c r="O430" s="388"/>
      <c r="P430" s="387"/>
      <c r="Q430" s="377"/>
      <c r="R430" s="377"/>
      <c r="S430" s="377"/>
      <c r="T430" s="377"/>
      <c r="U430" s="377"/>
      <c r="V430" s="377"/>
    </row>
    <row r="431" spans="1:22" ht="15.75" x14ac:dyDescent="0.25">
      <c r="A431" s="377"/>
      <c r="B431" s="1022" t="s">
        <v>1168</v>
      </c>
      <c r="C431" s="1022"/>
      <c r="D431" s="1020">
        <v>7753</v>
      </c>
      <c r="E431" s="382"/>
      <c r="F431" s="1022" t="s">
        <v>1168</v>
      </c>
      <c r="G431" s="1020">
        <v>7074</v>
      </c>
      <c r="H431" s="377"/>
      <c r="I431" s="1010" t="s">
        <v>1168</v>
      </c>
      <c r="J431" s="1024">
        <v>7594</v>
      </c>
      <c r="O431" s="377"/>
      <c r="P431" s="387"/>
      <c r="Q431" s="377"/>
      <c r="R431" s="377"/>
      <c r="S431" s="377"/>
      <c r="T431" s="377"/>
      <c r="U431" s="377"/>
      <c r="V431" s="377"/>
    </row>
    <row r="432" spans="1:22" ht="15.75" x14ac:dyDescent="0.25">
      <c r="A432" s="377"/>
      <c r="B432" s="1022" t="s">
        <v>1169</v>
      </c>
      <c r="C432" s="1022"/>
      <c r="D432" s="1021">
        <v>8197</v>
      </c>
      <c r="E432" s="379"/>
      <c r="F432" s="1022" t="s">
        <v>1169</v>
      </c>
      <c r="G432" s="1021">
        <v>7265</v>
      </c>
      <c r="H432" s="377"/>
      <c r="I432" s="1010" t="s">
        <v>1169</v>
      </c>
      <c r="J432" s="1025">
        <v>8197</v>
      </c>
      <c r="O432" s="389"/>
      <c r="P432" s="377"/>
      <c r="Q432" s="377"/>
      <c r="R432" s="377"/>
      <c r="S432" s="377"/>
      <c r="T432" s="377"/>
      <c r="U432" s="377"/>
      <c r="V432" s="377"/>
    </row>
    <row r="433" spans="1:22" ht="15.75" x14ac:dyDescent="0.25">
      <c r="A433" s="377"/>
      <c r="B433" s="1022" t="s">
        <v>1170</v>
      </c>
      <c r="C433" s="1022"/>
      <c r="D433" s="1021">
        <v>7361</v>
      </c>
      <c r="E433" s="379"/>
      <c r="F433" s="1022" t="s">
        <v>1170</v>
      </c>
      <c r="G433" s="1021">
        <v>7293</v>
      </c>
      <c r="H433" s="377"/>
      <c r="I433" s="1010" t="s">
        <v>1170</v>
      </c>
      <c r="J433" s="1025">
        <v>7293</v>
      </c>
      <c r="P433" s="377"/>
      <c r="Q433" s="377"/>
      <c r="R433" s="377"/>
      <c r="S433" s="377"/>
      <c r="T433" s="377"/>
      <c r="U433" s="377"/>
      <c r="V433" s="377"/>
    </row>
    <row r="434" spans="1:22" ht="15.75" x14ac:dyDescent="0.25">
      <c r="A434" s="377"/>
      <c r="B434" s="1022" t="s">
        <v>1269</v>
      </c>
      <c r="C434" s="1022"/>
      <c r="D434" s="1021">
        <v>9165</v>
      </c>
      <c r="E434" s="379"/>
      <c r="F434" s="1022" t="s">
        <v>1269</v>
      </c>
      <c r="G434" s="1021">
        <v>7074</v>
      </c>
      <c r="H434" s="377"/>
      <c r="I434" s="1010" t="s">
        <v>1171</v>
      </c>
      <c r="J434" s="1025">
        <v>7818</v>
      </c>
      <c r="P434" s="377"/>
      <c r="Q434" s="377"/>
      <c r="R434" s="377"/>
      <c r="S434" s="377"/>
      <c r="T434" s="377"/>
      <c r="U434" s="377"/>
      <c r="V434" s="377"/>
    </row>
    <row r="435" spans="1:22" ht="15.75" x14ac:dyDescent="0.25">
      <c r="A435" s="381">
        <f t="shared" ref="A435:A451" si="158">ROW()-39</f>
        <v>396</v>
      </c>
      <c r="B435" s="1022" t="s">
        <v>1171</v>
      </c>
      <c r="C435" s="1022"/>
      <c r="D435" s="1021">
        <v>9267</v>
      </c>
      <c r="E435" s="379"/>
      <c r="F435" s="1022" t="s">
        <v>1171</v>
      </c>
      <c r="G435" s="1021">
        <v>7265</v>
      </c>
      <c r="H435" s="377"/>
      <c r="I435" s="1010" t="s">
        <v>1172</v>
      </c>
      <c r="J435" s="1025">
        <v>7074</v>
      </c>
      <c r="P435" s="377"/>
      <c r="Q435" s="377"/>
      <c r="R435" s="377"/>
      <c r="S435" s="377"/>
      <c r="T435" s="377"/>
      <c r="U435" s="377"/>
      <c r="V435" s="377"/>
    </row>
    <row r="436" spans="1:22" ht="15.75" x14ac:dyDescent="0.25">
      <c r="A436" s="381">
        <f t="shared" si="158"/>
        <v>397</v>
      </c>
      <c r="B436" s="1022" t="s">
        <v>1270</v>
      </c>
      <c r="C436" s="1022"/>
      <c r="D436" s="1021">
        <v>22331</v>
      </c>
      <c r="E436" s="379"/>
      <c r="F436" s="1022" t="s">
        <v>1270</v>
      </c>
      <c r="G436" s="1021">
        <v>7265</v>
      </c>
      <c r="H436" s="377"/>
      <c r="I436" s="1010" t="s">
        <v>1173</v>
      </c>
      <c r="J436" s="1025">
        <v>10501</v>
      </c>
      <c r="P436" s="377"/>
      <c r="Q436" s="377"/>
      <c r="R436" s="377"/>
      <c r="S436" s="377"/>
      <c r="T436" s="377"/>
      <c r="U436" s="377"/>
      <c r="V436" s="377"/>
    </row>
    <row r="437" spans="1:22" ht="15.75" x14ac:dyDescent="0.25">
      <c r="A437" s="381">
        <f t="shared" si="158"/>
        <v>398</v>
      </c>
      <c r="B437" s="1022" t="s">
        <v>1271</v>
      </c>
      <c r="C437" s="1022"/>
      <c r="D437" s="1021">
        <v>33701</v>
      </c>
      <c r="E437" s="379"/>
      <c r="F437" s="1022" t="s">
        <v>1271</v>
      </c>
      <c r="G437" s="1023">
        <v>7265</v>
      </c>
      <c r="H437" s="379"/>
      <c r="I437" s="1010" t="s">
        <v>1272</v>
      </c>
      <c r="J437" s="1026">
        <f>+B427</f>
        <v>7074</v>
      </c>
      <c r="P437" s="377"/>
      <c r="Q437" s="377"/>
      <c r="R437" s="377"/>
      <c r="S437" s="377"/>
      <c r="T437" s="377"/>
      <c r="U437" s="377"/>
      <c r="V437" s="377"/>
    </row>
    <row r="438" spans="1:22" ht="15.75" x14ac:dyDescent="0.25">
      <c r="A438" s="381">
        <f t="shared" si="158"/>
        <v>399</v>
      </c>
      <c r="B438" s="1022" t="s">
        <v>1273</v>
      </c>
      <c r="C438" s="1022"/>
      <c r="D438" s="1021">
        <v>9701</v>
      </c>
      <c r="E438" s="379"/>
      <c r="F438" s="1022" t="s">
        <v>1273</v>
      </c>
      <c r="G438" s="1023">
        <v>7265</v>
      </c>
      <c r="H438" s="379"/>
      <c r="P438" s="377"/>
      <c r="Q438" s="377"/>
      <c r="R438" s="377"/>
      <c r="S438" s="377"/>
      <c r="T438" s="377"/>
      <c r="U438" s="377"/>
      <c r="V438" s="377"/>
    </row>
    <row r="439" spans="1:22" ht="15.75" x14ac:dyDescent="0.25">
      <c r="A439" s="381">
        <f t="shared" si="158"/>
        <v>400</v>
      </c>
      <c r="B439" s="1022" t="s">
        <v>1274</v>
      </c>
      <c r="C439" s="1022"/>
      <c r="D439" s="1021">
        <v>10683</v>
      </c>
      <c r="E439" s="379"/>
      <c r="F439" s="1022" t="s">
        <v>1274</v>
      </c>
      <c r="G439" s="1023">
        <v>7265</v>
      </c>
      <c r="H439" s="379"/>
      <c r="I439" s="1002" t="s">
        <v>1275</v>
      </c>
      <c r="J439" s="1003"/>
      <c r="P439" s="377"/>
      <c r="Q439" s="377"/>
      <c r="R439" s="377"/>
      <c r="S439" s="377"/>
      <c r="T439" s="377"/>
      <c r="U439" s="377"/>
      <c r="V439" s="377"/>
    </row>
    <row r="440" spans="1:22" ht="15.75" x14ac:dyDescent="0.25">
      <c r="A440" s="381">
        <f t="shared" si="158"/>
        <v>401</v>
      </c>
      <c r="B440" s="1022" t="s">
        <v>1276</v>
      </c>
      <c r="C440" s="1022"/>
      <c r="D440" s="1021">
        <v>13707</v>
      </c>
      <c r="E440" s="379"/>
      <c r="F440" s="1022" t="s">
        <v>1276</v>
      </c>
      <c r="G440" s="1023">
        <v>7265</v>
      </c>
      <c r="H440" s="379"/>
      <c r="I440" s="1010" t="s">
        <v>1220</v>
      </c>
      <c r="J440" s="1027" t="s">
        <v>1277</v>
      </c>
      <c r="P440" s="377"/>
      <c r="Q440" s="377"/>
      <c r="R440" s="377"/>
      <c r="S440" s="377"/>
      <c r="T440" s="377"/>
      <c r="U440" s="377"/>
      <c r="V440" s="377"/>
    </row>
    <row r="441" spans="1:22" ht="15.75" x14ac:dyDescent="0.25">
      <c r="A441" s="381">
        <f t="shared" si="158"/>
        <v>402</v>
      </c>
      <c r="B441" s="1022" t="s">
        <v>1278</v>
      </c>
      <c r="C441" s="1022"/>
      <c r="D441" s="1021">
        <v>8644</v>
      </c>
      <c r="E441" s="379"/>
      <c r="F441" s="1022" t="s">
        <v>1278</v>
      </c>
      <c r="G441" s="1023">
        <v>7074</v>
      </c>
      <c r="H441" s="379"/>
      <c r="I441" s="1010" t="s">
        <v>1157</v>
      </c>
      <c r="J441" s="1010">
        <v>0.23</v>
      </c>
      <c r="P441" s="377"/>
      <c r="Q441" s="377"/>
      <c r="R441" s="377"/>
      <c r="S441" s="377"/>
      <c r="T441" s="377"/>
      <c r="U441" s="377"/>
      <c r="V441" s="377"/>
    </row>
    <row r="442" spans="1:22" ht="15.75" x14ac:dyDescent="0.25">
      <c r="A442" s="381">
        <f t="shared" si="158"/>
        <v>403</v>
      </c>
      <c r="B442" s="1022" t="s">
        <v>1279</v>
      </c>
      <c r="C442" s="1022"/>
      <c r="D442" s="1021">
        <v>12447</v>
      </c>
      <c r="E442" s="379"/>
      <c r="F442" s="1022" t="s">
        <v>1279</v>
      </c>
      <c r="G442" s="1023">
        <v>7265</v>
      </c>
      <c r="H442" s="379"/>
      <c r="I442" s="1010" t="s">
        <v>1280</v>
      </c>
      <c r="J442" s="1010">
        <v>0.03</v>
      </c>
      <c r="K442" t="s">
        <v>1281</v>
      </c>
      <c r="P442" s="377"/>
      <c r="Q442" s="377"/>
      <c r="R442" s="377"/>
      <c r="S442" s="377"/>
      <c r="T442" s="377"/>
      <c r="U442" s="377"/>
      <c r="V442" s="377"/>
    </row>
    <row r="443" spans="1:22" ht="15.75" x14ac:dyDescent="0.25">
      <c r="A443" s="381">
        <f t="shared" si="158"/>
        <v>404</v>
      </c>
      <c r="B443" s="1022" t="s">
        <v>1282</v>
      </c>
      <c r="C443" s="1022"/>
      <c r="D443" s="1021">
        <v>8881</v>
      </c>
      <c r="E443" s="379"/>
      <c r="F443" s="1022" t="s">
        <v>1282</v>
      </c>
      <c r="G443" s="1023">
        <v>7265</v>
      </c>
      <c r="H443" s="379"/>
      <c r="I443" s="1010" t="s">
        <v>1158</v>
      </c>
      <c r="J443" s="1010">
        <v>0.12</v>
      </c>
      <c r="P443" s="377"/>
      <c r="Q443" s="377"/>
      <c r="R443" s="377"/>
      <c r="S443" s="377"/>
      <c r="T443" s="377"/>
      <c r="U443" s="377"/>
      <c r="V443" s="377"/>
    </row>
    <row r="444" spans="1:22" ht="15.75" x14ac:dyDescent="0.25">
      <c r="A444" s="381">
        <f t="shared" si="158"/>
        <v>405</v>
      </c>
      <c r="B444" s="1022" t="s">
        <v>1283</v>
      </c>
      <c r="C444" s="1022"/>
      <c r="D444" s="1021">
        <v>11779</v>
      </c>
      <c r="E444" s="379"/>
      <c r="F444" s="1022" t="s">
        <v>1283</v>
      </c>
      <c r="G444" s="1023">
        <v>7265</v>
      </c>
      <c r="H444" s="379"/>
      <c r="P444" s="377"/>
      <c r="Q444" s="377"/>
      <c r="R444" s="377"/>
      <c r="S444" s="377"/>
      <c r="T444" s="377"/>
      <c r="U444" s="377"/>
      <c r="V444" s="377"/>
    </row>
    <row r="445" spans="1:22" ht="15.75" x14ac:dyDescent="0.25">
      <c r="A445" s="381">
        <f t="shared" si="158"/>
        <v>406</v>
      </c>
      <c r="B445" s="1022" t="s">
        <v>1284</v>
      </c>
      <c r="C445" s="1022"/>
      <c r="D445" s="1021">
        <v>23243</v>
      </c>
      <c r="E445" s="379"/>
      <c r="F445" s="1022" t="s">
        <v>1284</v>
      </c>
      <c r="G445" s="1023">
        <v>7074</v>
      </c>
      <c r="H445" s="379"/>
      <c r="P445" s="377"/>
      <c r="Q445" s="377"/>
      <c r="R445" s="377"/>
      <c r="S445" s="377"/>
      <c r="T445" s="377"/>
      <c r="U445" s="377"/>
      <c r="V445" s="377"/>
    </row>
    <row r="446" spans="1:22" ht="15.75" x14ac:dyDescent="0.25">
      <c r="A446" s="381">
        <f t="shared" si="158"/>
        <v>407</v>
      </c>
      <c r="B446" s="1022" t="s">
        <v>1172</v>
      </c>
      <c r="C446" s="1022"/>
      <c r="D446" s="1021">
        <v>7318</v>
      </c>
      <c r="E446" s="379"/>
      <c r="F446" s="1022" t="s">
        <v>1172</v>
      </c>
      <c r="G446" s="1023">
        <v>7074</v>
      </c>
      <c r="H446" s="379"/>
      <c r="I446" s="377"/>
      <c r="P446" s="377"/>
      <c r="Q446" s="377"/>
      <c r="R446" s="377"/>
      <c r="S446" s="377"/>
      <c r="T446" s="377"/>
      <c r="U446" s="377"/>
      <c r="V446" s="377"/>
    </row>
    <row r="447" spans="1:22" ht="15.75" x14ac:dyDescent="0.25">
      <c r="A447" s="381">
        <f t="shared" si="158"/>
        <v>408</v>
      </c>
      <c r="B447" s="1022" t="s">
        <v>1173</v>
      </c>
      <c r="C447" s="1022"/>
      <c r="D447" s="1020">
        <v>11444.55</v>
      </c>
      <c r="E447" s="382"/>
      <c r="F447" s="1022" t="s">
        <v>1173</v>
      </c>
      <c r="G447" s="1023">
        <v>7265</v>
      </c>
      <c r="H447" s="379"/>
      <c r="I447" s="377"/>
      <c r="P447" s="377"/>
      <c r="Q447" s="377"/>
      <c r="R447" s="377"/>
      <c r="S447" s="377"/>
      <c r="T447" s="377"/>
      <c r="U447" s="377"/>
      <c r="V447" s="377"/>
    </row>
    <row r="448" spans="1:22" ht="15.75" x14ac:dyDescent="0.25">
      <c r="A448" s="381">
        <f t="shared" si="158"/>
        <v>409</v>
      </c>
      <c r="B448" s="377"/>
      <c r="C448" s="377"/>
      <c r="D448" s="377"/>
      <c r="E448" s="377"/>
      <c r="F448" s="377" t="s">
        <v>1272</v>
      </c>
      <c r="G448" s="1008">
        <f>+B427</f>
        <v>7074</v>
      </c>
      <c r="H448" s="377"/>
      <c r="I448" s="377"/>
      <c r="P448" s="377"/>
      <c r="Q448" s="377"/>
      <c r="R448" s="377"/>
      <c r="S448" s="377"/>
      <c r="T448" s="377"/>
      <c r="U448" s="377"/>
      <c r="V448" s="377"/>
    </row>
    <row r="449" spans="1:22" ht="15.75" x14ac:dyDescent="0.25">
      <c r="A449" s="381">
        <f t="shared" si="158"/>
        <v>410</v>
      </c>
      <c r="P449" s="377"/>
      <c r="Q449" s="377"/>
      <c r="R449" s="377"/>
      <c r="S449" s="377"/>
      <c r="T449" s="377"/>
      <c r="U449" s="377"/>
      <c r="V449" s="377"/>
    </row>
    <row r="450" spans="1:22" ht="15.75" x14ac:dyDescent="0.25">
      <c r="A450" s="381">
        <f t="shared" si="158"/>
        <v>411</v>
      </c>
      <c r="P450" s="377"/>
      <c r="Q450" s="377"/>
      <c r="R450" s="377"/>
      <c r="S450" s="377"/>
      <c r="T450" s="377"/>
      <c r="U450" s="377"/>
      <c r="V450" s="377"/>
    </row>
    <row r="451" spans="1:22" ht="15.75" x14ac:dyDescent="0.25">
      <c r="A451" s="381">
        <f t="shared" si="158"/>
        <v>412</v>
      </c>
      <c r="P451" s="377"/>
      <c r="Q451" s="377"/>
      <c r="R451" s="377"/>
      <c r="S451" s="377"/>
      <c r="T451" s="377"/>
      <c r="U451" s="377"/>
      <c r="V451" s="377"/>
    </row>
    <row r="452" spans="1:22" ht="15.75" x14ac:dyDescent="0.25">
      <c r="A452" s="377"/>
      <c r="P452" s="377"/>
      <c r="Q452" s="377"/>
      <c r="R452" s="377"/>
      <c r="S452" s="377"/>
      <c r="T452" s="377"/>
      <c r="U452" s="377"/>
      <c r="V452" s="377"/>
    </row>
    <row r="453" spans="1:22" ht="15.75" x14ac:dyDescent="0.25">
      <c r="A453" s="377"/>
      <c r="O453" s="390"/>
      <c r="P453" s="377"/>
      <c r="Q453" s="377"/>
      <c r="R453" s="377"/>
      <c r="S453" s="377"/>
      <c r="T453" s="377"/>
      <c r="U453" s="377"/>
      <c r="V453" s="377"/>
    </row>
    <row r="454" spans="1:22" ht="15.75" x14ac:dyDescent="0.25">
      <c r="A454" s="377"/>
      <c r="O454" s="377"/>
      <c r="P454" s="377"/>
      <c r="Q454" s="377"/>
      <c r="R454" s="377"/>
      <c r="S454" s="377"/>
      <c r="T454" s="377"/>
      <c r="U454" s="377"/>
      <c r="V454" s="377"/>
    </row>
    <row r="455" spans="1:22" x14ac:dyDescent="0.25">
      <c r="P455" s="1220"/>
    </row>
  </sheetData>
  <sheetProtection algorithmName="SHA-512" hashValue="fuFhzuPqx6WCpwvIVjNObw0yBz+eZLqpiwSHDzRfC3p/JljrH7ZFyp3oAq9Jnh3uTvP1pIjwB/KjaF7GDkDf+Q==" saltValue="Ax8bP5ZPTiMKqQ/Wlw34ZQ==" spinCount="100000" sheet="1" objects="1" scenarios="1"/>
  <mergeCells count="1">
    <mergeCell ref="S45:T45"/>
  </mergeCells>
  <conditionalFormatting sqref="J1">
    <cfRule type="expression" dxfId="7" priority="2" stopIfTrue="1">
      <formula>MOD(ROW(),2)=0</formula>
    </cfRule>
  </conditionalFormatting>
  <conditionalFormatting sqref="V1">
    <cfRule type="expression" dxfId="6" priority="3" stopIfTrue="1">
      <formula>MOD(ROW(),2)=0</formula>
    </cfRule>
  </conditionalFormatting>
  <hyperlinks>
    <hyperlink ref="J1" location="HypLink1" display="HypLink1" xr:uid="{9E2FC4C3-8621-475D-8FFA-7FBF029BDE36}"/>
    <hyperlink ref="B41" r:id="rId1" xr:uid="{67A7F998-FF0F-4F29-B58E-EF412EEB7D25}"/>
    <hyperlink ref="B10" r:id="rId2" xr:uid="{DDFAEC1D-D76B-49AD-8CCD-C18F090A1AB3}"/>
    <hyperlink ref="B25" r:id="rId3" xr:uid="{997C83EC-2122-44FE-A92A-609CF0B2FF4B}"/>
  </hyperlinks>
  <pageMargins left="0.25" right="0.25" top="0.5" bottom="0.45" header="0.25" footer="0.25"/>
  <pageSetup scale="82" fitToHeight="0" orientation="landscape" r:id="rId4"/>
  <headerFooter>
    <oddHeader xml:space="preserve">&amp;L &amp;C &amp;R </oddHeader>
    <oddFooter>&amp;L&amp;7&amp;D  at &amp;T Mike 702.486.8879&amp;C&amp;7&amp;F  &amp;A&amp;R&amp;7Page &amp;P of &amp;N</oddFooter>
  </headerFooter>
  <rowBreaks count="4" manualBreakCount="4">
    <brk id="76" max="13" man="1"/>
    <brk id="121" max="13" man="1"/>
    <brk id="302" max="13" man="1"/>
    <brk id="429" max="13" man="1"/>
  </rowBreaks>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workbookViewId="0">
      <selection activeCell="E67" sqref="E67"/>
    </sheetView>
  </sheetViews>
  <sheetFormatPr defaultColWidth="9.28515625" defaultRowHeight="12.75" x14ac:dyDescent="0.25"/>
  <cols>
    <col min="1" max="1" width="30" style="197" customWidth="1"/>
    <col min="2" max="2" width="30.7109375" style="197" customWidth="1"/>
    <col min="3" max="4" width="9" style="197" customWidth="1"/>
    <col min="5" max="5" width="7.42578125" style="1470" customWidth="1"/>
    <col min="6" max="6" width="7" style="1470" customWidth="1"/>
    <col min="7" max="7" width="12" style="1470" customWidth="1"/>
    <col min="8" max="8" width="8.28515625" style="1470" customWidth="1"/>
    <col min="9" max="9" width="12.5703125" style="1470" customWidth="1"/>
    <col min="10" max="10" width="8.5703125" style="1470" customWidth="1"/>
    <col min="11" max="11" width="12.7109375" style="1470" customWidth="1"/>
    <col min="12" max="12" width="11.42578125" style="1470" customWidth="1"/>
    <col min="13" max="13" width="10.5703125" style="1470" customWidth="1"/>
    <col min="14" max="14" width="2.7109375" style="197" customWidth="1"/>
    <col min="15" max="16384" width="9.28515625" style="197"/>
  </cols>
  <sheetData>
    <row r="1" spans="1:14" ht="15.75" x14ac:dyDescent="0.25">
      <c r="A1" s="200" t="s">
        <v>1290</v>
      </c>
      <c r="B1" s="200"/>
      <c r="D1" s="408" t="s">
        <v>3</v>
      </c>
      <c r="H1" s="1471" t="s">
        <v>806</v>
      </c>
      <c r="I1" s="1471" t="s">
        <v>807</v>
      </c>
      <c r="J1" s="1471" t="s">
        <v>808</v>
      </c>
      <c r="K1" s="1471" t="s">
        <v>809</v>
      </c>
      <c r="L1" s="1471" t="s">
        <v>810</v>
      </c>
      <c r="M1" s="1472" t="s">
        <v>811</v>
      </c>
    </row>
    <row r="2" spans="1:14" ht="15.75" x14ac:dyDescent="0.25">
      <c r="A2" s="201" t="str">
        <f>SchoolName</f>
        <v>Odyssey Charter School</v>
      </c>
      <c r="B2" s="201"/>
      <c r="H2" s="1473">
        <f>+' Enrol &amp; Rev'!G10</f>
        <v>2025</v>
      </c>
      <c r="I2" s="1474">
        <f>+H3</f>
        <v>2026</v>
      </c>
      <c r="J2" s="1474">
        <f>+I3</f>
        <v>2027</v>
      </c>
      <c r="K2" s="1474">
        <f>+J3</f>
        <v>2028</v>
      </c>
      <c r="L2" s="1474">
        <f>+K3</f>
        <v>2029</v>
      </c>
      <c r="M2" s="1475">
        <f>+L3</f>
        <v>2030</v>
      </c>
    </row>
    <row r="3" spans="1:14" ht="15.75" x14ac:dyDescent="0.25">
      <c r="A3" s="198" t="s">
        <v>80</v>
      </c>
      <c r="H3" s="1476">
        <f t="shared" ref="H3:M3" si="0">+H2+1</f>
        <v>2026</v>
      </c>
      <c r="I3" s="1477">
        <f t="shared" si="0"/>
        <v>2027</v>
      </c>
      <c r="J3" s="1477">
        <f t="shared" si="0"/>
        <v>2028</v>
      </c>
      <c r="K3" s="1477">
        <f t="shared" si="0"/>
        <v>2029</v>
      </c>
      <c r="L3" s="1477">
        <f t="shared" si="0"/>
        <v>2030</v>
      </c>
      <c r="M3" s="1478">
        <f t="shared" si="0"/>
        <v>2031</v>
      </c>
    </row>
    <row r="4" spans="1:14" ht="15" x14ac:dyDescent="0.25">
      <c r="A4" s="199" t="s">
        <v>81</v>
      </c>
      <c r="F4" s="1470" t="s">
        <v>1291</v>
      </c>
      <c r="H4" s="1479">
        <f>+' Enrol &amp; Rev'!G36</f>
        <v>2320.02</v>
      </c>
      <c r="I4" s="1479">
        <f>+' Enrol &amp; Rev'!H36</f>
        <v>2320.02</v>
      </c>
      <c r="J4" s="1479">
        <f>+' Enrol &amp; Rev'!I36</f>
        <v>2320.02</v>
      </c>
      <c r="K4" s="1479">
        <f>+' Enrol &amp; Rev'!J36</f>
        <v>2320.02</v>
      </c>
      <c r="L4" s="1479">
        <f>+' Enrol &amp; Rev'!K36</f>
        <v>2320.02</v>
      </c>
      <c r="M4" s="1479">
        <f>+' Enrol &amp; Rev'!L36</f>
        <v>2320.02</v>
      </c>
    </row>
    <row r="5" spans="1:14" ht="15" x14ac:dyDescent="0.25">
      <c r="A5" s="219" t="str">
        <f ca="1">CELL("filename")</f>
        <v>\\lvraiders\users\sguthrie\Documents\Charter\Change of Sponsorship\[240126-SPCSA-Odyssey Charter School Application Workbook-AS-IS-Original Version.xlsx]Instructions</v>
      </c>
      <c r="H5" s="1470">
        <v>100</v>
      </c>
      <c r="I5" s="1480"/>
      <c r="J5" s="1480"/>
      <c r="K5" s="1480">
        <f>+' Enrol &amp; Rev'!J19</f>
        <v>0</v>
      </c>
      <c r="L5" s="1480">
        <f>+' Enrol &amp; Rev'!K19</f>
        <v>0</v>
      </c>
      <c r="M5" s="1480">
        <f>+' Enrol &amp; Rev'!L19</f>
        <v>0</v>
      </c>
    </row>
    <row r="6" spans="1:14" ht="15" x14ac:dyDescent="0.25">
      <c r="F6" s="1470" t="s">
        <v>1292</v>
      </c>
      <c r="H6" s="1480">
        <v>25</v>
      </c>
      <c r="I6" s="1480">
        <v>25</v>
      </c>
      <c r="J6" s="1480">
        <v>25</v>
      </c>
      <c r="K6" s="1480">
        <v>25</v>
      </c>
      <c r="L6" s="1480">
        <v>25</v>
      </c>
      <c r="M6" s="1480">
        <v>25</v>
      </c>
    </row>
    <row r="7" spans="1:14" ht="17.25" customHeight="1" x14ac:dyDescent="0.25">
      <c r="A7" s="771" t="s">
        <v>1293</v>
      </c>
      <c r="B7" s="772"/>
      <c r="C7" s="772"/>
      <c r="D7" s="772"/>
      <c r="E7" s="1481"/>
      <c r="F7" s="1481"/>
      <c r="G7" s="1481"/>
      <c r="H7" s="1481" t="s">
        <v>1570</v>
      </c>
      <c r="I7" s="1481"/>
      <c r="J7" s="1481"/>
      <c r="K7" s="1481"/>
      <c r="L7" s="1481"/>
      <c r="M7" s="1481"/>
      <c r="N7" s="218"/>
    </row>
    <row r="8" spans="1:14" ht="19.5" customHeight="1" x14ac:dyDescent="0.25">
      <c r="A8" s="213" t="s">
        <v>1294</v>
      </c>
      <c r="B8" s="215" t="s">
        <v>1295</v>
      </c>
      <c r="C8" s="216" t="s">
        <v>1296</v>
      </c>
      <c r="D8" s="216" t="s">
        <v>1297</v>
      </c>
      <c r="E8" s="1482" t="s">
        <v>1298</v>
      </c>
      <c r="F8" s="1799" t="s">
        <v>1299</v>
      </c>
      <c r="G8" s="1800"/>
      <c r="H8" s="1799" t="s">
        <v>1300</v>
      </c>
      <c r="I8" s="1800"/>
      <c r="J8" s="1799" t="s">
        <v>1301</v>
      </c>
      <c r="K8" s="1800"/>
      <c r="L8" s="1799" t="s">
        <v>1302</v>
      </c>
      <c r="M8" s="1800"/>
    </row>
    <row r="9" spans="1:14" ht="15" x14ac:dyDescent="0.25">
      <c r="A9" s="224" t="s">
        <v>584</v>
      </c>
      <c r="B9" s="227" t="s">
        <v>1303</v>
      </c>
      <c r="C9" s="214"/>
      <c r="D9" s="214"/>
      <c r="E9" s="1483"/>
      <c r="F9" s="264"/>
      <c r="G9" s="1484"/>
      <c r="H9" s="264"/>
      <c r="I9" s="1485"/>
      <c r="J9" s="264"/>
      <c r="K9" s="1485"/>
      <c r="L9" s="264"/>
      <c r="M9" s="1485"/>
    </row>
    <row r="10" spans="1:14" ht="15" x14ac:dyDescent="0.25">
      <c r="A10" s="225" t="s">
        <v>1304</v>
      </c>
      <c r="B10" s="228" t="s">
        <v>1305</v>
      </c>
      <c r="C10" s="206"/>
      <c r="D10" s="206"/>
      <c r="E10" s="1486"/>
      <c r="F10" s="1487"/>
      <c r="G10" s="1488"/>
      <c r="H10" s="1489"/>
      <c r="I10" s="1490"/>
      <c r="J10" s="1489"/>
      <c r="K10" s="1490"/>
      <c r="L10" s="1489"/>
      <c r="M10" s="1485"/>
    </row>
    <row r="11" spans="1:14" ht="15" x14ac:dyDescent="0.25">
      <c r="A11" s="225" t="s">
        <v>1306</v>
      </c>
      <c r="B11" s="228" t="s">
        <v>1307</v>
      </c>
      <c r="C11" s="206"/>
      <c r="D11" s="206"/>
      <c r="E11" s="1486"/>
      <c r="F11" s="264"/>
      <c r="G11" s="1488"/>
      <c r="H11" s="273"/>
      <c r="I11" s="1490"/>
      <c r="J11" s="278"/>
      <c r="K11" s="1490"/>
      <c r="L11" s="278"/>
      <c r="M11" s="1485"/>
    </row>
    <row r="12" spans="1:14" ht="15" x14ac:dyDescent="0.25">
      <c r="A12" s="225" t="s">
        <v>1308</v>
      </c>
      <c r="B12" s="228" t="s">
        <v>1309</v>
      </c>
      <c r="C12" s="217">
        <v>55</v>
      </c>
      <c r="D12" s="217">
        <v>100</v>
      </c>
      <c r="E12" s="266"/>
      <c r="F12" s="265"/>
      <c r="G12" s="1491"/>
      <c r="H12" s="274"/>
      <c r="I12" s="1491"/>
      <c r="J12" s="274"/>
      <c r="K12" s="1491"/>
      <c r="L12" s="274"/>
      <c r="M12" s="1491"/>
    </row>
    <row r="13" spans="1:14" ht="15" x14ac:dyDescent="0.25">
      <c r="A13" s="225"/>
      <c r="B13" s="228"/>
      <c r="C13" s="206"/>
      <c r="D13" s="206"/>
      <c r="E13" s="1492"/>
      <c r="F13" s="1493"/>
      <c r="G13" s="1484"/>
      <c r="H13" s="1493"/>
      <c r="I13" s="1485"/>
      <c r="J13" s="1493"/>
      <c r="K13" s="1485"/>
      <c r="L13" s="1493"/>
      <c r="M13" s="1485"/>
    </row>
    <row r="14" spans="1:14" ht="15" x14ac:dyDescent="0.25">
      <c r="A14" s="224" t="s">
        <v>1310</v>
      </c>
      <c r="B14" s="228"/>
      <c r="C14" s="206"/>
      <c r="D14" s="206"/>
      <c r="E14" s="1492"/>
      <c r="F14" s="1487"/>
      <c r="G14" s="1484"/>
      <c r="H14" s="1487"/>
      <c r="I14" s="1485"/>
      <c r="J14" s="1487"/>
      <c r="K14" s="1485"/>
      <c r="L14" s="1487"/>
      <c r="M14" s="1485"/>
    </row>
    <row r="15" spans="1:14" ht="24" customHeight="1" x14ac:dyDescent="0.25">
      <c r="A15" s="225" t="s">
        <v>1311</v>
      </c>
      <c r="B15" s="228" t="s">
        <v>1312</v>
      </c>
      <c r="C15" s="207">
        <v>750</v>
      </c>
      <c r="D15" s="207">
        <v>1000</v>
      </c>
      <c r="E15" s="267"/>
      <c r="F15" s="1487"/>
      <c r="G15" s="1494"/>
      <c r="H15" s="1487"/>
      <c r="I15" s="1494"/>
      <c r="J15" s="1495"/>
      <c r="K15" s="1494"/>
      <c r="L15" s="1495"/>
      <c r="M15" s="1494"/>
    </row>
    <row r="16" spans="1:14" ht="15" x14ac:dyDescent="0.25">
      <c r="A16" s="225" t="s">
        <v>1313</v>
      </c>
      <c r="B16" s="228" t="s">
        <v>1314</v>
      </c>
      <c r="C16" s="207">
        <v>850</v>
      </c>
      <c r="D16" s="207">
        <v>1200</v>
      </c>
      <c r="E16" s="267"/>
      <c r="F16" s="268"/>
      <c r="G16" s="1496"/>
      <c r="H16" s="264"/>
      <c r="I16" s="1496"/>
      <c r="J16" s="276"/>
      <c r="K16" s="1496"/>
      <c r="L16" s="276"/>
      <c r="M16" s="1496"/>
    </row>
    <row r="17" spans="1:13" ht="15" x14ac:dyDescent="0.25">
      <c r="A17" s="225" t="s">
        <v>1315</v>
      </c>
      <c r="B17" s="228" t="s">
        <v>1316</v>
      </c>
      <c r="C17" s="207">
        <v>850</v>
      </c>
      <c r="D17" s="207">
        <v>1200</v>
      </c>
      <c r="E17" s="267"/>
      <c r="F17" s="269"/>
      <c r="G17" s="1496"/>
      <c r="H17" s="264"/>
      <c r="I17" s="1496"/>
      <c r="J17" s="276"/>
      <c r="K17" s="1496"/>
      <c r="L17" s="276"/>
      <c r="M17" s="1496"/>
    </row>
    <row r="18" spans="1:13" ht="31.5" customHeight="1" x14ac:dyDescent="0.25">
      <c r="A18" s="225" t="s">
        <v>1317</v>
      </c>
      <c r="B18" s="228" t="s">
        <v>1318</v>
      </c>
      <c r="C18" s="207"/>
      <c r="D18" s="207"/>
      <c r="E18" s="267"/>
      <c r="F18" s="269"/>
      <c r="G18" s="1496"/>
      <c r="H18" s="264"/>
      <c r="I18" s="1496"/>
      <c r="J18" s="276"/>
      <c r="K18" s="1496"/>
      <c r="L18" s="276"/>
      <c r="M18" s="1496"/>
    </row>
    <row r="19" spans="1:13" ht="27.75" customHeight="1" x14ac:dyDescent="0.25">
      <c r="A19" s="225" t="s">
        <v>1319</v>
      </c>
      <c r="B19" s="228" t="s">
        <v>1320</v>
      </c>
      <c r="C19" s="207"/>
      <c r="D19" s="207"/>
      <c r="E19" s="267"/>
      <c r="F19" s="269"/>
      <c r="G19" s="1496"/>
      <c r="H19" s="264"/>
      <c r="I19" s="1496"/>
      <c r="J19" s="276"/>
      <c r="K19" s="1496"/>
      <c r="L19" s="276"/>
      <c r="M19" s="1496"/>
    </row>
    <row r="20" spans="1:13" ht="15" x14ac:dyDescent="0.25">
      <c r="A20" s="225" t="s">
        <v>1321</v>
      </c>
      <c r="B20" s="228" t="s">
        <v>1322</v>
      </c>
      <c r="C20" s="207"/>
      <c r="D20" s="207"/>
      <c r="E20" s="267"/>
      <c r="F20" s="269"/>
      <c r="G20" s="1496"/>
      <c r="H20" s="264"/>
      <c r="I20" s="1496"/>
      <c r="J20" s="276"/>
      <c r="K20" s="1496"/>
      <c r="L20" s="276"/>
      <c r="M20" s="1496"/>
    </row>
    <row r="21" spans="1:13" ht="15" x14ac:dyDescent="0.25">
      <c r="A21" s="225" t="s">
        <v>1323</v>
      </c>
      <c r="B21" s="228" t="s">
        <v>1324</v>
      </c>
      <c r="C21" s="207">
        <v>70</v>
      </c>
      <c r="D21" s="207">
        <v>100</v>
      </c>
      <c r="E21" s="267"/>
      <c r="F21" s="269"/>
      <c r="G21" s="1496"/>
      <c r="H21" s="264"/>
      <c r="I21" s="1496"/>
      <c r="J21" s="276"/>
      <c r="K21" s="1496"/>
      <c r="L21" s="276"/>
      <c r="M21" s="1496"/>
    </row>
    <row r="22" spans="1:13" ht="15" x14ac:dyDescent="0.25">
      <c r="A22" s="225" t="s">
        <v>1325</v>
      </c>
      <c r="B22" s="228" t="s">
        <v>1326</v>
      </c>
      <c r="C22" s="207"/>
      <c r="D22" s="207"/>
      <c r="E22" s="267"/>
      <c r="F22" s="269"/>
      <c r="G22" s="1496"/>
      <c r="H22" s="264"/>
      <c r="I22" s="1496"/>
      <c r="J22" s="276"/>
      <c r="K22" s="1496"/>
      <c r="L22" s="276"/>
      <c r="M22" s="1496"/>
    </row>
    <row r="23" spans="1:13" ht="15" x14ac:dyDescent="0.25">
      <c r="A23" s="225" t="s">
        <v>1327</v>
      </c>
      <c r="B23" s="228" t="s">
        <v>1328</v>
      </c>
      <c r="C23" s="207"/>
      <c r="D23" s="207"/>
      <c r="E23" s="267"/>
      <c r="F23" s="269"/>
      <c r="G23" s="1496"/>
      <c r="H23" s="264"/>
      <c r="I23" s="1496"/>
      <c r="J23" s="276"/>
      <c r="K23" s="1496"/>
      <c r="L23" s="276"/>
      <c r="M23" s="1496"/>
    </row>
    <row r="24" spans="1:13" ht="15" x14ac:dyDescent="0.25">
      <c r="A24" s="225" t="s">
        <v>1329</v>
      </c>
      <c r="B24" s="228" t="s">
        <v>1330</v>
      </c>
      <c r="C24" s="207"/>
      <c r="D24" s="207"/>
      <c r="E24" s="267"/>
      <c r="F24" s="269"/>
      <c r="G24" s="1496"/>
      <c r="H24" s="264"/>
      <c r="I24" s="1496"/>
      <c r="J24" s="276"/>
      <c r="K24" s="1496"/>
      <c r="L24" s="276"/>
      <c r="M24" s="1496"/>
    </row>
    <row r="25" spans="1:13" ht="15" x14ac:dyDescent="0.25">
      <c r="A25" s="225" t="s">
        <v>1331</v>
      </c>
      <c r="B25" s="228" t="s">
        <v>1332</v>
      </c>
      <c r="C25" s="207"/>
      <c r="D25" s="207"/>
      <c r="E25" s="267"/>
      <c r="F25" s="269"/>
      <c r="G25" s="1496"/>
      <c r="H25" s="264"/>
      <c r="I25" s="1496"/>
      <c r="J25" s="276"/>
      <c r="K25" s="1496"/>
      <c r="L25" s="276"/>
      <c r="M25" s="1496"/>
    </row>
    <row r="26" spans="1:13" ht="15" x14ac:dyDescent="0.25">
      <c r="A26" s="225" t="s">
        <v>1333</v>
      </c>
      <c r="B26" s="228" t="s">
        <v>1334</v>
      </c>
      <c r="C26" s="207"/>
      <c r="D26" s="207"/>
      <c r="E26" s="267"/>
      <c r="F26" s="269"/>
      <c r="G26" s="1496"/>
      <c r="H26" s="264"/>
      <c r="I26" s="1496"/>
      <c r="J26" s="276"/>
      <c r="K26" s="1496"/>
      <c r="L26" s="276"/>
      <c r="M26" s="1496"/>
    </row>
    <row r="27" spans="1:13" ht="15" x14ac:dyDescent="0.25">
      <c r="A27" s="225" t="s">
        <v>1335</v>
      </c>
      <c r="B27" s="228" t="s">
        <v>1336</v>
      </c>
      <c r="C27" s="207"/>
      <c r="D27" s="207"/>
      <c r="E27" s="267"/>
      <c r="F27" s="269"/>
      <c r="G27" s="1496"/>
      <c r="H27" s="264"/>
      <c r="I27" s="1496"/>
      <c r="J27" s="276"/>
      <c r="K27" s="1496"/>
      <c r="L27" s="276"/>
      <c r="M27" s="1496"/>
    </row>
    <row r="28" spans="1:13" ht="30" x14ac:dyDescent="0.25">
      <c r="A28" s="225" t="s">
        <v>1337</v>
      </c>
      <c r="B28" s="228" t="s">
        <v>1338</v>
      </c>
      <c r="C28" s="207"/>
      <c r="D28" s="207"/>
      <c r="E28" s="267"/>
      <c r="F28" s="269"/>
      <c r="G28" s="1496"/>
      <c r="H28" s="264"/>
      <c r="I28" s="1496"/>
      <c r="J28" s="276"/>
      <c r="K28" s="1496"/>
      <c r="L28" s="276"/>
      <c r="M28" s="1496"/>
    </row>
    <row r="29" spans="1:13" ht="30" x14ac:dyDescent="0.25">
      <c r="A29" s="225" t="s">
        <v>1339</v>
      </c>
      <c r="B29" s="228" t="s">
        <v>1340</v>
      </c>
      <c r="C29" s="207">
        <v>7</v>
      </c>
      <c r="D29" s="207">
        <v>10</v>
      </c>
      <c r="E29" s="1497"/>
      <c r="F29" s="270"/>
      <c r="G29" s="1496"/>
      <c r="H29" s="270"/>
      <c r="I29" s="1496"/>
      <c r="J29" s="270"/>
      <c r="K29" s="1496"/>
      <c r="L29" s="270"/>
      <c r="M29" s="1496"/>
    </row>
    <row r="30" spans="1:13" ht="15" x14ac:dyDescent="0.25">
      <c r="A30" s="225" t="s">
        <v>1341</v>
      </c>
      <c r="B30" s="228" t="s">
        <v>1342</v>
      </c>
      <c r="C30" s="207"/>
      <c r="D30" s="207"/>
      <c r="E30" s="267"/>
      <c r="F30" s="269"/>
      <c r="G30" s="1496"/>
      <c r="H30" s="264"/>
      <c r="I30" s="1496"/>
      <c r="J30" s="276"/>
      <c r="K30" s="1496"/>
      <c r="L30" s="276"/>
      <c r="M30" s="1496"/>
    </row>
    <row r="31" spans="1:13" ht="15" x14ac:dyDescent="0.25">
      <c r="A31" s="225" t="s">
        <v>1343</v>
      </c>
      <c r="B31" s="228" t="s">
        <v>1344</v>
      </c>
      <c r="C31" s="207"/>
      <c r="D31" s="207"/>
      <c r="E31" s="267"/>
      <c r="F31" s="269"/>
      <c r="G31" s="1496"/>
      <c r="H31" s="264"/>
      <c r="I31" s="1496"/>
      <c r="J31" s="276"/>
      <c r="K31" s="1496"/>
      <c r="L31" s="276"/>
      <c r="M31" s="1496"/>
    </row>
    <row r="32" spans="1:13" ht="15" x14ac:dyDescent="0.25">
      <c r="A32" s="225" t="s">
        <v>1345</v>
      </c>
      <c r="B32" s="228" t="s">
        <v>1346</v>
      </c>
      <c r="C32" s="207"/>
      <c r="D32" s="207"/>
      <c r="E32" s="267"/>
      <c r="F32" s="269"/>
      <c r="G32" s="1496"/>
      <c r="H32" s="264"/>
      <c r="I32" s="1496"/>
      <c r="J32" s="276"/>
      <c r="K32" s="1496"/>
      <c r="L32" s="276"/>
      <c r="M32" s="1496"/>
    </row>
    <row r="33" spans="1:13" ht="15" x14ac:dyDescent="0.25">
      <c r="A33" s="225" t="s">
        <v>1347</v>
      </c>
      <c r="B33" s="228" t="s">
        <v>1348</v>
      </c>
      <c r="C33" s="207"/>
      <c r="D33" s="207"/>
      <c r="E33" s="267"/>
      <c r="F33" s="269"/>
      <c r="G33" s="1496"/>
      <c r="H33" s="264"/>
      <c r="I33" s="1496"/>
      <c r="J33" s="276"/>
      <c r="K33" s="1496"/>
      <c r="L33" s="276"/>
      <c r="M33" s="1496"/>
    </row>
    <row r="34" spans="1:13" ht="30" x14ac:dyDescent="0.25">
      <c r="A34" s="226" t="s">
        <v>1349</v>
      </c>
      <c r="B34" s="229" t="s">
        <v>1350</v>
      </c>
      <c r="C34" s="208"/>
      <c r="D34" s="208"/>
      <c r="E34" s="272"/>
      <c r="F34" s="271"/>
      <c r="G34" s="1498"/>
      <c r="H34" s="275"/>
      <c r="I34" s="1498"/>
      <c r="J34" s="277"/>
      <c r="K34" s="1498"/>
      <c r="L34" s="277"/>
      <c r="M34" s="1498"/>
    </row>
    <row r="35" spans="1:13" ht="30" x14ac:dyDescent="0.25">
      <c r="A35" s="202" t="s">
        <v>1351</v>
      </c>
      <c r="B35" s="230"/>
      <c r="C35" s="205"/>
      <c r="D35" s="205"/>
      <c r="E35" s="1499"/>
      <c r="F35" s="1500"/>
      <c r="G35" s="1501">
        <f>SUM(G15:G34)</f>
        <v>0</v>
      </c>
      <c r="H35" s="1502"/>
      <c r="I35" s="1501">
        <f>SUM(I15:I34)</f>
        <v>0</v>
      </c>
      <c r="J35" s="1502"/>
      <c r="K35" s="1501">
        <f>SUM(K15:K34)</f>
        <v>0</v>
      </c>
      <c r="L35" s="1502"/>
      <c r="M35" s="1501">
        <f>SUM(M15:M34)</f>
        <v>0</v>
      </c>
    </row>
    <row r="36" spans="1:13" ht="15" x14ac:dyDescent="0.25">
      <c r="A36" s="203" t="s">
        <v>1352</v>
      </c>
      <c r="B36" s="232" t="s">
        <v>1353</v>
      </c>
      <c r="C36" s="233"/>
      <c r="D36" s="233"/>
      <c r="E36" s="279"/>
      <c r="F36" s="1503"/>
      <c r="G36" s="1504">
        <f>+G35*$E36</f>
        <v>0</v>
      </c>
      <c r="H36" s="1505"/>
      <c r="I36" s="1504">
        <f>+I35*$E36</f>
        <v>0</v>
      </c>
      <c r="J36" s="1505"/>
      <c r="K36" s="1504">
        <f>+K35*$E36</f>
        <v>0</v>
      </c>
      <c r="L36" s="1505"/>
      <c r="M36" s="1504">
        <f>+M35*$E36</f>
        <v>0</v>
      </c>
    </row>
    <row r="37" spans="1:13" ht="15" x14ac:dyDescent="0.25">
      <c r="A37" s="209" t="s">
        <v>1354</v>
      </c>
      <c r="B37" s="210" t="s">
        <v>1355</v>
      </c>
      <c r="C37" s="204"/>
      <c r="D37" s="204"/>
      <c r="E37" s="1506"/>
      <c r="F37" s="1506"/>
      <c r="G37" s="1507">
        <f>+G35+G36</f>
        <v>0</v>
      </c>
      <c r="H37" s="1508"/>
      <c r="I37" s="1507">
        <f>+I35+I36</f>
        <v>0</v>
      </c>
      <c r="J37" s="1508"/>
      <c r="K37" s="1507">
        <f>+K35+K36</f>
        <v>0</v>
      </c>
      <c r="L37" s="1508"/>
      <c r="M37" s="1507">
        <f>+M35+M36</f>
        <v>0</v>
      </c>
    </row>
    <row r="38" spans="1:13" ht="15" x14ac:dyDescent="0.25">
      <c r="A38" s="211" t="s">
        <v>1356</v>
      </c>
      <c r="B38" s="212" t="s">
        <v>1357</v>
      </c>
      <c r="C38" s="204"/>
      <c r="D38" s="204"/>
      <c r="E38" s="1506"/>
      <c r="F38" s="1506"/>
      <c r="G38" s="1509" t="e">
        <f>+G37/F9</f>
        <v>#DIV/0!</v>
      </c>
      <c r="H38" s="1510"/>
      <c r="I38" s="1509" t="e">
        <f>+I37/H9</f>
        <v>#DIV/0!</v>
      </c>
      <c r="J38" s="1510"/>
      <c r="K38" s="1509" t="e">
        <f>+K37/J9</f>
        <v>#DIV/0!</v>
      </c>
      <c r="L38" s="1510"/>
      <c r="M38" s="1509" t="e">
        <f>+M37/L9</f>
        <v>#DIV/0!</v>
      </c>
    </row>
    <row r="39" spans="1:13" ht="15.75" x14ac:dyDescent="0.25">
      <c r="C39" s="331" t="s">
        <v>1358</v>
      </c>
      <c r="D39" s="331"/>
      <c r="E39" s="1511"/>
      <c r="F39" s="1512"/>
      <c r="G39" s="1513">
        <f>+$E39*G$37*12</f>
        <v>0</v>
      </c>
      <c r="H39" s="1514" t="s">
        <v>755</v>
      </c>
      <c r="I39" s="1513">
        <f>+$E39*I$37*12</f>
        <v>0</v>
      </c>
      <c r="J39" s="1514" t="s">
        <v>755</v>
      </c>
      <c r="K39" s="1515">
        <f>+$E39*K$37</f>
        <v>0</v>
      </c>
      <c r="M39" s="1515">
        <f>+$E39*M$37</f>
        <v>0</v>
      </c>
    </row>
    <row r="40" spans="1:13" ht="15.75" x14ac:dyDescent="0.25">
      <c r="A40" s="231" t="s">
        <v>1359</v>
      </c>
      <c r="C40" s="331" t="s">
        <v>1360</v>
      </c>
      <c r="D40" s="331"/>
      <c r="E40" s="1511"/>
      <c r="F40" s="1512"/>
      <c r="G40" s="1513">
        <f t="shared" ref="G40:I40" si="1">+$E40*G$37*12</f>
        <v>0</v>
      </c>
      <c r="H40" s="1514" t="s">
        <v>755</v>
      </c>
      <c r="I40" s="1513">
        <f t="shared" si="1"/>
        <v>0</v>
      </c>
      <c r="J40" s="1514" t="s">
        <v>755</v>
      </c>
      <c r="K40" s="1515">
        <f>+$E40*K$37</f>
        <v>0</v>
      </c>
      <c r="M40" s="1515">
        <f>+$E40*M$37</f>
        <v>0</v>
      </c>
    </row>
    <row r="41" spans="1:13" x14ac:dyDescent="0.25">
      <c r="A41" s="197" t="s">
        <v>1361</v>
      </c>
    </row>
    <row r="42" spans="1:13" x14ac:dyDescent="0.25">
      <c r="A42" s="197" t="s">
        <v>1362</v>
      </c>
    </row>
    <row r="43" spans="1:13" x14ac:dyDescent="0.25">
      <c r="A43" s="197" t="s">
        <v>1363</v>
      </c>
    </row>
  </sheetData>
  <sheetProtection algorithmName="SHA-512" hashValue="2CN6aGUfGqGQpUVAjsQIBDphVcNW4Kn8ZJSTQUHIqRX+JONq+jgb2LtaJdKf27LgOsUJ9xR+zvzbwIVD/N9nww==" saltValue="AuIY4XoE1q8yPpeGdC/woA==" spinCount="100000" sheet="1" objects="1" scenarios="1"/>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50E317FE-1D40-462D-BA80-07D89AD0AAEE}"/>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27-B61A-43B9-B961-6241615C3083}">
  <sheetPr codeName="Sheet20">
    <tabColor theme="0" tint="-0.34998626667073579"/>
    <pageSetUpPr fitToPage="1"/>
  </sheetPr>
  <dimension ref="A1:U98"/>
  <sheetViews>
    <sheetView topLeftCell="A15" workbookViewId="0">
      <selection activeCell="E67" sqref="E67"/>
    </sheetView>
  </sheetViews>
  <sheetFormatPr defaultColWidth="9.28515625" defaultRowHeight="12.75" x14ac:dyDescent="0.2"/>
  <cols>
    <col min="1" max="1" width="5.28515625" style="6" customWidth="1"/>
    <col min="2" max="16384" width="9.28515625" style="6"/>
  </cols>
  <sheetData>
    <row r="1" spans="1:11" ht="15.75" x14ac:dyDescent="0.25">
      <c r="A1" s="305" t="s">
        <v>1364</v>
      </c>
      <c r="B1" s="305"/>
      <c r="C1" s="305"/>
      <c r="K1" s="372" t="s">
        <v>3</v>
      </c>
    </row>
    <row r="2" spans="1:11" ht="15.75" x14ac:dyDescent="0.25">
      <c r="A2" s="25" t="str">
        <f>SchoolName</f>
        <v>Odyssey Charter School</v>
      </c>
      <c r="B2" s="27"/>
      <c r="C2" s="27"/>
    </row>
    <row r="3" spans="1:11" x14ac:dyDescent="0.2">
      <c r="A3" s="10" t="s">
        <v>80</v>
      </c>
    </row>
    <row r="4" spans="1:11" x14ac:dyDescent="0.2">
      <c r="A4" s="9" t="s">
        <v>81</v>
      </c>
    </row>
    <row r="5" spans="1:11" x14ac:dyDescent="0.2">
      <c r="A5" s="8" t="str">
        <f ca="1">CELL("filename")</f>
        <v>\\lvraiders\users\sguthrie\Documents\Charter\Change of Sponsorship\[240126-SPCSA-Odyssey Charter School Application Workbook-AS-IS-Original Version.xlsx]Instructions</v>
      </c>
    </row>
    <row r="7" spans="1:11" x14ac:dyDescent="0.2">
      <c r="B7" s="367" t="s">
        <v>1365</v>
      </c>
      <c r="C7" s="6" t="s">
        <v>1366</v>
      </c>
    </row>
    <row r="8" spans="1:11" x14ac:dyDescent="0.2">
      <c r="B8" s="367" t="s">
        <v>1367</v>
      </c>
      <c r="C8" s="6" t="s">
        <v>1368</v>
      </c>
    </row>
    <row r="9" spans="1:11" x14ac:dyDescent="0.2">
      <c r="C9" s="6" t="s">
        <v>1369</v>
      </c>
    </row>
    <row r="10" spans="1:11" x14ac:dyDescent="0.2">
      <c r="C10" s="6" t="s">
        <v>1370</v>
      </c>
    </row>
    <row r="11" spans="1:11" x14ac:dyDescent="0.2">
      <c r="C11" s="6" t="s">
        <v>1371</v>
      </c>
    </row>
    <row r="12" spans="1:11" x14ac:dyDescent="0.2">
      <c r="C12" s="6" t="s">
        <v>1372</v>
      </c>
    </row>
    <row r="13" spans="1:11" x14ac:dyDescent="0.2">
      <c r="B13" s="367" t="s">
        <v>1373</v>
      </c>
      <c r="C13" s="6" t="s">
        <v>1374</v>
      </c>
    </row>
    <row r="25" spans="1:21" x14ac:dyDescent="0.2">
      <c r="A25" s="7" t="s">
        <v>1375</v>
      </c>
      <c r="B25" s="7"/>
      <c r="C25" s="7"/>
      <c r="D25" s="7"/>
      <c r="E25" s="7" t="s">
        <v>1376</v>
      </c>
      <c r="F25" s="7"/>
      <c r="G25" s="7"/>
      <c r="H25" s="7"/>
      <c r="I25" s="7"/>
      <c r="J25" s="7"/>
      <c r="K25" s="7"/>
      <c r="L25" s="7"/>
      <c r="M25" s="7"/>
      <c r="N25" s="7"/>
      <c r="O25" s="7"/>
      <c r="P25" s="7"/>
    </row>
    <row r="26" spans="1:21" x14ac:dyDescent="0.2">
      <c r="A26" s="7"/>
      <c r="B26" s="7"/>
      <c r="C26" s="7"/>
      <c r="D26" s="7"/>
      <c r="E26" s="7"/>
      <c r="F26" s="7"/>
      <c r="G26" s="7"/>
      <c r="H26" s="7"/>
      <c r="I26" s="7"/>
      <c r="J26" s="7"/>
      <c r="K26" s="7"/>
      <c r="L26" s="7"/>
      <c r="M26" s="7"/>
      <c r="N26" s="7"/>
      <c r="O26" s="7"/>
      <c r="P26" s="7"/>
    </row>
    <row r="27" spans="1:21" x14ac:dyDescent="0.2">
      <c r="A27" s="7"/>
      <c r="B27" s="7"/>
      <c r="C27" s="7"/>
      <c r="D27" s="7"/>
      <c r="E27" s="7"/>
      <c r="F27" s="7"/>
      <c r="G27" s="7"/>
      <c r="H27" s="7"/>
      <c r="I27" s="7"/>
      <c r="J27" s="7"/>
      <c r="K27" s="7"/>
      <c r="L27" s="7"/>
      <c r="M27" s="7"/>
      <c r="N27" s="7"/>
      <c r="O27" s="7"/>
      <c r="P27" s="7"/>
    </row>
    <row r="28" spans="1:21" x14ac:dyDescent="0.2">
      <c r="A28" s="7" t="s">
        <v>229</v>
      </c>
      <c r="B28" s="342">
        <v>1</v>
      </c>
      <c r="C28" s="7"/>
      <c r="D28" s="7"/>
      <c r="E28" s="7"/>
      <c r="F28" s="7"/>
      <c r="G28" s="7"/>
      <c r="H28" s="7"/>
      <c r="I28" s="7"/>
      <c r="J28" s="7"/>
      <c r="K28" s="7"/>
      <c r="L28" s="7"/>
      <c r="M28" s="7"/>
      <c r="N28" s="7"/>
      <c r="O28" s="7"/>
      <c r="P28" s="7"/>
    </row>
    <row r="29" spans="1:21" x14ac:dyDescent="0.2">
      <c r="A29" s="7" t="s">
        <v>229</v>
      </c>
      <c r="B29" s="342">
        <v>2</v>
      </c>
      <c r="C29" s="7"/>
      <c r="D29" s="7"/>
      <c r="E29" s="7"/>
      <c r="F29" s="7"/>
      <c r="G29" s="7"/>
      <c r="H29" s="7"/>
      <c r="I29" s="7"/>
      <c r="J29" s="7"/>
      <c r="K29" s="7"/>
      <c r="L29" s="7"/>
      <c r="M29" s="7"/>
      <c r="N29" s="7"/>
      <c r="O29" s="7"/>
      <c r="P29" s="7"/>
      <c r="U29" s="6" t="s">
        <v>1377</v>
      </c>
    </row>
    <row r="30" spans="1:21" x14ac:dyDescent="0.2">
      <c r="A30" s="7" t="s">
        <v>229</v>
      </c>
      <c r="B30" s="342">
        <v>3</v>
      </c>
      <c r="C30" s="7"/>
      <c r="D30" s="7"/>
      <c r="E30" s="7"/>
      <c r="F30" s="7"/>
      <c r="G30" s="7"/>
      <c r="H30" s="7"/>
      <c r="I30" s="7"/>
      <c r="J30" s="7"/>
      <c r="K30" s="7"/>
      <c r="L30" s="7"/>
      <c r="M30" s="7"/>
      <c r="N30" s="7"/>
      <c r="O30" s="7"/>
      <c r="P30" s="7"/>
    </row>
    <row r="31" spans="1:21" x14ac:dyDescent="0.2">
      <c r="A31" s="7" t="s">
        <v>229</v>
      </c>
      <c r="B31" s="342">
        <v>4</v>
      </c>
      <c r="C31" s="7"/>
      <c r="D31" s="7"/>
      <c r="E31" s="7"/>
      <c r="F31" s="7"/>
      <c r="G31" s="7"/>
      <c r="H31" s="7"/>
      <c r="I31" s="7"/>
      <c r="J31" s="7"/>
      <c r="K31" s="7"/>
      <c r="L31" s="7"/>
      <c r="M31" s="7"/>
      <c r="N31" s="7"/>
      <c r="O31" s="7"/>
      <c r="P31" s="7"/>
    </row>
    <row r="32" spans="1:21" x14ac:dyDescent="0.2">
      <c r="A32" s="7" t="s">
        <v>229</v>
      </c>
      <c r="B32" s="342">
        <v>5</v>
      </c>
      <c r="C32" s="7"/>
      <c r="D32" s="7"/>
      <c r="E32" s="7"/>
      <c r="F32" s="7"/>
      <c r="G32" s="7"/>
      <c r="H32" s="7"/>
      <c r="I32" s="7"/>
      <c r="J32" s="7"/>
      <c r="K32" s="7"/>
      <c r="L32" s="7"/>
      <c r="M32" s="7"/>
      <c r="N32" s="7"/>
      <c r="O32" s="7"/>
      <c r="P32" s="7"/>
    </row>
    <row r="33" spans="1:16" x14ac:dyDescent="0.2">
      <c r="A33" s="7" t="s">
        <v>1378</v>
      </c>
      <c r="B33" s="7"/>
      <c r="C33" s="7"/>
      <c r="D33" s="7"/>
      <c r="E33" s="7"/>
      <c r="F33" s="7"/>
      <c r="G33" s="7"/>
      <c r="H33" s="7"/>
      <c r="I33" s="7"/>
      <c r="J33" s="7"/>
      <c r="K33" s="7"/>
      <c r="L33" s="7"/>
      <c r="M33" s="7"/>
      <c r="N33" s="7"/>
      <c r="O33" s="7"/>
      <c r="P33" s="7"/>
    </row>
    <row r="34" spans="1:16" x14ac:dyDescent="0.2">
      <c r="A34" s="7" t="s">
        <v>1378</v>
      </c>
      <c r="B34" s="7"/>
      <c r="C34" s="7"/>
      <c r="D34" s="7"/>
      <c r="E34" s="7"/>
      <c r="F34" s="7"/>
      <c r="G34" s="7"/>
      <c r="H34" s="7"/>
      <c r="I34" s="7"/>
      <c r="J34" s="7"/>
      <c r="K34" s="7"/>
      <c r="L34" s="7"/>
      <c r="M34" s="7"/>
      <c r="N34" s="7"/>
      <c r="O34" s="7"/>
      <c r="P34" s="7"/>
    </row>
    <row r="35" spans="1:16" x14ac:dyDescent="0.2">
      <c r="A35" s="7" t="s">
        <v>1379</v>
      </c>
      <c r="B35" s="7"/>
      <c r="C35" s="7"/>
      <c r="D35" s="7"/>
      <c r="E35" s="7"/>
      <c r="F35" s="7"/>
      <c r="G35" s="7"/>
      <c r="H35" s="7"/>
      <c r="I35" s="7"/>
      <c r="J35" s="7"/>
      <c r="K35" s="7"/>
      <c r="L35" s="7"/>
      <c r="M35" s="7"/>
      <c r="N35" s="7"/>
      <c r="O35" s="7"/>
      <c r="P35" s="7"/>
    </row>
    <row r="36" spans="1:16" x14ac:dyDescent="0.2">
      <c r="A36" s="7" t="s">
        <v>1380</v>
      </c>
      <c r="B36" s="7"/>
      <c r="C36" s="7"/>
      <c r="D36" s="7"/>
      <c r="E36" s="7"/>
      <c r="F36" s="7"/>
      <c r="G36" s="7"/>
      <c r="H36" s="7"/>
      <c r="I36" s="7"/>
      <c r="J36" s="7"/>
      <c r="K36" s="7"/>
      <c r="L36" s="7"/>
      <c r="M36" s="7"/>
      <c r="N36" s="7"/>
      <c r="O36" s="7"/>
      <c r="P36" s="7"/>
    </row>
    <row r="37" spans="1:16" x14ac:dyDescent="0.2">
      <c r="A37" s="7" t="s">
        <v>1381</v>
      </c>
      <c r="B37" s="7"/>
      <c r="C37" s="7"/>
      <c r="D37" s="7"/>
      <c r="E37" s="7"/>
      <c r="F37" s="7"/>
      <c r="G37" s="7"/>
      <c r="H37" s="7"/>
      <c r="I37" s="7"/>
      <c r="J37" s="7"/>
      <c r="K37" s="7"/>
      <c r="L37" s="7"/>
      <c r="M37" s="7"/>
      <c r="N37" s="7"/>
      <c r="O37" s="7"/>
      <c r="P37" s="7"/>
    </row>
    <row r="38" spans="1:16" x14ac:dyDescent="0.2">
      <c r="A38" s="7" t="s">
        <v>1382</v>
      </c>
      <c r="B38" s="7"/>
      <c r="C38" s="7"/>
      <c r="D38" s="7"/>
      <c r="E38" s="7"/>
      <c r="F38" s="7"/>
      <c r="G38" s="7"/>
      <c r="H38" s="7"/>
      <c r="I38" s="7"/>
      <c r="J38" s="7"/>
      <c r="K38" s="7"/>
      <c r="L38" s="7"/>
      <c r="M38" s="7"/>
      <c r="N38" s="7"/>
      <c r="O38" s="7"/>
      <c r="P38" s="7"/>
    </row>
    <row r="39" spans="1:16" x14ac:dyDescent="0.2">
      <c r="A39" s="7" t="s">
        <v>671</v>
      </c>
      <c r="B39" s="7"/>
      <c r="C39" s="7"/>
      <c r="D39" s="7"/>
      <c r="E39" s="7"/>
      <c r="F39" s="7"/>
      <c r="G39" s="7"/>
      <c r="H39" s="7"/>
      <c r="I39" s="7"/>
      <c r="J39" s="7"/>
      <c r="K39" s="7"/>
      <c r="L39" s="7"/>
      <c r="M39" s="7"/>
      <c r="N39" s="7"/>
      <c r="O39" s="7"/>
      <c r="P39" s="7"/>
    </row>
    <row r="40" spans="1:16" x14ac:dyDescent="0.2">
      <c r="A40" s="341" t="s">
        <v>1383</v>
      </c>
      <c r="B40" s="7"/>
      <c r="C40" s="7"/>
      <c r="D40" s="7"/>
      <c r="E40" s="7"/>
      <c r="F40" s="7"/>
      <c r="G40" s="7"/>
      <c r="H40" s="7"/>
      <c r="I40" s="7"/>
      <c r="J40" s="7"/>
      <c r="K40" s="7"/>
      <c r="L40" s="7"/>
      <c r="M40" s="7"/>
      <c r="N40" s="7"/>
      <c r="O40" s="7"/>
      <c r="P40" s="7"/>
    </row>
    <row r="41" spans="1:16" x14ac:dyDescent="0.2">
      <c r="A41" s="7" t="s">
        <v>1384</v>
      </c>
      <c r="B41" s="7"/>
      <c r="C41" s="7"/>
      <c r="D41" s="7"/>
      <c r="E41" s="7"/>
      <c r="F41" s="7"/>
      <c r="G41" s="7"/>
      <c r="H41" s="7"/>
      <c r="I41" s="7"/>
      <c r="J41" s="7"/>
      <c r="K41" s="7"/>
      <c r="L41" s="7"/>
      <c r="M41" s="7"/>
      <c r="N41" s="7"/>
      <c r="O41" s="7"/>
      <c r="P41" s="7"/>
    </row>
    <row r="42" spans="1:16" x14ac:dyDescent="0.2">
      <c r="A42" s="7" t="s">
        <v>1385</v>
      </c>
      <c r="B42" s="7"/>
      <c r="C42" s="7"/>
      <c r="D42" s="7"/>
      <c r="E42" s="7"/>
      <c r="F42" s="7"/>
      <c r="G42" s="7"/>
      <c r="H42" s="7"/>
      <c r="I42" s="7"/>
      <c r="J42" s="7"/>
      <c r="K42" s="7"/>
      <c r="L42" s="7"/>
      <c r="M42" s="7"/>
      <c r="N42" s="7"/>
      <c r="O42" s="7"/>
      <c r="P42" s="7"/>
    </row>
    <row r="43" spans="1:16" x14ac:dyDescent="0.2">
      <c r="A43" s="7" t="s">
        <v>1380</v>
      </c>
      <c r="B43" s="7"/>
      <c r="C43" s="7"/>
      <c r="D43" s="7"/>
      <c r="E43" s="7"/>
      <c r="F43" s="7"/>
      <c r="G43" s="7"/>
      <c r="H43" s="7"/>
      <c r="I43" s="7"/>
      <c r="J43" s="7"/>
      <c r="K43" s="7"/>
      <c r="L43" s="7"/>
      <c r="M43" s="7"/>
      <c r="N43" s="7"/>
      <c r="O43" s="7"/>
      <c r="P43" s="7"/>
    </row>
    <row r="44" spans="1:16" x14ac:dyDescent="0.2">
      <c r="A44" s="7"/>
      <c r="B44" s="7"/>
      <c r="C44" s="7"/>
      <c r="D44" s="7"/>
      <c r="E44" s="7"/>
      <c r="F44" s="7"/>
      <c r="G44" s="7"/>
      <c r="H44" s="7"/>
      <c r="I44" s="7"/>
      <c r="J44" s="7"/>
      <c r="K44" s="7"/>
      <c r="L44" s="7"/>
      <c r="M44" s="7"/>
      <c r="N44" s="7"/>
      <c r="O44" s="7"/>
      <c r="P44" s="7"/>
    </row>
    <row r="45" spans="1:16" x14ac:dyDescent="0.2">
      <c r="A45" s="7"/>
      <c r="B45" s="7"/>
      <c r="C45" s="7"/>
      <c r="D45" s="7"/>
      <c r="E45" s="7"/>
      <c r="F45" s="7"/>
      <c r="G45" s="7"/>
      <c r="H45" s="7"/>
      <c r="I45" s="7"/>
      <c r="J45" s="7"/>
      <c r="K45" s="7"/>
      <c r="L45" s="7"/>
      <c r="M45" s="7"/>
      <c r="N45" s="7"/>
      <c r="O45" s="7"/>
      <c r="P45" s="7"/>
    </row>
    <row r="46" spans="1:16" x14ac:dyDescent="0.2">
      <c r="A46" s="7"/>
      <c r="B46" s="7"/>
      <c r="C46" s="7"/>
      <c r="D46" s="7"/>
      <c r="E46" s="7"/>
      <c r="F46" s="7"/>
      <c r="G46" s="7"/>
      <c r="H46" s="7"/>
      <c r="I46" s="7"/>
      <c r="J46" s="7"/>
      <c r="K46" s="7"/>
      <c r="L46" s="7"/>
      <c r="M46" s="7"/>
      <c r="N46" s="7"/>
      <c r="O46" s="7"/>
      <c r="P46" s="7"/>
    </row>
    <row r="47" spans="1:16" x14ac:dyDescent="0.2">
      <c r="A47" s="7"/>
      <c r="B47" s="7"/>
      <c r="C47" s="7"/>
      <c r="D47" s="7"/>
      <c r="E47" s="7"/>
      <c r="F47" s="7"/>
      <c r="G47" s="7"/>
      <c r="H47" s="7"/>
      <c r="I47" s="7"/>
      <c r="J47" s="7"/>
      <c r="K47" s="7"/>
      <c r="L47" s="7"/>
      <c r="M47" s="7"/>
      <c r="N47" s="7"/>
      <c r="O47" s="7"/>
      <c r="P47" s="7"/>
    </row>
    <row r="48" spans="1:16" x14ac:dyDescent="0.2">
      <c r="A48" s="7"/>
      <c r="B48" s="7"/>
      <c r="C48" s="7"/>
      <c r="D48" s="7"/>
      <c r="E48" s="7"/>
      <c r="F48" s="7"/>
      <c r="G48" s="7"/>
      <c r="H48" s="7"/>
      <c r="I48" s="7"/>
      <c r="J48" s="7"/>
      <c r="K48" s="7"/>
      <c r="L48" s="7"/>
      <c r="M48" s="7"/>
      <c r="N48" s="7"/>
      <c r="O48" s="7"/>
      <c r="P48" s="7"/>
    </row>
    <row r="49" spans="1:16" x14ac:dyDescent="0.2">
      <c r="A49" s="7"/>
      <c r="B49" s="7"/>
      <c r="C49" s="7"/>
      <c r="D49" s="7"/>
      <c r="E49" s="7"/>
      <c r="F49" s="7"/>
      <c r="G49" s="7"/>
      <c r="H49" s="7"/>
      <c r="I49" s="7"/>
      <c r="J49" s="7"/>
      <c r="K49" s="7"/>
      <c r="L49" s="7"/>
      <c r="M49" s="7"/>
      <c r="N49" s="7"/>
      <c r="O49" s="7"/>
      <c r="P49" s="7"/>
    </row>
    <row r="50" spans="1:16" x14ac:dyDescent="0.2">
      <c r="A50" s="7"/>
      <c r="B50" s="7"/>
      <c r="C50" s="7"/>
      <c r="D50" s="7"/>
      <c r="E50" s="7"/>
      <c r="F50" s="7"/>
      <c r="G50" s="7"/>
      <c r="H50" s="7"/>
      <c r="I50" s="7"/>
      <c r="J50" s="7"/>
      <c r="K50" s="7"/>
      <c r="L50" s="7"/>
      <c r="M50" s="7"/>
      <c r="N50" s="7"/>
      <c r="O50" s="7"/>
      <c r="P50" s="7"/>
    </row>
    <row r="51" spans="1:16" x14ac:dyDescent="0.2">
      <c r="A51" s="7"/>
      <c r="B51" s="7"/>
      <c r="C51" s="7"/>
      <c r="D51" s="7"/>
      <c r="E51" s="7"/>
      <c r="F51" s="7"/>
      <c r="G51" s="7"/>
      <c r="H51" s="7"/>
      <c r="I51" s="7"/>
      <c r="J51" s="7"/>
      <c r="K51" s="7"/>
      <c r="L51" s="7"/>
      <c r="M51" s="7"/>
      <c r="N51" s="7"/>
      <c r="O51" s="7"/>
      <c r="P51" s="7"/>
    </row>
    <row r="52" spans="1:16" x14ac:dyDescent="0.2">
      <c r="A52" s="7"/>
      <c r="B52" s="7"/>
      <c r="C52" s="7"/>
      <c r="D52" s="7"/>
      <c r="E52" s="7"/>
      <c r="F52" s="7"/>
      <c r="G52" s="7"/>
      <c r="H52" s="7"/>
      <c r="I52" s="7"/>
      <c r="J52" s="7"/>
      <c r="K52" s="7"/>
      <c r="L52" s="7"/>
      <c r="M52" s="7"/>
      <c r="N52" s="7"/>
      <c r="O52" s="7"/>
      <c r="P52" s="7"/>
    </row>
    <row r="53" spans="1:16" x14ac:dyDescent="0.2">
      <c r="A53" s="7"/>
      <c r="B53" s="7"/>
      <c r="C53" s="7"/>
      <c r="D53" s="7"/>
      <c r="E53" s="7"/>
      <c r="F53" s="7"/>
      <c r="G53" s="7"/>
      <c r="H53" s="7"/>
      <c r="I53" s="7"/>
      <c r="J53" s="7"/>
      <c r="K53" s="7"/>
      <c r="L53" s="7"/>
      <c r="M53" s="7"/>
      <c r="N53" s="7"/>
      <c r="O53" s="7"/>
      <c r="P53" s="7"/>
    </row>
    <row r="54" spans="1:16" x14ac:dyDescent="0.2">
      <c r="A54" s="7"/>
      <c r="B54" s="7"/>
      <c r="C54" s="7"/>
      <c r="D54" s="7"/>
      <c r="E54" s="7"/>
      <c r="F54" s="7"/>
      <c r="G54" s="7"/>
      <c r="H54" s="7"/>
      <c r="I54" s="7"/>
      <c r="J54" s="7"/>
      <c r="K54" s="7"/>
      <c r="L54" s="7"/>
      <c r="M54" s="7"/>
      <c r="N54" s="7"/>
      <c r="O54" s="7"/>
      <c r="P54" s="7"/>
    </row>
    <row r="55" spans="1:16" x14ac:dyDescent="0.2">
      <c r="A55" s="7"/>
      <c r="B55" s="7"/>
      <c r="C55" s="7"/>
      <c r="D55" s="7"/>
      <c r="E55" s="7"/>
      <c r="F55" s="7"/>
      <c r="G55" s="7"/>
      <c r="H55" s="7"/>
      <c r="I55" s="7"/>
      <c r="J55" s="7"/>
      <c r="K55" s="7"/>
      <c r="L55" s="7"/>
      <c r="M55" s="7"/>
      <c r="N55" s="7"/>
      <c r="O55" s="7"/>
      <c r="P55" s="7"/>
    </row>
    <row r="56" spans="1:16" x14ac:dyDescent="0.2">
      <c r="A56" s="7"/>
      <c r="B56" s="7"/>
      <c r="C56" s="7"/>
      <c r="D56" s="7"/>
      <c r="E56" s="7"/>
      <c r="F56" s="7"/>
      <c r="G56" s="7"/>
      <c r="H56" s="7"/>
      <c r="I56" s="7"/>
      <c r="J56" s="7"/>
      <c r="K56" s="7"/>
      <c r="L56" s="7"/>
      <c r="M56" s="7"/>
      <c r="N56" s="7"/>
      <c r="O56" s="7"/>
      <c r="P56" s="7"/>
    </row>
    <row r="57" spans="1:16" x14ac:dyDescent="0.2">
      <c r="A57" s="7"/>
      <c r="B57" s="7"/>
      <c r="C57" s="7"/>
      <c r="D57" s="7"/>
      <c r="E57" s="7"/>
      <c r="F57" s="7"/>
      <c r="G57" s="7"/>
      <c r="H57" s="7"/>
      <c r="I57" s="7"/>
      <c r="J57" s="7"/>
      <c r="K57" s="7"/>
      <c r="L57" s="7"/>
      <c r="M57" s="7"/>
      <c r="N57" s="7"/>
      <c r="O57" s="7"/>
      <c r="P57" s="7"/>
    </row>
    <row r="58" spans="1:16" x14ac:dyDescent="0.2">
      <c r="A58" s="7"/>
      <c r="B58" s="7" t="s">
        <v>1386</v>
      </c>
      <c r="C58" s="7"/>
      <c r="D58" s="7"/>
      <c r="E58" s="7"/>
      <c r="F58" s="7"/>
      <c r="G58" s="7"/>
      <c r="H58" s="7"/>
      <c r="I58" s="7"/>
      <c r="J58" s="7"/>
      <c r="K58" s="7"/>
      <c r="L58" s="7"/>
      <c r="M58" s="7"/>
      <c r="N58" s="7"/>
      <c r="O58" s="7"/>
      <c r="P58" s="7"/>
    </row>
    <row r="59" spans="1:16" x14ac:dyDescent="0.2">
      <c r="A59" s="7"/>
      <c r="B59" s="7" t="s">
        <v>1387</v>
      </c>
      <c r="C59" s="7"/>
      <c r="D59" s="7"/>
      <c r="E59" s="7"/>
      <c r="F59" s="7"/>
      <c r="G59" s="7"/>
      <c r="H59" s="7"/>
      <c r="I59" s="7"/>
      <c r="J59" s="7"/>
      <c r="K59" s="7"/>
      <c r="L59" s="7"/>
      <c r="M59" s="7"/>
      <c r="N59" s="7"/>
      <c r="O59" s="7"/>
      <c r="P59" s="7"/>
    </row>
    <row r="60" spans="1:16" x14ac:dyDescent="0.2">
      <c r="A60" s="7"/>
      <c r="B60" s="6" t="s">
        <v>1388</v>
      </c>
      <c r="D60" s="7" t="s">
        <v>1389</v>
      </c>
      <c r="E60" s="7"/>
      <c r="F60" s="7"/>
      <c r="G60" s="7"/>
      <c r="H60" s="7"/>
      <c r="I60" s="7"/>
      <c r="J60" s="7"/>
      <c r="K60" s="7"/>
      <c r="L60" s="7"/>
      <c r="M60" s="7"/>
      <c r="N60" s="7"/>
      <c r="O60" s="7"/>
      <c r="P60" s="7"/>
    </row>
    <row r="61" spans="1:16" x14ac:dyDescent="0.2">
      <c r="A61" s="7"/>
      <c r="B61" s="7"/>
      <c r="C61" s="7"/>
      <c r="D61" s="7"/>
      <c r="E61" s="7"/>
      <c r="F61" s="7"/>
      <c r="G61" s="7"/>
      <c r="H61" s="7"/>
      <c r="I61" s="7"/>
      <c r="J61" s="7"/>
      <c r="K61" s="7"/>
      <c r="L61" s="7"/>
      <c r="M61" s="7"/>
      <c r="N61" s="7"/>
      <c r="O61" s="7"/>
      <c r="P61" s="7"/>
    </row>
    <row r="62" spans="1:16" x14ac:dyDescent="0.2">
      <c r="A62" s="7"/>
      <c r="B62" s="7"/>
      <c r="C62" s="7"/>
      <c r="D62" s="7"/>
      <c r="E62" s="7"/>
      <c r="F62" s="7"/>
      <c r="G62" s="7"/>
      <c r="H62" s="7"/>
      <c r="I62" s="7"/>
      <c r="J62" s="7"/>
      <c r="K62" s="7"/>
      <c r="L62" s="7"/>
      <c r="M62" s="7"/>
      <c r="N62" s="7"/>
      <c r="O62" s="7"/>
      <c r="P62" s="7"/>
    </row>
    <row r="63" spans="1:16" x14ac:dyDescent="0.2">
      <c r="A63" s="7"/>
      <c r="B63" s="7"/>
      <c r="C63" s="7"/>
      <c r="D63" s="7"/>
      <c r="E63" s="7"/>
      <c r="F63" s="7"/>
      <c r="G63" s="7"/>
      <c r="H63" s="7"/>
      <c r="I63" s="7"/>
      <c r="J63" s="7"/>
      <c r="K63" s="7"/>
      <c r="L63" s="7"/>
      <c r="M63" s="7"/>
      <c r="N63" s="7"/>
      <c r="O63" s="7"/>
      <c r="P63" s="7"/>
    </row>
    <row r="64" spans="1:16" x14ac:dyDescent="0.2">
      <c r="A64" s="7"/>
      <c r="B64" s="7"/>
      <c r="C64" s="7"/>
      <c r="D64" s="7"/>
      <c r="E64" s="7"/>
      <c r="F64" s="7"/>
      <c r="G64" s="7"/>
      <c r="H64" s="7"/>
      <c r="I64" s="7"/>
      <c r="J64" s="7"/>
      <c r="K64" s="7"/>
      <c r="L64" s="7"/>
      <c r="M64" s="7"/>
      <c r="N64" s="7"/>
      <c r="O64" s="7"/>
      <c r="P64" s="7"/>
    </row>
    <row r="65" spans="1:16" x14ac:dyDescent="0.2">
      <c r="A65" s="341"/>
      <c r="B65" s="7"/>
      <c r="C65" s="7"/>
      <c r="D65" s="7"/>
      <c r="E65" s="7"/>
      <c r="F65" s="7"/>
      <c r="G65" s="7"/>
      <c r="H65" s="7"/>
      <c r="I65" s="7"/>
      <c r="J65" s="7"/>
      <c r="K65" s="7"/>
      <c r="L65" s="7"/>
      <c r="M65" s="7"/>
      <c r="N65" s="7"/>
      <c r="O65" s="7"/>
      <c r="P65" s="7"/>
    </row>
    <row r="66" spans="1:16" x14ac:dyDescent="0.2">
      <c r="A66" s="7"/>
      <c r="B66" s="7"/>
      <c r="C66" s="7"/>
      <c r="D66" s="7"/>
      <c r="E66" s="7"/>
      <c r="F66" s="7"/>
      <c r="G66" s="7"/>
      <c r="H66" s="7"/>
      <c r="I66" s="7"/>
      <c r="J66" s="7"/>
      <c r="K66" s="7"/>
      <c r="L66" s="7"/>
      <c r="M66" s="7"/>
      <c r="N66" s="7"/>
      <c r="O66" s="7"/>
      <c r="P66" s="7"/>
    </row>
    <row r="67" spans="1:16" x14ac:dyDescent="0.2">
      <c r="A67" s="7"/>
      <c r="B67" s="7"/>
      <c r="C67" s="7"/>
      <c r="D67" s="7"/>
      <c r="E67" s="7"/>
      <c r="F67" s="7"/>
      <c r="G67" s="7"/>
      <c r="H67" s="7"/>
      <c r="I67" s="7"/>
      <c r="J67" s="7"/>
      <c r="K67" s="7"/>
      <c r="L67" s="7"/>
      <c r="M67" s="7"/>
      <c r="N67" s="7"/>
      <c r="O67" s="7"/>
      <c r="P67" s="7"/>
    </row>
    <row r="68" spans="1:16" x14ac:dyDescent="0.2">
      <c r="A68" s="7"/>
      <c r="B68" s="7"/>
      <c r="C68" s="7"/>
      <c r="D68" s="7"/>
      <c r="E68" s="7"/>
      <c r="F68" s="7"/>
      <c r="G68" s="7"/>
      <c r="H68" s="7"/>
      <c r="I68" s="7"/>
      <c r="J68" s="7"/>
      <c r="K68" s="7"/>
      <c r="L68" s="7"/>
      <c r="M68" s="7"/>
      <c r="N68" s="7"/>
      <c r="O68" s="7"/>
      <c r="P68" s="7"/>
    </row>
    <row r="69" spans="1:16" x14ac:dyDescent="0.2">
      <c r="A69" s="7"/>
      <c r="B69" s="7"/>
      <c r="C69" s="7"/>
      <c r="D69" s="7"/>
      <c r="E69" s="7"/>
      <c r="F69" s="7"/>
      <c r="G69" s="7"/>
      <c r="H69" s="7"/>
      <c r="I69" s="7"/>
      <c r="J69" s="7"/>
      <c r="K69" s="7"/>
      <c r="L69" s="7"/>
      <c r="M69" s="7"/>
      <c r="N69" s="7"/>
      <c r="O69" s="7"/>
      <c r="P69" s="7"/>
    </row>
    <row r="70" spans="1:16" x14ac:dyDescent="0.2">
      <c r="A70" s="7"/>
      <c r="B70" s="7"/>
      <c r="C70" s="7"/>
      <c r="D70" s="7"/>
      <c r="E70" s="7"/>
      <c r="F70" s="7"/>
      <c r="G70" s="7"/>
      <c r="H70" s="7"/>
      <c r="I70" s="7"/>
      <c r="J70" s="7"/>
      <c r="K70" s="7"/>
      <c r="L70" s="7"/>
      <c r="M70" s="7"/>
      <c r="N70" s="7"/>
      <c r="O70" s="7"/>
      <c r="P70" s="7"/>
    </row>
    <row r="71" spans="1:16" x14ac:dyDescent="0.2">
      <c r="A71" s="7"/>
      <c r="B71" s="7"/>
      <c r="C71" s="7"/>
      <c r="D71" s="7"/>
      <c r="E71" s="7"/>
      <c r="F71" s="7"/>
      <c r="G71" s="7"/>
      <c r="H71" s="7"/>
      <c r="I71" s="7"/>
      <c r="J71" s="7"/>
      <c r="K71" s="7"/>
      <c r="L71" s="7"/>
      <c r="M71" s="7"/>
      <c r="N71" s="7"/>
      <c r="O71" s="7"/>
      <c r="P71" s="7"/>
    </row>
    <row r="72" spans="1:16" x14ac:dyDescent="0.2">
      <c r="A72" s="7"/>
      <c r="B72" s="7"/>
      <c r="C72" s="7"/>
      <c r="D72" s="7"/>
      <c r="E72" s="7"/>
      <c r="F72" s="7"/>
      <c r="G72" s="7"/>
      <c r="H72" s="7"/>
      <c r="I72" s="7"/>
      <c r="J72" s="7"/>
      <c r="K72" s="7"/>
      <c r="L72" s="7"/>
      <c r="M72" s="7"/>
      <c r="N72" s="7"/>
      <c r="O72" s="7"/>
      <c r="P72" s="7"/>
    </row>
    <row r="73" spans="1:16" x14ac:dyDescent="0.2">
      <c r="A73" s="7"/>
      <c r="B73" s="7"/>
      <c r="C73" s="7"/>
      <c r="D73" s="7"/>
      <c r="E73" s="7"/>
      <c r="F73" s="7"/>
      <c r="G73" s="7"/>
      <c r="H73" s="7"/>
      <c r="I73" s="7"/>
      <c r="J73" s="7"/>
      <c r="K73" s="7"/>
      <c r="L73" s="7"/>
      <c r="M73" s="7"/>
      <c r="N73" s="7"/>
      <c r="O73" s="7"/>
      <c r="P73" s="7"/>
    </row>
    <row r="74" spans="1:16" x14ac:dyDescent="0.2">
      <c r="A74" s="7"/>
      <c r="B74" s="7"/>
      <c r="C74" s="7"/>
      <c r="D74" s="7"/>
      <c r="E74" s="7"/>
      <c r="F74" s="7"/>
      <c r="G74" s="7"/>
      <c r="H74" s="7"/>
      <c r="I74" s="7"/>
      <c r="J74" s="7"/>
      <c r="K74" s="7"/>
      <c r="L74" s="7"/>
      <c r="M74" s="7"/>
      <c r="N74" s="7"/>
      <c r="O74" s="7"/>
      <c r="P74" s="7"/>
    </row>
    <row r="75" spans="1:16" x14ac:dyDescent="0.2">
      <c r="A75" s="7"/>
      <c r="B75" s="7"/>
      <c r="C75" s="7"/>
      <c r="D75" s="7"/>
      <c r="E75" s="7"/>
      <c r="F75" s="7"/>
      <c r="G75" s="7"/>
      <c r="H75" s="7"/>
      <c r="I75" s="7"/>
      <c r="J75" s="7"/>
      <c r="K75" s="7"/>
      <c r="L75" s="7"/>
      <c r="M75" s="7"/>
      <c r="N75" s="7"/>
      <c r="O75" s="7"/>
      <c r="P75" s="7"/>
    </row>
    <row r="76" spans="1:16" x14ac:dyDescent="0.2">
      <c r="A76" s="7"/>
      <c r="B76" s="7"/>
      <c r="C76" s="7"/>
      <c r="D76" s="7"/>
      <c r="E76" s="7"/>
      <c r="F76" s="7"/>
      <c r="G76" s="7"/>
      <c r="H76" s="7"/>
      <c r="I76" s="7"/>
      <c r="J76" s="7"/>
      <c r="K76" s="7"/>
      <c r="L76" s="7"/>
      <c r="M76" s="7"/>
      <c r="N76" s="7"/>
      <c r="O76" s="7"/>
      <c r="P76" s="7"/>
    </row>
    <row r="77" spans="1:16" x14ac:dyDescent="0.2">
      <c r="A77" s="7"/>
      <c r="B77" s="7"/>
      <c r="C77" s="7"/>
      <c r="D77" s="7"/>
      <c r="E77" s="7"/>
      <c r="F77" s="7"/>
      <c r="G77" s="7"/>
      <c r="H77" s="7"/>
      <c r="I77" s="7"/>
      <c r="J77" s="7"/>
      <c r="K77" s="7"/>
      <c r="L77" s="7"/>
      <c r="M77" s="7"/>
      <c r="N77" s="7"/>
      <c r="O77" s="7"/>
      <c r="P77" s="7"/>
    </row>
    <row r="78" spans="1:16" x14ac:dyDescent="0.2">
      <c r="A78" s="7"/>
      <c r="B78" s="7"/>
      <c r="C78" s="7"/>
      <c r="D78" s="7"/>
      <c r="E78" s="7"/>
      <c r="F78" s="7"/>
      <c r="G78" s="7"/>
      <c r="H78" s="7"/>
      <c r="I78" s="7"/>
      <c r="J78" s="7"/>
      <c r="K78" s="7"/>
      <c r="L78" s="7"/>
      <c r="M78" s="7"/>
      <c r="N78" s="7"/>
      <c r="O78" s="7"/>
      <c r="P78" s="7"/>
    </row>
    <row r="79" spans="1:16" x14ac:dyDescent="0.2">
      <c r="A79" s="7"/>
      <c r="B79" s="7"/>
      <c r="C79" s="7"/>
      <c r="D79" s="7"/>
      <c r="E79" s="7"/>
      <c r="F79" s="7"/>
      <c r="G79" s="7"/>
      <c r="H79" s="7"/>
      <c r="I79" s="7"/>
      <c r="J79" s="7"/>
      <c r="K79" s="7"/>
      <c r="L79" s="7"/>
      <c r="M79" s="7"/>
      <c r="N79" s="7"/>
      <c r="O79" s="7"/>
      <c r="P79" s="7"/>
    </row>
    <row r="80" spans="1:16" x14ac:dyDescent="0.2">
      <c r="A80" s="7"/>
      <c r="B80" s="7"/>
      <c r="C80" s="7"/>
      <c r="D80" s="7"/>
      <c r="E80" s="7"/>
      <c r="F80" s="7"/>
      <c r="G80" s="7"/>
      <c r="H80" s="7"/>
      <c r="I80" s="7"/>
      <c r="J80" s="7"/>
      <c r="K80" s="7"/>
      <c r="L80" s="7"/>
      <c r="M80" s="7"/>
      <c r="N80" s="7"/>
      <c r="O80" s="7"/>
      <c r="P80" s="7"/>
    </row>
    <row r="81" spans="1:21" x14ac:dyDescent="0.2">
      <c r="A81" s="7"/>
      <c r="B81" s="7"/>
      <c r="C81" s="7"/>
      <c r="D81" s="7"/>
      <c r="E81" s="7"/>
      <c r="F81" s="7"/>
      <c r="G81" s="7"/>
      <c r="H81" s="7"/>
      <c r="I81" s="7"/>
      <c r="J81" s="7"/>
      <c r="K81" s="7"/>
      <c r="L81" s="7"/>
      <c r="M81" s="7"/>
      <c r="N81" s="7"/>
      <c r="O81" s="7"/>
      <c r="P81" s="7"/>
    </row>
    <row r="82" spans="1:21" x14ac:dyDescent="0.2">
      <c r="A82" s="7"/>
      <c r="B82" s="7"/>
      <c r="C82" s="7"/>
      <c r="D82" s="7"/>
      <c r="E82" s="7"/>
      <c r="F82" s="7"/>
      <c r="G82" s="7"/>
      <c r="H82" s="7"/>
      <c r="I82" s="7"/>
      <c r="J82" s="7"/>
      <c r="K82" s="7"/>
      <c r="L82" s="7"/>
      <c r="M82" s="7"/>
      <c r="N82" s="7"/>
      <c r="O82" s="7"/>
      <c r="P82" s="7"/>
      <c r="U82" s="6" t="s">
        <v>1390</v>
      </c>
    </row>
    <row r="83" spans="1:21" x14ac:dyDescent="0.2">
      <c r="A83" s="7"/>
      <c r="B83" s="7"/>
      <c r="C83" s="7"/>
      <c r="D83" s="7"/>
      <c r="E83" s="7"/>
      <c r="F83" s="7"/>
      <c r="G83" s="7"/>
      <c r="H83" s="7"/>
      <c r="I83" s="7"/>
      <c r="J83" s="7"/>
      <c r="K83" s="7"/>
      <c r="L83" s="7"/>
      <c r="M83" s="7"/>
      <c r="N83" s="7"/>
      <c r="O83" s="7"/>
      <c r="P83" s="7"/>
    </row>
    <row r="84" spans="1:21" x14ac:dyDescent="0.2">
      <c r="A84" s="7"/>
      <c r="B84" s="7"/>
      <c r="C84" s="7"/>
      <c r="D84" s="7"/>
      <c r="E84" s="7"/>
      <c r="F84" s="7"/>
      <c r="G84" s="7"/>
      <c r="H84" s="7"/>
      <c r="I84" s="7"/>
      <c r="J84" s="7"/>
      <c r="K84" s="7"/>
      <c r="L84" s="7"/>
      <c r="M84" s="7"/>
      <c r="N84" s="7"/>
      <c r="O84" s="7"/>
      <c r="P84" s="7"/>
    </row>
    <row r="85" spans="1:21" x14ac:dyDescent="0.2">
      <c r="A85" s="7"/>
      <c r="B85" s="7"/>
      <c r="C85" s="7"/>
      <c r="D85" s="7"/>
      <c r="E85" s="7"/>
      <c r="F85" s="7"/>
      <c r="G85" s="7"/>
      <c r="H85" s="7"/>
      <c r="I85" s="7"/>
      <c r="J85" s="7"/>
      <c r="K85" s="7"/>
      <c r="L85" s="7"/>
      <c r="M85" s="7"/>
      <c r="N85" s="7"/>
      <c r="O85" s="7"/>
      <c r="P85" s="7"/>
    </row>
    <row r="86" spans="1:21" x14ac:dyDescent="0.2">
      <c r="A86" s="7"/>
      <c r="B86" s="7"/>
      <c r="C86" s="7"/>
      <c r="D86" s="7"/>
      <c r="E86" s="7"/>
      <c r="F86" s="7"/>
      <c r="G86" s="7"/>
      <c r="H86" s="7"/>
      <c r="I86" s="7"/>
      <c r="J86" s="7"/>
      <c r="K86" s="7"/>
      <c r="L86" s="7"/>
      <c r="M86" s="7"/>
      <c r="N86" s="7"/>
      <c r="O86" s="7"/>
      <c r="P86" s="7"/>
    </row>
    <row r="87" spans="1:21" x14ac:dyDescent="0.2">
      <c r="A87" s="7"/>
      <c r="B87" s="7"/>
      <c r="C87" s="7"/>
      <c r="D87" s="7"/>
      <c r="E87" s="7"/>
      <c r="F87" s="7"/>
      <c r="G87" s="7"/>
      <c r="H87" s="7"/>
      <c r="I87" s="7"/>
      <c r="J87" s="7"/>
      <c r="K87" s="7"/>
      <c r="L87" s="7"/>
      <c r="M87" s="7"/>
      <c r="N87" s="7"/>
      <c r="O87" s="7"/>
      <c r="P87" s="7"/>
    </row>
    <row r="88" spans="1:21" x14ac:dyDescent="0.2">
      <c r="A88" s="7"/>
      <c r="B88" s="7"/>
      <c r="C88" s="7"/>
      <c r="D88" s="7"/>
      <c r="E88" s="7"/>
      <c r="F88" s="7"/>
      <c r="G88" s="7"/>
      <c r="H88" s="7"/>
      <c r="I88" s="7"/>
      <c r="J88" s="7"/>
      <c r="K88" s="7"/>
      <c r="L88" s="7"/>
      <c r="M88" s="7"/>
      <c r="N88" s="7"/>
      <c r="O88" s="7"/>
      <c r="P88" s="7"/>
    </row>
    <row r="89" spans="1:21" x14ac:dyDescent="0.2">
      <c r="A89" s="7" t="s">
        <v>1391</v>
      </c>
      <c r="B89" s="7"/>
      <c r="C89" s="7"/>
      <c r="D89" s="7"/>
      <c r="E89" s="7"/>
      <c r="F89" s="7"/>
      <c r="G89" s="7"/>
      <c r="H89" s="7"/>
      <c r="I89" s="7"/>
      <c r="J89" s="7"/>
      <c r="K89" s="7"/>
      <c r="L89" s="7"/>
      <c r="M89" s="7"/>
      <c r="N89" s="7"/>
      <c r="O89" s="7"/>
      <c r="P89" s="7"/>
    </row>
    <row r="90" spans="1:21" x14ac:dyDescent="0.2">
      <c r="A90" s="7" t="s">
        <v>1392</v>
      </c>
      <c r="B90" s="7"/>
      <c r="C90" s="7"/>
      <c r="D90" s="7"/>
      <c r="E90" s="7"/>
      <c r="F90" s="7"/>
      <c r="G90" s="7"/>
      <c r="H90" s="7"/>
      <c r="I90" s="7"/>
      <c r="J90" s="7"/>
      <c r="K90" s="7"/>
      <c r="L90" s="7"/>
      <c r="M90" s="7"/>
      <c r="N90" s="7"/>
      <c r="O90" s="7"/>
      <c r="P90" s="7"/>
    </row>
    <row r="91" spans="1:21" x14ac:dyDescent="0.2">
      <c r="A91" s="7"/>
      <c r="B91" s="7"/>
      <c r="C91" s="7"/>
      <c r="D91" s="7"/>
      <c r="E91" s="7"/>
      <c r="F91" s="7"/>
      <c r="G91" s="7"/>
      <c r="H91" s="7"/>
      <c r="I91" s="7"/>
      <c r="J91" s="7"/>
      <c r="K91" s="7"/>
      <c r="L91" s="7"/>
      <c r="M91" s="7"/>
      <c r="N91" s="7"/>
      <c r="O91" s="7"/>
      <c r="P91" s="7"/>
    </row>
    <row r="92" spans="1:21" x14ac:dyDescent="0.2">
      <c r="A92" s="7"/>
      <c r="B92" s="7"/>
      <c r="C92" s="7"/>
      <c r="D92" s="7"/>
      <c r="E92" s="7"/>
      <c r="F92" s="7"/>
      <c r="G92" s="7"/>
      <c r="H92" s="7"/>
      <c r="I92" s="7"/>
      <c r="J92" s="7"/>
      <c r="K92" s="7"/>
      <c r="L92" s="7"/>
      <c r="M92" s="7"/>
      <c r="N92" s="7"/>
      <c r="O92" s="7"/>
      <c r="P92" s="7"/>
    </row>
    <row r="93" spans="1:21" x14ac:dyDescent="0.2">
      <c r="A93" s="7"/>
      <c r="B93" s="7"/>
      <c r="C93" s="7"/>
      <c r="D93" s="7"/>
      <c r="E93" s="7"/>
      <c r="F93" s="7"/>
      <c r="G93" s="7"/>
      <c r="H93" s="7"/>
      <c r="I93" s="7"/>
      <c r="J93" s="7"/>
      <c r="K93" s="7"/>
      <c r="L93" s="7"/>
      <c r="M93" s="7"/>
      <c r="N93" s="7"/>
      <c r="O93" s="7"/>
      <c r="P93" s="7"/>
    </row>
    <row r="94" spans="1:21" x14ac:dyDescent="0.2">
      <c r="A94" s="7"/>
      <c r="B94" s="7"/>
      <c r="C94" s="7"/>
      <c r="D94" s="7"/>
      <c r="E94" s="7"/>
      <c r="F94" s="7"/>
      <c r="G94" s="7"/>
      <c r="H94" s="7"/>
      <c r="I94" s="7"/>
      <c r="J94" s="7"/>
      <c r="K94" s="7"/>
      <c r="L94" s="7"/>
      <c r="M94" s="7"/>
      <c r="N94" s="7"/>
      <c r="O94" s="7"/>
      <c r="P94" s="7"/>
    </row>
    <row r="95" spans="1:21" x14ac:dyDescent="0.2">
      <c r="A95" s="7"/>
      <c r="B95" s="7"/>
      <c r="C95" s="7"/>
      <c r="D95" s="7"/>
      <c r="E95" s="7"/>
      <c r="F95" s="7"/>
      <c r="G95" s="7"/>
      <c r="H95" s="7"/>
      <c r="I95" s="7"/>
      <c r="J95" s="7"/>
      <c r="K95" s="7"/>
      <c r="L95" s="7"/>
      <c r="M95" s="7"/>
      <c r="N95" s="7"/>
      <c r="O95" s="7"/>
      <c r="P95" s="7"/>
    </row>
    <row r="96" spans="1:21" x14ac:dyDescent="0.2">
      <c r="A96" s="7"/>
      <c r="B96" s="7"/>
      <c r="C96" s="7"/>
      <c r="D96" s="7"/>
      <c r="E96" s="7"/>
      <c r="F96" s="7"/>
      <c r="G96" s="7"/>
      <c r="H96" s="7"/>
      <c r="I96" s="7"/>
      <c r="J96" s="7"/>
      <c r="K96" s="7"/>
      <c r="L96" s="7"/>
      <c r="M96" s="7"/>
      <c r="N96" s="7"/>
      <c r="O96" s="7"/>
      <c r="P96" s="7"/>
    </row>
    <row r="97" spans="1:16" x14ac:dyDescent="0.2">
      <c r="A97" s="7"/>
      <c r="B97" s="7"/>
      <c r="C97" s="7"/>
      <c r="D97" s="7"/>
      <c r="E97" s="7"/>
      <c r="F97" s="7"/>
      <c r="G97" s="7"/>
      <c r="H97" s="7"/>
      <c r="I97" s="7"/>
      <c r="J97" s="7"/>
      <c r="K97" s="7"/>
      <c r="L97" s="7"/>
      <c r="M97" s="7"/>
      <c r="N97" s="7"/>
      <c r="O97" s="7"/>
      <c r="P97" s="7"/>
    </row>
    <row r="98" spans="1:16" x14ac:dyDescent="0.2">
      <c r="A98" s="7"/>
      <c r="B98" s="7"/>
      <c r="C98" s="7"/>
      <c r="D98" s="7"/>
      <c r="E98" s="7"/>
      <c r="F98" s="7"/>
      <c r="G98" s="7"/>
      <c r="H98" s="7"/>
      <c r="I98" s="7"/>
      <c r="J98" s="7"/>
      <c r="K98" s="7"/>
      <c r="L98" s="7"/>
      <c r="M98" s="7"/>
      <c r="N98" s="7"/>
      <c r="O98" s="7"/>
      <c r="P98" s="7"/>
    </row>
  </sheetData>
  <sheetProtection algorithmName="SHA-512" hashValue="Z0tyuDxLBNDQgL0ORnFWqU9El4i+mbhHS3uGX/Bq7GQrCBBBX7vO/jG1DTsj13KWmhYcZY0uFSzjiOw3JfkvPA==" saltValue="zxrRYbkAsQrWc4IKEbotAg==" spinCount="100000" sheet="1" objects="1" scenarios="1"/>
  <conditionalFormatting sqref="K1">
    <cfRule type="expression" dxfId="4" priority="1" stopIfTrue="1">
      <formula>MOD(ROW(),2)=0</formula>
    </cfRule>
  </conditionalFormatting>
  <hyperlinks>
    <hyperlink ref="K1" location="HypLink1" display="HypLink1" xr:uid="{D4C50C46-9FD4-41DC-9616-2CDDF62982E7}"/>
  </hyperlinks>
  <pageMargins left="0.35" right="0.25" top="0.32" bottom="0.5" header="0.32" footer="0.3"/>
  <pageSetup scale="55" fitToHeight="0" orientation="portrait" r:id="rId1"/>
  <headerFooter alignWithMargins="0">
    <oddFooter>&amp;L&amp;7&amp;D  at &amp;T Mike 702.486.8879&amp;C&amp;7Page &amp;P of &amp;N&amp;R&amp;7&amp;F  &amp;A</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tabColor theme="0" tint="-0.34998626667073579"/>
  </sheetPr>
  <dimension ref="A1:T80"/>
  <sheetViews>
    <sheetView workbookViewId="0"/>
  </sheetViews>
  <sheetFormatPr defaultColWidth="9.28515625" defaultRowHeight="12.75" x14ac:dyDescent="0.2"/>
  <cols>
    <col min="1" max="1" width="10.7109375" style="6" bestFit="1" customWidth="1"/>
    <col min="2" max="16384" width="9.28515625" style="6"/>
  </cols>
  <sheetData>
    <row r="1" spans="1:20" ht="15.75" x14ac:dyDescent="0.25">
      <c r="A1" s="305" t="s">
        <v>1393</v>
      </c>
      <c r="B1" s="305"/>
      <c r="C1" s="305"/>
      <c r="E1" s="408" t="s">
        <v>3</v>
      </c>
      <c r="P1" s="7"/>
      <c r="Q1" s="7"/>
      <c r="R1" s="7"/>
      <c r="S1" s="7"/>
      <c r="T1" s="7"/>
    </row>
    <row r="2" spans="1:20" ht="15.75" x14ac:dyDescent="0.25">
      <c r="A2" s="25" t="str">
        <f>SchoolName</f>
        <v>Odyssey Charter School</v>
      </c>
      <c r="B2" s="27"/>
      <c r="C2" s="27"/>
      <c r="P2" s="7"/>
      <c r="Q2" s="7"/>
      <c r="R2" s="7"/>
      <c r="S2" s="7"/>
      <c r="T2" s="7"/>
    </row>
    <row r="3" spans="1:20" x14ac:dyDescent="0.2">
      <c r="A3" s="10" t="s">
        <v>80</v>
      </c>
      <c r="P3" s="7"/>
      <c r="Q3" s="7"/>
      <c r="R3" s="7"/>
      <c r="S3" s="7"/>
      <c r="T3" s="7"/>
    </row>
    <row r="4" spans="1:20" x14ac:dyDescent="0.2">
      <c r="A4" s="9" t="s">
        <v>81</v>
      </c>
      <c r="P4" s="7"/>
      <c r="Q4" s="7"/>
      <c r="R4" s="7"/>
      <c r="S4" s="7"/>
      <c r="T4" s="7"/>
    </row>
    <row r="5" spans="1:20" x14ac:dyDescent="0.2">
      <c r="A5" s="8" t="str">
        <f ca="1">CELL("filename")</f>
        <v>\\lvraiders\users\sguthrie\Documents\Charter\Change of Sponsorship\[240126-SPCSA-Odyssey Charter School Application Workbook-AS-IS-Original Version.xlsx]Instructions</v>
      </c>
      <c r="P5" s="7"/>
      <c r="Q5" s="7"/>
      <c r="R5" s="7"/>
      <c r="S5" s="7"/>
      <c r="T5" s="7"/>
    </row>
    <row r="6" spans="1:20" x14ac:dyDescent="0.2">
      <c r="P6" s="7"/>
      <c r="Q6" s="7"/>
      <c r="R6" s="7"/>
      <c r="S6" s="7"/>
      <c r="T6" s="7"/>
    </row>
    <row r="7" spans="1:20" x14ac:dyDescent="0.2">
      <c r="A7" s="7"/>
      <c r="B7" s="7"/>
      <c r="C7" s="7"/>
      <c r="D7" s="7"/>
      <c r="E7" s="7"/>
      <c r="F7" s="7"/>
      <c r="G7" s="7"/>
      <c r="H7" s="7"/>
      <c r="I7" s="7"/>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row r="26" spans="1:20" x14ac:dyDescent="0.2">
      <c r="A26" s="7"/>
      <c r="B26" s="7"/>
      <c r="C26" s="7"/>
      <c r="D26" s="7"/>
      <c r="E26" s="7"/>
      <c r="F26" s="7"/>
      <c r="G26" s="7"/>
      <c r="H26" s="7"/>
      <c r="I26" s="7"/>
      <c r="J26" s="7"/>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row>
    <row r="31" spans="1:20" x14ac:dyDescent="0.2">
      <c r="A31" s="7"/>
      <c r="B31" s="7"/>
      <c r="C31" s="7"/>
      <c r="D31" s="7"/>
      <c r="E31" s="7"/>
      <c r="F31" s="7"/>
      <c r="G31" s="7"/>
      <c r="H31" s="7"/>
      <c r="I31" s="7"/>
      <c r="J31" s="7"/>
      <c r="K31" s="7"/>
      <c r="L31" s="7"/>
      <c r="M31" s="7"/>
      <c r="N31" s="7"/>
      <c r="O31" s="7"/>
      <c r="P31" s="7"/>
    </row>
    <row r="32" spans="1:20" x14ac:dyDescent="0.2">
      <c r="A32" s="7"/>
      <c r="B32" s="7"/>
      <c r="C32" s="7"/>
      <c r="D32" s="7"/>
      <c r="E32" s="7"/>
      <c r="F32" s="7"/>
      <c r="G32" s="7"/>
      <c r="H32" s="7"/>
      <c r="I32" s="7"/>
      <c r="J32" s="7"/>
      <c r="K32" s="7"/>
      <c r="L32" s="7"/>
      <c r="M32" s="7"/>
      <c r="N32" s="7"/>
      <c r="O32" s="7"/>
      <c r="P32" s="7"/>
    </row>
    <row r="33" spans="1:16" x14ac:dyDescent="0.2">
      <c r="A33" s="7"/>
      <c r="B33" s="7"/>
      <c r="C33" s="7"/>
      <c r="D33" s="7"/>
      <c r="E33" s="7"/>
      <c r="F33" s="7"/>
      <c r="G33" s="7"/>
      <c r="H33" s="7"/>
      <c r="I33" s="7"/>
      <c r="J33" s="7"/>
      <c r="K33" s="7"/>
      <c r="L33" s="7"/>
      <c r="M33" s="7"/>
      <c r="N33" s="7"/>
      <c r="O33" s="7"/>
      <c r="P33" s="7"/>
    </row>
    <row r="34" spans="1:16" x14ac:dyDescent="0.2">
      <c r="A34" s="7"/>
      <c r="B34" s="7"/>
      <c r="C34" s="7"/>
      <c r="D34" s="7"/>
      <c r="E34" s="7"/>
      <c r="F34" s="7"/>
      <c r="G34" s="7"/>
      <c r="H34" s="7"/>
      <c r="I34" s="7"/>
      <c r="J34" s="7"/>
      <c r="K34" s="7"/>
      <c r="L34" s="7"/>
      <c r="M34" s="7"/>
      <c r="N34" s="7"/>
      <c r="O34" s="7"/>
      <c r="P34" s="7"/>
    </row>
    <row r="35" spans="1:16" x14ac:dyDescent="0.2">
      <c r="A35" s="7"/>
      <c r="B35" s="7"/>
      <c r="C35" s="7"/>
      <c r="D35" s="7"/>
      <c r="E35" s="7"/>
      <c r="F35" s="7"/>
      <c r="G35" s="7"/>
      <c r="H35" s="7"/>
      <c r="I35" s="7"/>
      <c r="J35" s="7"/>
      <c r="K35" s="7"/>
      <c r="L35" s="7"/>
      <c r="M35" s="7"/>
      <c r="N35" s="7"/>
      <c r="O35" s="7"/>
      <c r="P35" s="7"/>
    </row>
    <row r="36" spans="1:16" x14ac:dyDescent="0.2">
      <c r="A36" s="7"/>
      <c r="B36" s="7"/>
      <c r="C36" s="7"/>
      <c r="D36" s="7"/>
      <c r="E36" s="7"/>
      <c r="F36" s="7"/>
      <c r="G36" s="7"/>
      <c r="H36" s="7"/>
      <c r="I36" s="7"/>
      <c r="J36" s="7"/>
      <c r="K36" s="7"/>
      <c r="L36" s="7"/>
      <c r="M36" s="7"/>
      <c r="N36" s="7"/>
      <c r="O36" s="7"/>
      <c r="P36" s="7"/>
    </row>
    <row r="37" spans="1:16" x14ac:dyDescent="0.2">
      <c r="A37" s="7"/>
      <c r="B37" s="7"/>
      <c r="C37" s="7"/>
      <c r="D37" s="7"/>
      <c r="E37" s="7"/>
      <c r="F37" s="7"/>
      <c r="G37" s="7"/>
      <c r="H37" s="7"/>
      <c r="I37" s="7"/>
      <c r="J37" s="7"/>
      <c r="K37" s="7"/>
      <c r="L37" s="7"/>
      <c r="M37" s="7"/>
      <c r="N37" s="7"/>
      <c r="O37" s="7"/>
      <c r="P37" s="7"/>
    </row>
    <row r="38" spans="1:16" x14ac:dyDescent="0.2">
      <c r="A38" s="7"/>
      <c r="B38" s="7"/>
      <c r="C38" s="7"/>
      <c r="D38" s="7"/>
      <c r="E38" s="7"/>
      <c r="F38" s="7"/>
      <c r="G38" s="7"/>
      <c r="H38" s="7"/>
      <c r="I38" s="7"/>
      <c r="J38" s="7"/>
      <c r="K38" s="7"/>
      <c r="L38" s="7"/>
      <c r="M38" s="7"/>
      <c r="N38" s="7"/>
      <c r="O38" s="7"/>
      <c r="P38" s="7"/>
    </row>
    <row r="39" spans="1:16" x14ac:dyDescent="0.2">
      <c r="A39" s="7"/>
      <c r="B39" s="7"/>
      <c r="C39" s="7"/>
      <c r="D39" s="7"/>
      <c r="E39" s="7"/>
      <c r="F39" s="7"/>
      <c r="G39" s="7"/>
      <c r="H39" s="7"/>
      <c r="I39" s="7"/>
      <c r="J39" s="7"/>
      <c r="K39" s="7"/>
      <c r="L39" s="7"/>
      <c r="M39" s="7"/>
      <c r="N39" s="7"/>
      <c r="O39" s="7"/>
      <c r="P39" s="7"/>
    </row>
    <row r="40" spans="1:16" x14ac:dyDescent="0.2">
      <c r="A40" s="7"/>
      <c r="B40" s="7"/>
      <c r="C40" s="7"/>
      <c r="D40" s="7"/>
      <c r="E40" s="7"/>
      <c r="F40" s="7"/>
      <c r="G40" s="7"/>
      <c r="H40" s="7"/>
      <c r="I40" s="7"/>
      <c r="J40" s="7"/>
      <c r="K40" s="7"/>
      <c r="L40" s="7"/>
      <c r="M40" s="7"/>
      <c r="N40" s="7"/>
      <c r="O40" s="7"/>
      <c r="P40" s="7"/>
    </row>
    <row r="41" spans="1:16" x14ac:dyDescent="0.2">
      <c r="A41" s="7"/>
      <c r="B41" s="7"/>
      <c r="C41" s="7"/>
      <c r="D41" s="7"/>
      <c r="E41" s="7"/>
      <c r="F41" s="7"/>
      <c r="G41" s="7"/>
      <c r="H41" s="7"/>
      <c r="I41" s="7"/>
      <c r="J41" s="7"/>
      <c r="K41" s="7"/>
      <c r="L41" s="7"/>
      <c r="M41" s="7"/>
      <c r="N41" s="7"/>
      <c r="O41" s="7"/>
      <c r="P41" s="7"/>
    </row>
    <row r="42" spans="1:16" x14ac:dyDescent="0.2">
      <c r="A42" s="7"/>
      <c r="B42" s="7"/>
      <c r="C42" s="7"/>
      <c r="D42" s="7"/>
      <c r="E42" s="7"/>
      <c r="F42" s="7"/>
      <c r="G42" s="7"/>
      <c r="H42" s="7"/>
      <c r="I42" s="7"/>
      <c r="J42" s="7"/>
      <c r="K42" s="7"/>
      <c r="L42" s="7"/>
      <c r="M42" s="7"/>
      <c r="N42" s="7"/>
      <c r="O42" s="7"/>
      <c r="P42" s="7"/>
    </row>
    <row r="43" spans="1:16" x14ac:dyDescent="0.2">
      <c r="A43" s="7"/>
      <c r="B43" s="7"/>
      <c r="C43" s="7"/>
      <c r="D43" s="7"/>
      <c r="E43" s="7"/>
      <c r="F43" s="7"/>
      <c r="G43" s="7"/>
      <c r="H43" s="7"/>
      <c r="I43" s="7"/>
      <c r="J43" s="7"/>
      <c r="K43" s="7"/>
      <c r="L43" s="7"/>
      <c r="M43" s="7"/>
      <c r="N43" s="7"/>
      <c r="O43" s="7"/>
      <c r="P43" s="7"/>
    </row>
    <row r="44" spans="1:16" x14ac:dyDescent="0.2">
      <c r="A44" s="7"/>
      <c r="B44" s="7"/>
      <c r="C44" s="7"/>
      <c r="D44" s="7"/>
      <c r="E44" s="7"/>
      <c r="F44" s="7"/>
      <c r="G44" s="7"/>
      <c r="H44" s="7"/>
      <c r="I44" s="7"/>
      <c r="J44" s="7"/>
      <c r="K44" s="7"/>
      <c r="L44" s="7"/>
      <c r="M44" s="7"/>
      <c r="N44" s="7"/>
      <c r="O44" s="7"/>
      <c r="P44" s="7"/>
    </row>
    <row r="45" spans="1:16" x14ac:dyDescent="0.2">
      <c r="A45" s="7"/>
      <c r="B45" s="7"/>
      <c r="C45" s="7"/>
      <c r="D45" s="7"/>
      <c r="E45" s="7"/>
      <c r="F45" s="7"/>
      <c r="G45" s="7"/>
      <c r="H45" s="7"/>
      <c r="I45" s="7"/>
      <c r="J45" s="7"/>
      <c r="K45" s="7"/>
      <c r="L45" s="7"/>
      <c r="M45" s="7"/>
      <c r="N45" s="7"/>
      <c r="O45" s="7"/>
      <c r="P45" s="7"/>
    </row>
    <row r="46" spans="1:16" x14ac:dyDescent="0.2">
      <c r="A46" s="7"/>
      <c r="B46" s="7"/>
      <c r="C46" s="7"/>
      <c r="D46" s="7"/>
      <c r="E46" s="7"/>
      <c r="F46" s="7"/>
      <c r="G46" s="7"/>
      <c r="H46" s="7"/>
      <c r="I46" s="7"/>
      <c r="J46" s="7"/>
      <c r="K46" s="7"/>
      <c r="L46" s="7"/>
      <c r="M46" s="7"/>
      <c r="N46" s="7"/>
      <c r="O46" s="7"/>
      <c r="P46" s="7"/>
    </row>
    <row r="47" spans="1:16" x14ac:dyDescent="0.2">
      <c r="A47" s="7"/>
      <c r="B47" s="7"/>
      <c r="C47" s="7"/>
      <c r="D47" s="7"/>
      <c r="E47" s="7"/>
      <c r="F47" s="7"/>
      <c r="G47" s="7"/>
      <c r="H47" s="7"/>
      <c r="I47" s="7"/>
      <c r="J47" s="7"/>
      <c r="K47" s="7"/>
      <c r="L47" s="7"/>
      <c r="M47" s="7"/>
      <c r="N47" s="7"/>
      <c r="O47" s="7"/>
      <c r="P47" s="7"/>
    </row>
    <row r="48" spans="1:16" x14ac:dyDescent="0.2">
      <c r="A48" s="7"/>
      <c r="B48" s="7"/>
      <c r="C48" s="7"/>
      <c r="D48" s="7"/>
      <c r="E48" s="7"/>
      <c r="F48" s="7"/>
      <c r="G48" s="7"/>
      <c r="H48" s="7"/>
      <c r="I48" s="7"/>
      <c r="J48" s="7"/>
      <c r="K48" s="7"/>
      <c r="L48" s="7"/>
      <c r="M48" s="7"/>
      <c r="N48" s="7"/>
      <c r="O48" s="7"/>
      <c r="P48" s="7"/>
    </row>
    <row r="49" spans="1:16" x14ac:dyDescent="0.2">
      <c r="A49" s="7"/>
      <c r="B49" s="7"/>
      <c r="C49" s="7"/>
      <c r="D49" s="7"/>
      <c r="E49" s="7"/>
      <c r="F49" s="7"/>
      <c r="G49" s="7"/>
      <c r="H49" s="7"/>
      <c r="I49" s="7"/>
      <c r="J49" s="7"/>
      <c r="K49" s="7"/>
      <c r="L49" s="7"/>
      <c r="M49" s="7"/>
      <c r="N49" s="7"/>
      <c r="O49" s="7"/>
      <c r="P49" s="7"/>
    </row>
    <row r="50" spans="1:16" x14ac:dyDescent="0.2">
      <c r="A50" s="7"/>
      <c r="B50" s="7"/>
      <c r="C50" s="7"/>
      <c r="D50" s="7"/>
      <c r="E50" s="7"/>
      <c r="F50" s="7"/>
      <c r="G50" s="7"/>
      <c r="H50" s="7"/>
      <c r="I50" s="7"/>
      <c r="J50" s="7"/>
      <c r="K50" s="7"/>
      <c r="L50" s="7"/>
      <c r="M50" s="7"/>
      <c r="N50" s="7"/>
      <c r="O50" s="7"/>
      <c r="P50" s="7"/>
    </row>
    <row r="51" spans="1:16" x14ac:dyDescent="0.2">
      <c r="A51" s="7"/>
      <c r="B51" s="7"/>
      <c r="C51" s="7"/>
      <c r="D51" s="7"/>
      <c r="E51" s="7"/>
      <c r="F51" s="7"/>
      <c r="G51" s="7"/>
      <c r="H51" s="7"/>
      <c r="I51" s="7"/>
      <c r="J51" s="7"/>
      <c r="K51" s="7"/>
      <c r="L51" s="7"/>
      <c r="M51" s="7"/>
      <c r="N51" s="7"/>
      <c r="O51" s="7"/>
      <c r="P51" s="7"/>
    </row>
    <row r="52" spans="1:16" x14ac:dyDescent="0.2">
      <c r="A52" s="7"/>
      <c r="B52" s="7"/>
      <c r="C52" s="7"/>
      <c r="D52" s="7"/>
      <c r="E52" s="7"/>
      <c r="F52" s="7"/>
      <c r="G52" s="7"/>
      <c r="H52" s="7"/>
      <c r="I52" s="7"/>
      <c r="J52" s="7"/>
      <c r="K52" s="7"/>
      <c r="L52" s="7"/>
      <c r="M52" s="7"/>
      <c r="N52" s="7"/>
      <c r="O52" s="7"/>
      <c r="P52" s="7"/>
    </row>
    <row r="53" spans="1:16" x14ac:dyDescent="0.2">
      <c r="A53" s="7"/>
      <c r="B53" s="7"/>
      <c r="C53" s="7"/>
      <c r="D53" s="7"/>
      <c r="E53" s="7"/>
      <c r="F53" s="7"/>
      <c r="G53" s="7"/>
      <c r="H53" s="7"/>
      <c r="I53" s="7"/>
      <c r="J53" s="7"/>
      <c r="K53" s="7"/>
      <c r="L53" s="7"/>
      <c r="M53" s="7"/>
      <c r="N53" s="7"/>
      <c r="O53" s="7"/>
      <c r="P53" s="7"/>
    </row>
    <row r="54" spans="1:16" x14ac:dyDescent="0.2">
      <c r="A54" s="7"/>
      <c r="B54" s="7"/>
      <c r="C54" s="7"/>
      <c r="D54" s="7"/>
      <c r="E54" s="7"/>
      <c r="F54" s="7"/>
      <c r="G54" s="7"/>
      <c r="H54" s="7"/>
      <c r="I54" s="7"/>
      <c r="J54" s="7"/>
      <c r="K54" s="7"/>
      <c r="L54" s="7"/>
      <c r="M54" s="7"/>
      <c r="N54" s="7"/>
      <c r="O54" s="7"/>
      <c r="P54" s="7"/>
    </row>
    <row r="55" spans="1:16" x14ac:dyDescent="0.2">
      <c r="A55" s="7"/>
      <c r="B55" s="7"/>
      <c r="C55" s="7"/>
      <c r="D55" s="7"/>
      <c r="E55" s="7"/>
      <c r="F55" s="7"/>
      <c r="G55" s="7"/>
      <c r="H55" s="7"/>
      <c r="I55" s="7"/>
      <c r="J55" s="7"/>
      <c r="K55" s="7"/>
      <c r="L55" s="7"/>
      <c r="M55" s="7"/>
      <c r="N55" s="7"/>
      <c r="O55" s="7"/>
      <c r="P55" s="7"/>
    </row>
    <row r="56" spans="1:16" x14ac:dyDescent="0.2">
      <c r="A56" s="7"/>
      <c r="B56" s="7"/>
      <c r="C56" s="7"/>
      <c r="D56" s="7"/>
      <c r="E56" s="7"/>
      <c r="F56" s="7"/>
      <c r="G56" s="7"/>
      <c r="H56" s="7"/>
      <c r="I56" s="7"/>
      <c r="J56" s="7"/>
      <c r="K56" s="7"/>
      <c r="L56" s="7"/>
      <c r="M56" s="7"/>
      <c r="N56" s="7"/>
      <c r="O56" s="7"/>
      <c r="P56" s="7"/>
    </row>
    <row r="57" spans="1:16" x14ac:dyDescent="0.2">
      <c r="A57" s="7"/>
      <c r="B57" s="7"/>
      <c r="C57" s="7"/>
      <c r="D57" s="7"/>
      <c r="E57" s="7"/>
      <c r="F57" s="7"/>
      <c r="G57" s="7"/>
      <c r="H57" s="7"/>
      <c r="I57" s="7"/>
      <c r="J57" s="7"/>
      <c r="K57" s="7"/>
      <c r="L57" s="7"/>
      <c r="M57" s="7"/>
      <c r="N57" s="7"/>
      <c r="O57" s="7"/>
      <c r="P57" s="7"/>
    </row>
    <row r="58" spans="1:16" x14ac:dyDescent="0.2">
      <c r="A58" s="7"/>
      <c r="B58" s="7"/>
      <c r="C58" s="7"/>
      <c r="D58" s="7"/>
      <c r="E58" s="7"/>
      <c r="F58" s="7"/>
      <c r="G58" s="7"/>
      <c r="H58" s="7"/>
      <c r="I58" s="7"/>
      <c r="J58" s="7"/>
      <c r="K58" s="7"/>
      <c r="L58" s="7"/>
      <c r="M58" s="7"/>
      <c r="N58" s="7"/>
      <c r="O58" s="7"/>
      <c r="P58" s="7"/>
    </row>
    <row r="59" spans="1:16" x14ac:dyDescent="0.2">
      <c r="A59" s="7"/>
      <c r="B59" s="7"/>
      <c r="C59" s="7"/>
      <c r="D59" s="7"/>
      <c r="E59" s="7"/>
      <c r="F59" s="7"/>
      <c r="G59" s="7"/>
      <c r="H59" s="7"/>
      <c r="I59" s="7"/>
      <c r="J59" s="7"/>
      <c r="K59" s="7"/>
      <c r="L59" s="7"/>
      <c r="M59" s="7"/>
      <c r="N59" s="7"/>
      <c r="O59" s="7"/>
      <c r="P59" s="7"/>
    </row>
    <row r="60" spans="1:16" x14ac:dyDescent="0.2">
      <c r="A60" s="7"/>
      <c r="B60" s="7"/>
      <c r="C60" s="7"/>
      <c r="D60" s="7"/>
      <c r="E60" s="7"/>
      <c r="F60" s="7"/>
      <c r="G60" s="7"/>
      <c r="H60" s="7"/>
      <c r="I60" s="7"/>
      <c r="J60" s="7"/>
      <c r="K60" s="7"/>
      <c r="L60" s="7"/>
      <c r="M60" s="7"/>
      <c r="N60" s="7"/>
      <c r="O60" s="7"/>
      <c r="P60" s="7"/>
    </row>
    <row r="61" spans="1:16" x14ac:dyDescent="0.2">
      <c r="A61" s="7"/>
      <c r="B61" s="7"/>
      <c r="C61" s="7"/>
      <c r="D61" s="7"/>
      <c r="E61" s="7"/>
      <c r="F61" s="7"/>
      <c r="G61" s="7"/>
      <c r="H61" s="7"/>
      <c r="I61" s="7"/>
      <c r="J61" s="7"/>
      <c r="K61" s="7"/>
      <c r="L61" s="7"/>
      <c r="M61" s="7"/>
      <c r="N61" s="7"/>
      <c r="O61" s="7"/>
      <c r="P61" s="7"/>
    </row>
    <row r="62" spans="1:16" x14ac:dyDescent="0.2">
      <c r="A62" s="7"/>
      <c r="B62" s="7"/>
      <c r="C62" s="7"/>
      <c r="D62" s="7"/>
      <c r="E62" s="7"/>
      <c r="F62" s="7"/>
      <c r="G62" s="7"/>
      <c r="H62" s="7"/>
      <c r="I62" s="7"/>
      <c r="J62" s="7"/>
      <c r="K62" s="7"/>
      <c r="L62" s="7"/>
      <c r="M62" s="7"/>
      <c r="N62" s="7"/>
      <c r="O62" s="7"/>
      <c r="P62" s="7"/>
    </row>
    <row r="63" spans="1:16" x14ac:dyDescent="0.2">
      <c r="A63" s="7"/>
      <c r="B63" s="7"/>
      <c r="C63" s="7"/>
      <c r="D63" s="7"/>
      <c r="E63" s="7"/>
      <c r="F63" s="7"/>
      <c r="G63" s="7"/>
      <c r="H63" s="7"/>
      <c r="I63" s="7"/>
      <c r="J63" s="7"/>
      <c r="K63" s="7"/>
      <c r="L63" s="7"/>
      <c r="M63" s="7"/>
      <c r="N63" s="7"/>
      <c r="O63" s="7"/>
      <c r="P63" s="7"/>
    </row>
    <row r="64" spans="1:16" x14ac:dyDescent="0.2">
      <c r="A64" s="7"/>
      <c r="B64" s="7"/>
      <c r="C64" s="7"/>
      <c r="D64" s="7"/>
      <c r="E64" s="7"/>
      <c r="F64" s="7"/>
      <c r="G64" s="7"/>
      <c r="H64" s="7"/>
      <c r="I64" s="7"/>
      <c r="J64" s="7"/>
      <c r="K64" s="7"/>
      <c r="L64" s="7"/>
      <c r="M64" s="7"/>
      <c r="N64" s="7"/>
      <c r="O64" s="7"/>
      <c r="P64" s="7"/>
    </row>
    <row r="65" spans="1:16" x14ac:dyDescent="0.2">
      <c r="A65" s="7"/>
      <c r="B65" s="7"/>
      <c r="C65" s="7"/>
      <c r="D65" s="7"/>
      <c r="E65" s="7"/>
      <c r="F65" s="7"/>
      <c r="G65" s="7"/>
      <c r="H65" s="7"/>
      <c r="I65" s="7"/>
      <c r="J65" s="7"/>
      <c r="K65" s="7"/>
      <c r="L65" s="7"/>
      <c r="M65" s="7"/>
      <c r="N65" s="7"/>
      <c r="O65" s="7"/>
      <c r="P65" s="7"/>
    </row>
    <row r="66" spans="1:16" x14ac:dyDescent="0.2">
      <c r="A66" s="7"/>
      <c r="B66" s="7"/>
      <c r="C66" s="7"/>
      <c r="D66" s="7"/>
      <c r="E66" s="7"/>
      <c r="F66" s="7"/>
      <c r="G66" s="7"/>
      <c r="H66" s="7"/>
      <c r="I66" s="7"/>
      <c r="J66" s="7"/>
      <c r="K66" s="7"/>
      <c r="L66" s="7"/>
      <c r="M66" s="7"/>
      <c r="N66" s="7"/>
      <c r="O66" s="7"/>
      <c r="P66" s="7"/>
    </row>
    <row r="67" spans="1:16" x14ac:dyDescent="0.2">
      <c r="A67" s="7"/>
      <c r="B67" s="7"/>
      <c r="C67" s="7"/>
      <c r="D67" s="7"/>
      <c r="E67" s="7"/>
      <c r="F67" s="7"/>
      <c r="G67" s="7"/>
      <c r="H67" s="7"/>
      <c r="I67" s="7"/>
      <c r="J67" s="7"/>
      <c r="K67" s="7"/>
      <c r="L67" s="7"/>
      <c r="M67" s="7"/>
      <c r="N67" s="7"/>
      <c r="O67" s="7"/>
      <c r="P67" s="7"/>
    </row>
    <row r="68" spans="1:16" x14ac:dyDescent="0.2">
      <c r="A68" s="7"/>
      <c r="B68" s="7"/>
      <c r="C68" s="7"/>
      <c r="D68" s="7"/>
      <c r="E68" s="7"/>
      <c r="F68" s="7"/>
      <c r="G68" s="7"/>
      <c r="H68" s="7"/>
      <c r="I68" s="7"/>
      <c r="J68" s="7"/>
      <c r="K68" s="7"/>
      <c r="L68" s="7"/>
      <c r="M68" s="7"/>
      <c r="N68" s="7"/>
      <c r="O68" s="7"/>
      <c r="P68" s="7"/>
    </row>
    <row r="69" spans="1:16" x14ac:dyDescent="0.2">
      <c r="A69" s="7"/>
      <c r="B69" s="7"/>
      <c r="C69" s="7"/>
      <c r="D69" s="7"/>
      <c r="E69" s="7"/>
      <c r="F69" s="7"/>
      <c r="G69" s="7"/>
      <c r="H69" s="7"/>
      <c r="I69" s="7"/>
      <c r="J69" s="7"/>
      <c r="K69" s="7"/>
      <c r="L69" s="7"/>
      <c r="M69" s="7"/>
      <c r="N69" s="7"/>
      <c r="O69" s="7"/>
      <c r="P69" s="7"/>
    </row>
    <row r="70" spans="1:16" x14ac:dyDescent="0.2">
      <c r="A70" s="7"/>
      <c r="B70" s="7"/>
      <c r="C70" s="7"/>
      <c r="D70" s="7"/>
      <c r="E70" s="7"/>
      <c r="F70" s="7"/>
      <c r="G70" s="7"/>
      <c r="H70" s="7"/>
      <c r="I70" s="7"/>
      <c r="J70" s="7"/>
      <c r="K70" s="7"/>
      <c r="L70" s="7"/>
      <c r="M70" s="7"/>
      <c r="N70" s="7"/>
      <c r="O70" s="7"/>
      <c r="P70" s="7"/>
    </row>
    <row r="71" spans="1:16" x14ac:dyDescent="0.2">
      <c r="A71" s="7"/>
      <c r="B71" s="7"/>
      <c r="C71" s="7"/>
      <c r="D71" s="7"/>
      <c r="E71" s="7"/>
      <c r="F71" s="7"/>
      <c r="G71" s="7"/>
      <c r="H71" s="7"/>
      <c r="I71" s="7"/>
      <c r="J71" s="7"/>
      <c r="K71" s="7"/>
      <c r="L71" s="7"/>
      <c r="M71" s="7"/>
      <c r="N71" s="7"/>
      <c r="O71" s="7"/>
      <c r="P71" s="7"/>
    </row>
    <row r="72" spans="1:16" x14ac:dyDescent="0.2">
      <c r="A72" s="7"/>
      <c r="B72" s="7"/>
      <c r="C72" s="7"/>
      <c r="D72" s="7"/>
      <c r="E72" s="7"/>
      <c r="F72" s="7"/>
      <c r="G72" s="7"/>
      <c r="H72" s="7"/>
      <c r="I72" s="7"/>
      <c r="J72" s="7"/>
      <c r="K72" s="7"/>
      <c r="L72" s="7"/>
      <c r="M72" s="7"/>
      <c r="N72" s="7"/>
      <c r="O72" s="7"/>
      <c r="P72" s="7"/>
    </row>
    <row r="73" spans="1:16" x14ac:dyDescent="0.2">
      <c r="A73" s="7"/>
      <c r="B73" s="7"/>
      <c r="C73" s="7"/>
      <c r="D73" s="7"/>
      <c r="E73" s="7"/>
      <c r="F73" s="7"/>
      <c r="G73" s="7"/>
      <c r="H73" s="7"/>
      <c r="I73" s="7"/>
      <c r="J73" s="7"/>
      <c r="K73" s="7"/>
      <c r="L73" s="7"/>
      <c r="M73" s="7"/>
      <c r="N73" s="7"/>
      <c r="O73" s="7"/>
      <c r="P73" s="7"/>
    </row>
    <row r="74" spans="1:16" x14ac:dyDescent="0.2">
      <c r="A74" s="7"/>
      <c r="B74" s="7"/>
      <c r="C74" s="7"/>
      <c r="D74" s="7"/>
      <c r="E74" s="7"/>
      <c r="F74" s="7"/>
      <c r="G74" s="7"/>
      <c r="H74" s="7"/>
      <c r="I74" s="7"/>
      <c r="J74" s="7"/>
      <c r="K74" s="7"/>
      <c r="L74" s="7"/>
      <c r="M74" s="7"/>
      <c r="N74" s="7"/>
      <c r="O74" s="7"/>
      <c r="P74" s="7"/>
    </row>
    <row r="75" spans="1:16" x14ac:dyDescent="0.2">
      <c r="A75" s="7"/>
      <c r="B75" s="7"/>
      <c r="C75" s="7"/>
      <c r="D75" s="7"/>
      <c r="E75" s="7"/>
      <c r="F75" s="7"/>
      <c r="G75" s="7"/>
      <c r="H75" s="7"/>
      <c r="I75" s="7"/>
      <c r="J75" s="7"/>
      <c r="K75" s="7"/>
      <c r="L75" s="7"/>
      <c r="M75" s="7"/>
      <c r="N75" s="7"/>
      <c r="O75" s="7"/>
      <c r="P75" s="7"/>
    </row>
    <row r="76" spans="1:16" x14ac:dyDescent="0.2">
      <c r="A76" s="7"/>
      <c r="B76" s="7"/>
      <c r="C76" s="7"/>
      <c r="D76" s="7"/>
      <c r="E76" s="7"/>
      <c r="F76" s="7"/>
      <c r="G76" s="7"/>
      <c r="H76" s="7"/>
      <c r="I76" s="7"/>
      <c r="J76" s="7"/>
      <c r="K76" s="7"/>
      <c r="L76" s="7"/>
      <c r="M76" s="7"/>
      <c r="N76" s="7"/>
      <c r="O76" s="7"/>
      <c r="P76" s="7"/>
    </row>
    <row r="77" spans="1:16" x14ac:dyDescent="0.2">
      <c r="A77" s="7"/>
      <c r="B77" s="7"/>
      <c r="C77" s="7"/>
      <c r="D77" s="7"/>
      <c r="E77" s="7"/>
      <c r="F77" s="7"/>
      <c r="G77" s="7"/>
      <c r="H77" s="7"/>
      <c r="I77" s="7"/>
      <c r="J77" s="7"/>
      <c r="K77" s="7"/>
      <c r="L77" s="7"/>
      <c r="M77" s="7"/>
      <c r="N77" s="7"/>
      <c r="O77" s="7"/>
      <c r="P77" s="7"/>
    </row>
    <row r="78" spans="1:16" x14ac:dyDescent="0.2">
      <c r="A78" s="7"/>
      <c r="B78" s="7"/>
      <c r="C78" s="7"/>
      <c r="D78" s="7"/>
      <c r="E78" s="7"/>
      <c r="F78" s="7"/>
      <c r="G78" s="7"/>
      <c r="H78" s="7"/>
      <c r="I78" s="7"/>
      <c r="J78" s="7"/>
      <c r="K78" s="7"/>
      <c r="L78" s="7"/>
      <c r="M78" s="7"/>
      <c r="N78" s="7"/>
      <c r="O78" s="7"/>
      <c r="P78" s="7"/>
    </row>
    <row r="79" spans="1:16" x14ac:dyDescent="0.2">
      <c r="A79" s="7"/>
      <c r="B79" s="7"/>
      <c r="C79" s="7"/>
      <c r="D79" s="7"/>
      <c r="E79" s="7"/>
      <c r="F79" s="7"/>
      <c r="G79" s="7"/>
      <c r="H79" s="7"/>
      <c r="I79" s="7"/>
      <c r="J79" s="7"/>
      <c r="K79" s="7"/>
      <c r="L79" s="7"/>
      <c r="M79" s="7"/>
      <c r="N79" s="7"/>
      <c r="O79" s="7"/>
      <c r="P79" s="7"/>
    </row>
    <row r="80" spans="1:16" x14ac:dyDescent="0.2">
      <c r="A80" s="7"/>
      <c r="B80" s="7"/>
      <c r="C80" s="7"/>
      <c r="D80" s="7"/>
      <c r="E80" s="7"/>
      <c r="F80" s="7"/>
      <c r="G80" s="7"/>
      <c r="H80" s="7"/>
      <c r="I80" s="7"/>
      <c r="J80" s="7"/>
      <c r="K80" s="7"/>
      <c r="L80" s="7"/>
      <c r="M80" s="7"/>
      <c r="N80" s="7"/>
      <c r="O80" s="7"/>
      <c r="P80" s="7"/>
    </row>
  </sheetData>
  <sheetProtection algorithmName="SHA-512" hashValue="HxAGCs6slx+HBwLfONVLkOIcdGZ3O8YKZnustKEn16ubxos3D3uW6gdgGa8ST4txPB0AEf16M6gWcq1iBPNNSg==" saltValue="NRnHKWVpw/NU0N+i2hlnZg=="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5C5619E5-080E-4FEB-8E13-B074694B0C79}"/>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sheetPr codeName="Sheet19">
    <tabColor theme="0" tint="-0.34998626667073579"/>
  </sheetPr>
  <dimension ref="A1:P80"/>
  <sheetViews>
    <sheetView workbookViewId="0"/>
  </sheetViews>
  <sheetFormatPr defaultColWidth="9.28515625" defaultRowHeight="12.75" x14ac:dyDescent="0.2"/>
  <cols>
    <col min="1" max="1" width="4.42578125" style="6" customWidth="1"/>
    <col min="2" max="16384" width="9.28515625" style="6"/>
  </cols>
  <sheetData>
    <row r="1" spans="1:16" ht="15.75" x14ac:dyDescent="0.25">
      <c r="A1" s="308" t="s">
        <v>1394</v>
      </c>
      <c r="B1" s="308"/>
      <c r="C1" s="308"/>
      <c r="D1" s="308"/>
      <c r="E1" s="308"/>
      <c r="F1" s="308"/>
      <c r="G1" s="308"/>
      <c r="M1" s="372" t="s">
        <v>3</v>
      </c>
    </row>
    <row r="2" spans="1:16" ht="15.75" x14ac:dyDescent="0.25">
      <c r="A2" s="25"/>
      <c r="B2" s="27"/>
      <c r="C2" s="27"/>
      <c r="D2" s="27"/>
      <c r="E2" s="27"/>
      <c r="F2" s="27"/>
      <c r="G2" s="27"/>
      <c r="H2" s="6" t="s">
        <v>1395</v>
      </c>
    </row>
    <row r="3" spans="1:16" x14ac:dyDescent="0.2">
      <c r="A3" s="10" t="s">
        <v>448</v>
      </c>
      <c r="H3" s="6" t="s">
        <v>1396</v>
      </c>
    </row>
    <row r="4" spans="1:16" x14ac:dyDescent="0.2">
      <c r="A4" s="9" t="s">
        <v>80</v>
      </c>
    </row>
    <row r="5" spans="1:16" x14ac:dyDescent="0.2">
      <c r="A5" s="8" t="str">
        <f ca="1">CELL("filename")</f>
        <v>\\lvraiders\users\sguthrie\Documents\Charter\Change of Sponsorship\[240126-SPCSA-Odyssey Charter School Application Workbook-AS-IS-Original Version.xlsx]Instructions</v>
      </c>
    </row>
    <row r="6" spans="1:16" x14ac:dyDescent="0.2">
      <c r="A6" s="7"/>
      <c r="B6" s="7"/>
      <c r="C6" s="7"/>
      <c r="D6" s="7"/>
      <c r="E6" s="7"/>
      <c r="F6" s="7"/>
      <c r="G6" s="7"/>
      <c r="H6" s="7"/>
      <c r="I6" s="7"/>
      <c r="J6" s="7"/>
      <c r="K6" s="7"/>
      <c r="L6" s="7"/>
      <c r="M6" s="7"/>
      <c r="N6" s="7"/>
      <c r="O6" s="7"/>
      <c r="P6" s="7"/>
    </row>
    <row r="7" spans="1:16" x14ac:dyDescent="0.2">
      <c r="A7" s="7"/>
      <c r="B7" s="7" t="s">
        <v>1397</v>
      </c>
      <c r="C7" s="7"/>
      <c r="D7" s="7"/>
      <c r="E7" s="7"/>
      <c r="F7" s="7"/>
      <c r="G7" s="7"/>
      <c r="H7" s="7"/>
      <c r="I7" s="7"/>
      <c r="J7" s="7"/>
      <c r="K7" s="7"/>
      <c r="L7" s="7"/>
      <c r="M7" s="7"/>
      <c r="N7" s="7"/>
      <c r="O7" s="7"/>
      <c r="P7" s="7"/>
    </row>
    <row r="8" spans="1:16" x14ac:dyDescent="0.2">
      <c r="A8" s="7"/>
      <c r="B8" s="7" t="s">
        <v>1398</v>
      </c>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332"/>
      <c r="C10" s="332"/>
      <c r="D10" s="332"/>
      <c r="E10" s="332"/>
      <c r="F10" s="332"/>
      <c r="G10" s="1801" t="s">
        <v>1399</v>
      </c>
      <c r="H10" s="1801"/>
      <c r="I10" s="1658" t="s">
        <v>1400</v>
      </c>
      <c r="J10" s="1658"/>
      <c r="K10" s="1658"/>
      <c r="L10" s="1658"/>
      <c r="M10" s="1658"/>
      <c r="N10" s="1658"/>
      <c r="O10" s="7"/>
      <c r="P10" s="7"/>
    </row>
    <row r="11" spans="1:16" x14ac:dyDescent="0.2">
      <c r="A11" s="7"/>
      <c r="B11" s="333"/>
      <c r="C11" s="17"/>
      <c r="D11" s="17"/>
      <c r="E11" s="17"/>
      <c r="F11" s="17"/>
      <c r="G11" s="334" t="s">
        <v>1401</v>
      </c>
      <c r="H11" s="334" t="s">
        <v>1402</v>
      </c>
      <c r="I11" s="334" t="s">
        <v>640</v>
      </c>
      <c r="J11" s="334">
        <v>1</v>
      </c>
      <c r="K11" s="334">
        <f>+J11+1</f>
        <v>2</v>
      </c>
      <c r="L11" s="334">
        <f>+K11+1</f>
        <v>3</v>
      </c>
      <c r="M11" s="334">
        <f>+L11+1</f>
        <v>4</v>
      </c>
      <c r="N11" s="334">
        <f>+M11+1</f>
        <v>5</v>
      </c>
      <c r="O11" s="7"/>
      <c r="P11" s="7"/>
    </row>
    <row r="12" spans="1:16" x14ac:dyDescent="0.2">
      <c r="A12" s="7"/>
      <c r="C12" s="7"/>
      <c r="D12" s="7"/>
      <c r="E12" s="7"/>
      <c r="F12" s="7"/>
      <c r="G12" s="7"/>
      <c r="H12" s="7"/>
      <c r="I12" s="7"/>
      <c r="J12" s="7"/>
      <c r="K12" s="7"/>
      <c r="L12" s="7"/>
      <c r="M12" s="7"/>
      <c r="N12" s="7"/>
      <c r="O12" s="7"/>
      <c r="P12" s="7"/>
    </row>
    <row r="13" spans="1:16" x14ac:dyDescent="0.2">
      <c r="A13" s="7"/>
      <c r="B13" s="335" t="s">
        <v>1403</v>
      </c>
      <c r="C13" s="17"/>
      <c r="D13" s="17"/>
      <c r="E13" s="17"/>
      <c r="F13" s="17"/>
      <c r="G13" s="17"/>
      <c r="H13" s="17"/>
      <c r="I13" s="17"/>
      <c r="J13" s="17"/>
      <c r="K13" s="17"/>
      <c r="L13" s="17"/>
      <c r="M13" s="17"/>
      <c r="N13" s="17"/>
      <c r="O13" s="7"/>
      <c r="P13" s="7"/>
    </row>
    <row r="14" spans="1:16" x14ac:dyDescent="0.2">
      <c r="A14" s="7"/>
      <c r="B14" s="336" t="s">
        <v>1404</v>
      </c>
      <c r="C14" s="336"/>
      <c r="D14" s="336"/>
      <c r="E14" s="336"/>
      <c r="F14" s="336"/>
      <c r="G14" s="337"/>
      <c r="H14" s="337"/>
      <c r="I14" s="337"/>
      <c r="J14" s="337"/>
      <c r="K14" s="337"/>
      <c r="L14" s="337"/>
      <c r="M14" s="337"/>
      <c r="N14" s="337"/>
      <c r="O14" s="7"/>
      <c r="P14" s="7"/>
    </row>
    <row r="15" spans="1:16" x14ac:dyDescent="0.2">
      <c r="A15" s="7"/>
      <c r="B15" s="338" t="s">
        <v>1405</v>
      </c>
      <c r="C15" s="338"/>
      <c r="D15" s="338"/>
      <c r="E15" s="338"/>
      <c r="F15" s="338"/>
      <c r="G15" s="339"/>
      <c r="H15" s="339"/>
      <c r="I15" s="339"/>
      <c r="J15" s="339"/>
      <c r="K15" s="339"/>
      <c r="L15" s="339"/>
      <c r="M15" s="339"/>
      <c r="N15" s="339"/>
      <c r="O15" s="7"/>
      <c r="P15" s="7"/>
    </row>
    <row r="16" spans="1:16" x14ac:dyDescent="0.2">
      <c r="A16" s="7"/>
      <c r="B16" s="338" t="s">
        <v>1406</v>
      </c>
      <c r="C16" s="338"/>
      <c r="D16" s="338"/>
      <c r="E16" s="338"/>
      <c r="F16" s="338"/>
      <c r="G16" s="339"/>
      <c r="H16" s="339"/>
      <c r="I16" s="339"/>
      <c r="J16" s="339"/>
      <c r="K16" s="339"/>
      <c r="L16" s="339"/>
      <c r="M16" s="339"/>
      <c r="N16" s="339"/>
      <c r="O16" s="7"/>
      <c r="P16" s="7"/>
    </row>
    <row r="17" spans="1:16" x14ac:dyDescent="0.2">
      <c r="A17" s="7"/>
      <c r="B17" s="338" t="s">
        <v>1407</v>
      </c>
      <c r="C17" s="338"/>
      <c r="D17" s="338"/>
      <c r="E17" s="338"/>
      <c r="F17" s="338"/>
      <c r="G17" s="339"/>
      <c r="H17" s="339"/>
      <c r="I17" s="339"/>
      <c r="J17" s="339"/>
      <c r="K17" s="339"/>
      <c r="L17" s="339"/>
      <c r="M17" s="339"/>
      <c r="N17" s="339"/>
      <c r="O17" s="7"/>
      <c r="P17" s="7"/>
    </row>
    <row r="18" spans="1:16" x14ac:dyDescent="0.2">
      <c r="A18" s="7"/>
      <c r="B18" s="338" t="s">
        <v>1408</v>
      </c>
      <c r="C18" s="338"/>
      <c r="D18" s="338"/>
      <c r="E18" s="338"/>
      <c r="F18" s="338"/>
      <c r="G18" s="339"/>
      <c r="H18" s="339"/>
      <c r="I18" s="339"/>
      <c r="J18" s="339"/>
      <c r="K18" s="339"/>
      <c r="L18" s="339"/>
      <c r="M18" s="339"/>
      <c r="N18" s="339"/>
      <c r="O18" s="7"/>
      <c r="P18" s="7"/>
    </row>
    <row r="19" spans="1:16" x14ac:dyDescent="0.2">
      <c r="A19" s="7"/>
      <c r="B19" s="338" t="s">
        <v>1409</v>
      </c>
      <c r="C19" s="338"/>
      <c r="D19" s="338"/>
      <c r="E19" s="338"/>
      <c r="F19" s="338"/>
      <c r="G19" s="339"/>
      <c r="H19" s="339"/>
      <c r="I19" s="339"/>
      <c r="J19" s="339"/>
      <c r="K19" s="339"/>
      <c r="L19" s="339"/>
      <c r="M19" s="339"/>
      <c r="N19" s="339"/>
      <c r="O19" s="7"/>
      <c r="P19" s="7"/>
    </row>
    <row r="20" spans="1:16" x14ac:dyDescent="0.2">
      <c r="A20" s="7"/>
      <c r="B20" s="338" t="s">
        <v>1410</v>
      </c>
      <c r="C20" s="338"/>
      <c r="D20" s="338"/>
      <c r="E20" s="338"/>
      <c r="F20" s="338"/>
      <c r="G20" s="339"/>
      <c r="H20" s="339"/>
      <c r="I20" s="339"/>
      <c r="J20" s="339"/>
      <c r="K20" s="339"/>
      <c r="L20" s="339"/>
      <c r="M20" s="339"/>
      <c r="N20" s="339"/>
      <c r="O20" s="7"/>
      <c r="P20" s="7"/>
    </row>
    <row r="21" spans="1:16" x14ac:dyDescent="0.2">
      <c r="A21" s="7"/>
      <c r="B21" s="338" t="s">
        <v>1411</v>
      </c>
      <c r="C21" s="338"/>
      <c r="D21" s="338"/>
      <c r="E21" s="338"/>
      <c r="F21" s="338"/>
      <c r="G21" s="339"/>
      <c r="H21" s="339"/>
      <c r="I21" s="339"/>
      <c r="J21" s="339"/>
      <c r="K21" s="339"/>
      <c r="L21" s="339"/>
      <c r="M21" s="339"/>
      <c r="N21" s="339"/>
      <c r="O21" s="7"/>
      <c r="P21" s="7"/>
    </row>
    <row r="22" spans="1:16" x14ac:dyDescent="0.2">
      <c r="A22" s="7"/>
      <c r="B22" s="338" t="s">
        <v>1412</v>
      </c>
      <c r="C22" s="338"/>
      <c r="D22" s="338"/>
      <c r="E22" s="338"/>
      <c r="F22" s="338"/>
      <c r="G22" s="339"/>
      <c r="H22" s="339"/>
      <c r="I22" s="339"/>
      <c r="J22" s="339"/>
      <c r="K22" s="339"/>
      <c r="L22" s="339"/>
      <c r="M22" s="339"/>
      <c r="N22" s="339"/>
      <c r="O22" s="7"/>
      <c r="P22" s="7"/>
    </row>
    <row r="23" spans="1:16" x14ac:dyDescent="0.2">
      <c r="A23" s="7"/>
      <c r="B23" s="338" t="s">
        <v>1413</v>
      </c>
      <c r="C23" s="338"/>
      <c r="D23" s="338"/>
      <c r="E23" s="338"/>
      <c r="F23" s="338"/>
      <c r="G23" s="339"/>
      <c r="H23" s="339"/>
      <c r="I23" s="339"/>
      <c r="J23" s="339"/>
      <c r="K23" s="339"/>
      <c r="L23" s="339"/>
      <c r="M23" s="339"/>
      <c r="N23" s="339"/>
      <c r="O23" s="7"/>
      <c r="P23" s="7"/>
    </row>
    <row r="24" spans="1:16" x14ac:dyDescent="0.2">
      <c r="A24" s="7"/>
      <c r="B24" s="338" t="s">
        <v>1414</v>
      </c>
      <c r="C24" s="338"/>
      <c r="D24" s="338"/>
      <c r="E24" s="338"/>
      <c r="F24" s="338"/>
      <c r="G24" s="339"/>
      <c r="H24" s="339"/>
      <c r="I24" s="339"/>
      <c r="J24" s="339"/>
      <c r="K24" s="339"/>
      <c r="L24" s="339"/>
      <c r="M24" s="339"/>
      <c r="N24" s="339"/>
      <c r="O24" s="7"/>
      <c r="P24" s="7"/>
    </row>
    <row r="25" spans="1:16" x14ac:dyDescent="0.2">
      <c r="A25" s="7"/>
      <c r="B25" s="338" t="s">
        <v>1415</v>
      </c>
      <c r="C25" s="338"/>
      <c r="D25" s="338"/>
      <c r="E25" s="338"/>
      <c r="F25" s="338"/>
      <c r="G25" s="339"/>
      <c r="H25" s="339"/>
      <c r="I25" s="339"/>
      <c r="J25" s="339"/>
      <c r="K25" s="339"/>
      <c r="L25" s="339"/>
      <c r="M25" s="339"/>
      <c r="N25" s="339"/>
      <c r="O25" s="7"/>
      <c r="P25" s="7"/>
    </row>
    <row r="26" spans="1:16" x14ac:dyDescent="0.2">
      <c r="A26" s="7"/>
      <c r="B26" s="7"/>
      <c r="C26" s="7"/>
      <c r="D26" s="7"/>
      <c r="E26" s="7"/>
      <c r="F26" s="7"/>
      <c r="G26" s="7"/>
      <c r="H26" s="7"/>
      <c r="I26" s="7">
        <f>SUM(I14:I25)</f>
        <v>0</v>
      </c>
      <c r="J26" s="7">
        <f t="shared" ref="J26:N26" si="0">SUM(J14:J25)</f>
        <v>0</v>
      </c>
      <c r="K26" s="7">
        <f t="shared" si="0"/>
        <v>0</v>
      </c>
      <c r="L26" s="7">
        <f t="shared" si="0"/>
        <v>0</v>
      </c>
      <c r="M26" s="7">
        <f t="shared" si="0"/>
        <v>0</v>
      </c>
      <c r="N26" s="7">
        <f t="shared" si="0"/>
        <v>0</v>
      </c>
      <c r="O26" s="7"/>
      <c r="P26" s="7"/>
    </row>
    <row r="27" spans="1:16" x14ac:dyDescent="0.2">
      <c r="A27" s="7"/>
      <c r="B27" s="7"/>
      <c r="C27" s="7"/>
      <c r="D27" s="7"/>
      <c r="E27" s="7"/>
      <c r="F27" s="7"/>
      <c r="G27" s="7"/>
      <c r="H27" s="7"/>
      <c r="I27" s="7"/>
      <c r="J27" s="7"/>
      <c r="K27" s="7"/>
      <c r="L27" s="7"/>
      <c r="M27" s="7"/>
      <c r="N27" s="7"/>
      <c r="O27" s="7"/>
      <c r="P27" s="7"/>
    </row>
    <row r="28" spans="1:16" x14ac:dyDescent="0.2">
      <c r="A28" s="7"/>
      <c r="B28" s="335" t="s">
        <v>1416</v>
      </c>
      <c r="C28" s="17"/>
      <c r="D28" s="17"/>
      <c r="E28" s="17"/>
      <c r="F28" s="17"/>
      <c r="G28" s="17"/>
      <c r="H28" s="17"/>
      <c r="I28" s="17"/>
      <c r="J28" s="17"/>
      <c r="K28" s="17"/>
      <c r="L28" s="17"/>
      <c r="M28" s="17"/>
      <c r="N28" s="17"/>
      <c r="O28" s="7"/>
      <c r="P28" s="7"/>
    </row>
    <row r="29" spans="1:16" x14ac:dyDescent="0.2">
      <c r="A29" s="7"/>
      <c r="B29" s="336" t="s">
        <v>1417</v>
      </c>
      <c r="C29" s="336"/>
      <c r="D29" s="336"/>
      <c r="E29" s="336"/>
      <c r="F29" s="336"/>
      <c r="G29" s="337"/>
      <c r="H29" s="337"/>
      <c r="I29" s="337"/>
      <c r="J29" s="337"/>
      <c r="K29" s="337"/>
      <c r="L29" s="337"/>
      <c r="M29" s="337"/>
      <c r="N29" s="337"/>
      <c r="O29" s="7"/>
      <c r="P29" s="7"/>
    </row>
    <row r="30" spans="1:16" x14ac:dyDescent="0.2">
      <c r="A30" s="7"/>
      <c r="B30" s="338" t="s">
        <v>1418</v>
      </c>
      <c r="C30" s="338"/>
      <c r="D30" s="338"/>
      <c r="E30" s="338"/>
      <c r="F30" s="338"/>
      <c r="G30" s="339"/>
      <c r="H30" s="339"/>
      <c r="I30" s="339"/>
      <c r="J30" s="339"/>
      <c r="K30" s="339"/>
      <c r="L30" s="339"/>
      <c r="M30" s="339"/>
      <c r="N30" s="339"/>
      <c r="O30" s="7"/>
      <c r="P30" s="7"/>
    </row>
    <row r="31" spans="1:16" x14ac:dyDescent="0.2">
      <c r="A31" s="7"/>
      <c r="B31" s="338" t="s">
        <v>1419</v>
      </c>
      <c r="C31" s="338"/>
      <c r="D31" s="338"/>
      <c r="E31" s="338"/>
      <c r="F31" s="338"/>
      <c r="G31" s="339"/>
      <c r="H31" s="339"/>
      <c r="I31" s="339"/>
      <c r="J31" s="339"/>
      <c r="K31" s="339"/>
      <c r="L31" s="339"/>
      <c r="M31" s="339"/>
      <c r="N31" s="339"/>
      <c r="O31" s="7"/>
      <c r="P31" s="7"/>
    </row>
    <row r="32" spans="1:16" x14ac:dyDescent="0.2">
      <c r="A32" s="7"/>
      <c r="B32" s="338" t="s">
        <v>1420</v>
      </c>
      <c r="C32" s="338"/>
      <c r="D32" s="338"/>
      <c r="E32" s="338"/>
      <c r="F32" s="338"/>
      <c r="G32" s="339"/>
      <c r="H32" s="339"/>
      <c r="I32" s="339"/>
      <c r="J32" s="339"/>
      <c r="K32" s="339"/>
      <c r="L32" s="339"/>
      <c r="M32" s="339"/>
      <c r="N32" s="339"/>
      <c r="O32" s="7"/>
      <c r="P32" s="7"/>
    </row>
    <row r="33" spans="1:16" x14ac:dyDescent="0.2">
      <c r="A33" s="7"/>
      <c r="B33" s="338" t="s">
        <v>1421</v>
      </c>
      <c r="C33" s="338"/>
      <c r="D33" s="338"/>
      <c r="E33" s="338"/>
      <c r="F33" s="338"/>
      <c r="G33" s="339"/>
      <c r="H33" s="339"/>
      <c r="I33" s="339"/>
      <c r="J33" s="339"/>
      <c r="K33" s="339"/>
      <c r="L33" s="339"/>
      <c r="M33" s="339"/>
      <c r="N33" s="339"/>
      <c r="O33" s="7"/>
      <c r="P33" s="7"/>
    </row>
    <row r="34" spans="1:16" x14ac:dyDescent="0.2">
      <c r="A34" s="7"/>
      <c r="B34" s="340" t="s">
        <v>1422</v>
      </c>
      <c r="C34" s="338"/>
      <c r="D34" s="338"/>
      <c r="E34" s="338"/>
      <c r="F34" s="338"/>
      <c r="G34" s="339"/>
      <c r="H34" s="339"/>
      <c r="I34" s="339"/>
      <c r="J34" s="339"/>
      <c r="K34" s="339"/>
      <c r="L34" s="339"/>
      <c r="M34" s="339"/>
      <c r="N34" s="339"/>
      <c r="O34" s="7"/>
      <c r="P34" s="7"/>
    </row>
    <row r="35" spans="1:16" x14ac:dyDescent="0.2">
      <c r="A35" s="7"/>
      <c r="B35" s="340" t="s">
        <v>1423</v>
      </c>
      <c r="C35" s="338"/>
      <c r="D35" s="338"/>
      <c r="E35" s="338"/>
      <c r="F35" s="338"/>
      <c r="G35" s="339"/>
      <c r="H35" s="339"/>
      <c r="I35" s="339"/>
      <c r="J35" s="339"/>
      <c r="K35" s="339"/>
      <c r="L35" s="339"/>
      <c r="M35" s="339"/>
      <c r="N35" s="339"/>
      <c r="O35" s="7"/>
      <c r="P35" s="7"/>
    </row>
    <row r="36" spans="1:16" x14ac:dyDescent="0.2">
      <c r="A36" s="7"/>
      <c r="B36" s="340" t="s">
        <v>1424</v>
      </c>
      <c r="C36" s="338"/>
      <c r="D36" s="338"/>
      <c r="E36" s="338"/>
      <c r="F36" s="338"/>
      <c r="G36" s="339"/>
      <c r="H36" s="339"/>
      <c r="I36" s="339"/>
      <c r="J36" s="339"/>
      <c r="K36" s="339"/>
      <c r="L36" s="339"/>
      <c r="M36" s="339"/>
      <c r="N36" s="339"/>
      <c r="O36" s="7"/>
      <c r="P36" s="7"/>
    </row>
    <row r="37" spans="1:16" x14ac:dyDescent="0.2">
      <c r="A37" s="7"/>
      <c r="B37" s="340" t="s">
        <v>1425</v>
      </c>
      <c r="C37" s="338"/>
      <c r="D37" s="338"/>
      <c r="E37" s="338"/>
      <c r="F37" s="338"/>
      <c r="G37" s="339"/>
      <c r="H37" s="339"/>
      <c r="I37" s="339"/>
      <c r="J37" s="339"/>
      <c r="K37" s="339"/>
      <c r="L37" s="339"/>
      <c r="M37" s="339"/>
      <c r="N37" s="339"/>
      <c r="O37" s="7"/>
      <c r="P37" s="7"/>
    </row>
    <row r="38" spans="1:16" x14ac:dyDescent="0.2">
      <c r="A38" s="7"/>
      <c r="B38" s="340" t="s">
        <v>1426</v>
      </c>
      <c r="C38" s="338"/>
      <c r="D38" s="338"/>
      <c r="E38" s="338"/>
      <c r="F38" s="338"/>
      <c r="G38" s="339"/>
      <c r="H38" s="339"/>
      <c r="I38" s="339"/>
      <c r="J38" s="339"/>
      <c r="K38" s="339"/>
      <c r="L38" s="339"/>
      <c r="M38" s="339"/>
      <c r="N38" s="339"/>
      <c r="O38" s="7"/>
      <c r="P38" s="7"/>
    </row>
    <row r="39" spans="1:16" x14ac:dyDescent="0.2">
      <c r="A39" s="7"/>
      <c r="B39" s="7"/>
      <c r="C39" s="7"/>
      <c r="D39" s="7"/>
      <c r="E39" s="7"/>
      <c r="F39" s="7"/>
      <c r="G39" s="7"/>
      <c r="H39" s="7"/>
      <c r="I39" s="7">
        <f>SUM(I29:I38)</f>
        <v>0</v>
      </c>
      <c r="J39" s="7">
        <f t="shared" ref="J39:N39" si="1">SUM(J29:J38)</f>
        <v>0</v>
      </c>
      <c r="K39" s="7">
        <f t="shared" si="1"/>
        <v>0</v>
      </c>
      <c r="L39" s="7">
        <f t="shared" si="1"/>
        <v>0</v>
      </c>
      <c r="M39" s="7">
        <f t="shared" si="1"/>
        <v>0</v>
      </c>
      <c r="N39" s="7">
        <f t="shared" si="1"/>
        <v>0</v>
      </c>
      <c r="O39" s="7"/>
      <c r="P39" s="7"/>
    </row>
    <row r="40" spans="1:16" x14ac:dyDescent="0.2">
      <c r="A40" s="7"/>
      <c r="B40" s="7"/>
      <c r="C40" s="7"/>
      <c r="D40" s="7"/>
      <c r="E40" s="7"/>
      <c r="F40" s="7"/>
      <c r="G40" s="7"/>
      <c r="H40" s="7"/>
      <c r="I40" s="7"/>
      <c r="J40" s="7"/>
      <c r="K40" s="7"/>
      <c r="L40" s="7"/>
      <c r="M40" s="7"/>
      <c r="N40" s="7"/>
      <c r="O40" s="7"/>
      <c r="P40" s="7"/>
    </row>
    <row r="41" spans="1:16" x14ac:dyDescent="0.2">
      <c r="A41" s="7"/>
      <c r="B41" s="7" t="s">
        <v>1427</v>
      </c>
      <c r="C41" s="7"/>
      <c r="D41" s="7"/>
      <c r="E41" s="7"/>
      <c r="F41" s="7"/>
      <c r="G41" s="7"/>
      <c r="H41" s="7"/>
      <c r="I41" s="7"/>
      <c r="J41" s="7"/>
      <c r="K41" s="7"/>
      <c r="L41" s="7"/>
      <c r="M41" s="7"/>
      <c r="N41" s="7"/>
      <c r="O41" s="7"/>
      <c r="P41" s="7"/>
    </row>
    <row r="42" spans="1:16" x14ac:dyDescent="0.2">
      <c r="A42" s="7"/>
      <c r="B42" s="7" t="s">
        <v>1428</v>
      </c>
      <c r="C42" s="7"/>
      <c r="D42" s="7"/>
      <c r="E42" s="7"/>
      <c r="F42" s="7"/>
      <c r="G42" s="7"/>
      <c r="H42" s="7"/>
      <c r="I42" s="7"/>
      <c r="J42" s="7"/>
      <c r="K42" s="7"/>
      <c r="L42" s="7"/>
      <c r="M42" s="7"/>
      <c r="N42" s="7"/>
      <c r="O42" s="7"/>
      <c r="P42" s="7"/>
    </row>
    <row r="43" spans="1:16" x14ac:dyDescent="0.2">
      <c r="A43" s="7"/>
      <c r="B43" s="7" t="s">
        <v>1429</v>
      </c>
      <c r="C43" s="7"/>
      <c r="D43" s="7"/>
      <c r="E43" s="7"/>
      <c r="F43" s="7"/>
      <c r="G43" s="7"/>
      <c r="H43" s="7"/>
      <c r="I43" s="7"/>
      <c r="J43" s="7"/>
      <c r="K43" s="7"/>
      <c r="L43" s="7"/>
      <c r="M43" s="7"/>
      <c r="N43" s="7"/>
      <c r="O43" s="7"/>
      <c r="P43" s="7"/>
    </row>
    <row r="44" spans="1:16" x14ac:dyDescent="0.2">
      <c r="A44" s="7"/>
      <c r="B44" s="7"/>
      <c r="C44" s="7"/>
      <c r="D44" s="7"/>
      <c r="E44" s="7"/>
      <c r="F44" s="7"/>
      <c r="G44" s="7"/>
      <c r="H44" s="7"/>
      <c r="I44" s="7"/>
      <c r="J44" s="7"/>
      <c r="K44" s="7"/>
      <c r="L44" s="7"/>
      <c r="M44" s="7"/>
      <c r="N44" s="7"/>
      <c r="O44" s="7"/>
      <c r="P44" s="7"/>
    </row>
    <row r="45" spans="1:16" x14ac:dyDescent="0.2">
      <c r="A45" s="7"/>
      <c r="B45" s="7"/>
      <c r="C45" s="7"/>
      <c r="D45" s="7"/>
      <c r="E45" s="7"/>
      <c r="F45" s="7"/>
      <c r="G45" s="7"/>
      <c r="H45" s="7"/>
      <c r="I45" s="7"/>
      <c r="J45" s="7"/>
      <c r="K45" s="7"/>
      <c r="L45" s="7"/>
      <c r="M45" s="7"/>
      <c r="N45" s="7"/>
      <c r="O45" s="7"/>
      <c r="P45" s="7"/>
    </row>
    <row r="46" spans="1:16" x14ac:dyDescent="0.2">
      <c r="A46" s="7"/>
      <c r="B46" s="7"/>
      <c r="C46" s="7"/>
      <c r="D46" s="7"/>
      <c r="E46" s="7"/>
      <c r="F46" s="7"/>
      <c r="G46" s="7"/>
      <c r="H46" s="7"/>
      <c r="I46" s="7"/>
      <c r="J46" s="7"/>
      <c r="K46" s="7"/>
      <c r="L46" s="7"/>
      <c r="M46" s="7"/>
      <c r="N46" s="7"/>
      <c r="O46" s="7"/>
      <c r="P46" s="7"/>
    </row>
    <row r="47" spans="1:16" x14ac:dyDescent="0.2">
      <c r="A47" s="7"/>
      <c r="B47" s="7"/>
      <c r="C47" s="7"/>
      <c r="D47" s="7"/>
      <c r="E47" s="7"/>
      <c r="F47" s="7"/>
      <c r="G47" s="7"/>
      <c r="H47" s="7"/>
      <c r="I47" s="7"/>
      <c r="J47" s="7"/>
      <c r="K47" s="7"/>
      <c r="L47" s="7"/>
      <c r="M47" s="7"/>
      <c r="N47" s="7"/>
      <c r="O47" s="7"/>
      <c r="P47" s="7"/>
    </row>
    <row r="48" spans="1:16" x14ac:dyDescent="0.2">
      <c r="A48" s="7"/>
      <c r="B48" s="7"/>
      <c r="C48" s="7"/>
      <c r="D48" s="7"/>
      <c r="E48" s="7"/>
      <c r="F48" s="7"/>
      <c r="G48" s="7"/>
      <c r="H48" s="7"/>
      <c r="I48" s="7"/>
      <c r="J48" s="7"/>
      <c r="K48" s="7"/>
      <c r="L48" s="7"/>
      <c r="M48" s="7"/>
      <c r="N48" s="7"/>
      <c r="O48" s="7"/>
      <c r="P48" s="7"/>
    </row>
    <row r="49" spans="1:16" x14ac:dyDescent="0.2">
      <c r="A49" s="7"/>
      <c r="B49" s="7"/>
      <c r="C49" s="7"/>
      <c r="D49" s="7"/>
      <c r="E49" s="7"/>
      <c r="F49" s="7"/>
      <c r="G49" s="7"/>
      <c r="H49" s="7"/>
      <c r="I49" s="7"/>
      <c r="J49" s="7"/>
      <c r="K49" s="7"/>
      <c r="L49" s="7"/>
      <c r="M49" s="7"/>
      <c r="N49" s="7"/>
      <c r="O49" s="7"/>
      <c r="P49" s="7"/>
    </row>
    <row r="50" spans="1:16" x14ac:dyDescent="0.2">
      <c r="A50" s="7"/>
      <c r="B50" s="7"/>
      <c r="C50" s="7"/>
      <c r="D50" s="7"/>
      <c r="E50" s="7"/>
      <c r="F50" s="7"/>
      <c r="G50" s="7"/>
      <c r="H50" s="7"/>
      <c r="I50" s="7"/>
      <c r="J50" s="7"/>
      <c r="K50" s="7"/>
      <c r="L50" s="7"/>
      <c r="M50" s="7"/>
      <c r="N50" s="7"/>
      <c r="O50" s="7"/>
      <c r="P50" s="7"/>
    </row>
    <row r="51" spans="1:16" x14ac:dyDescent="0.2">
      <c r="A51" s="7"/>
      <c r="B51" s="7"/>
      <c r="C51" s="7"/>
      <c r="D51" s="7"/>
      <c r="E51" s="7"/>
      <c r="F51" s="7"/>
      <c r="G51" s="7"/>
      <c r="H51" s="7"/>
      <c r="I51" s="7"/>
      <c r="J51" s="7"/>
      <c r="K51" s="7"/>
      <c r="L51" s="7"/>
      <c r="M51" s="7"/>
      <c r="N51" s="7"/>
      <c r="O51" s="7"/>
      <c r="P51" s="7"/>
    </row>
    <row r="52" spans="1:16" x14ac:dyDescent="0.2">
      <c r="A52" s="7"/>
      <c r="B52" s="7"/>
      <c r="C52" s="7"/>
      <c r="D52" s="7"/>
      <c r="E52" s="7"/>
      <c r="F52" s="7"/>
      <c r="G52" s="7"/>
      <c r="H52" s="7"/>
      <c r="I52" s="7"/>
      <c r="J52" s="7"/>
      <c r="K52" s="7"/>
      <c r="L52" s="7"/>
      <c r="M52" s="7"/>
      <c r="N52" s="7"/>
      <c r="O52" s="7"/>
      <c r="P52" s="7"/>
    </row>
    <row r="53" spans="1:16" x14ac:dyDescent="0.2">
      <c r="A53" s="7"/>
      <c r="B53" s="7"/>
      <c r="C53" s="7"/>
      <c r="D53" s="7"/>
      <c r="E53" s="7"/>
      <c r="F53" s="7"/>
      <c r="G53" s="7"/>
      <c r="H53" s="7"/>
      <c r="I53" s="7"/>
      <c r="J53" s="7"/>
      <c r="K53" s="7"/>
      <c r="L53" s="7"/>
      <c r="M53" s="7"/>
      <c r="N53" s="7"/>
      <c r="O53" s="7"/>
      <c r="P53" s="7"/>
    </row>
    <row r="54" spans="1:16" x14ac:dyDescent="0.2">
      <c r="A54" s="7"/>
      <c r="B54" s="7"/>
      <c r="C54" s="7"/>
      <c r="D54" s="7"/>
      <c r="E54" s="7"/>
      <c r="F54" s="7"/>
      <c r="G54" s="7"/>
      <c r="H54" s="7"/>
      <c r="I54" s="7"/>
      <c r="J54" s="7"/>
      <c r="K54" s="7"/>
      <c r="L54" s="7"/>
      <c r="M54" s="7"/>
      <c r="N54" s="7"/>
      <c r="O54" s="7"/>
      <c r="P54" s="7"/>
    </row>
    <row r="55" spans="1:16" x14ac:dyDescent="0.2">
      <c r="A55" s="7"/>
      <c r="B55" s="7"/>
      <c r="C55" s="7"/>
      <c r="D55" s="7"/>
      <c r="E55" s="7"/>
      <c r="F55" s="7"/>
      <c r="G55" s="7"/>
      <c r="H55" s="7"/>
      <c r="I55" s="7"/>
      <c r="J55" s="7"/>
      <c r="K55" s="7"/>
      <c r="L55" s="7"/>
      <c r="M55" s="7"/>
      <c r="N55" s="7"/>
      <c r="O55" s="7"/>
      <c r="P55" s="7"/>
    </row>
    <row r="56" spans="1:16" x14ac:dyDescent="0.2">
      <c r="A56" s="7"/>
      <c r="B56" s="7"/>
      <c r="C56" s="7"/>
      <c r="D56" s="7"/>
      <c r="E56" s="7"/>
      <c r="F56" s="7"/>
      <c r="G56" s="7"/>
      <c r="H56" s="7"/>
      <c r="I56" s="7"/>
      <c r="J56" s="7"/>
      <c r="K56" s="7"/>
      <c r="L56" s="7"/>
      <c r="M56" s="7"/>
      <c r="N56" s="7"/>
      <c r="O56" s="7"/>
      <c r="P56" s="7"/>
    </row>
    <row r="57" spans="1:16" x14ac:dyDescent="0.2">
      <c r="A57" s="7"/>
      <c r="B57" s="7"/>
      <c r="C57" s="7"/>
      <c r="D57" s="7"/>
      <c r="E57" s="7"/>
      <c r="F57" s="7"/>
      <c r="G57" s="7"/>
      <c r="H57" s="7"/>
      <c r="I57" s="7"/>
      <c r="J57" s="7"/>
      <c r="K57" s="7"/>
      <c r="L57" s="7"/>
      <c r="M57" s="7"/>
      <c r="N57" s="7"/>
      <c r="O57" s="7"/>
      <c r="P57" s="7"/>
    </row>
    <row r="58" spans="1:16" x14ac:dyDescent="0.2">
      <c r="A58" s="7"/>
      <c r="B58" s="7"/>
      <c r="C58" s="7"/>
      <c r="D58" s="7"/>
      <c r="E58" s="7"/>
      <c r="F58" s="7"/>
      <c r="G58" s="7"/>
      <c r="H58" s="7"/>
      <c r="I58" s="7"/>
      <c r="J58" s="7"/>
      <c r="K58" s="7"/>
      <c r="L58" s="7"/>
      <c r="M58" s="7"/>
      <c r="N58" s="7"/>
      <c r="O58" s="7"/>
      <c r="P58" s="7"/>
    </row>
    <row r="59" spans="1:16" x14ac:dyDescent="0.2">
      <c r="A59" s="7"/>
      <c r="B59" s="7"/>
      <c r="C59" s="7"/>
      <c r="D59" s="7"/>
      <c r="E59" s="7"/>
      <c r="F59" s="7"/>
      <c r="G59" s="7"/>
      <c r="H59" s="7"/>
      <c r="I59" s="7"/>
      <c r="J59" s="7"/>
      <c r="K59" s="7"/>
      <c r="L59" s="7"/>
      <c r="M59" s="7"/>
      <c r="N59" s="7"/>
      <c r="O59" s="7"/>
      <c r="P59" s="7"/>
    </row>
    <row r="60" spans="1:16" x14ac:dyDescent="0.2">
      <c r="A60" s="7"/>
      <c r="B60" s="7"/>
      <c r="C60" s="7"/>
      <c r="D60" s="7"/>
      <c r="E60" s="7"/>
      <c r="F60" s="7"/>
      <c r="G60" s="7"/>
      <c r="H60" s="7"/>
      <c r="I60" s="7"/>
      <c r="J60" s="7"/>
      <c r="K60" s="7"/>
      <c r="L60" s="7"/>
      <c r="M60" s="7"/>
      <c r="N60" s="7"/>
      <c r="O60" s="7"/>
      <c r="P60" s="7"/>
    </row>
    <row r="61" spans="1:16" x14ac:dyDescent="0.2">
      <c r="A61" s="7"/>
      <c r="B61" s="7"/>
      <c r="C61" s="7"/>
      <c r="D61" s="7"/>
      <c r="E61" s="7"/>
      <c r="F61" s="7"/>
      <c r="G61" s="7"/>
      <c r="H61" s="7"/>
      <c r="I61" s="7"/>
      <c r="J61" s="7"/>
      <c r="K61" s="7"/>
      <c r="L61" s="7"/>
      <c r="M61" s="7"/>
      <c r="N61" s="7"/>
      <c r="O61" s="7"/>
      <c r="P61" s="7"/>
    </row>
    <row r="62" spans="1:16" x14ac:dyDescent="0.2">
      <c r="A62" s="7"/>
      <c r="B62" s="7"/>
      <c r="C62" s="7"/>
      <c r="D62" s="7"/>
      <c r="E62" s="7"/>
      <c r="F62" s="7"/>
      <c r="G62" s="7"/>
      <c r="H62" s="7"/>
      <c r="I62" s="7"/>
      <c r="J62" s="7"/>
      <c r="K62" s="7"/>
      <c r="L62" s="7"/>
      <c r="M62" s="7"/>
      <c r="N62" s="7"/>
      <c r="O62" s="7"/>
      <c r="P62" s="7"/>
    </row>
    <row r="63" spans="1:16" x14ac:dyDescent="0.2">
      <c r="A63" s="7"/>
      <c r="B63" s="7"/>
      <c r="C63" s="7"/>
      <c r="D63" s="7"/>
      <c r="E63" s="7"/>
      <c r="F63" s="7"/>
      <c r="G63" s="7"/>
      <c r="H63" s="7"/>
      <c r="I63" s="7"/>
      <c r="J63" s="7"/>
      <c r="K63" s="7"/>
      <c r="L63" s="7"/>
      <c r="M63" s="7"/>
      <c r="N63" s="7"/>
      <c r="O63" s="7"/>
      <c r="P63" s="7"/>
    </row>
    <row r="64" spans="1:16" x14ac:dyDescent="0.2">
      <c r="A64" s="7"/>
      <c r="B64" s="7"/>
      <c r="C64" s="7"/>
      <c r="D64" s="7"/>
      <c r="E64" s="7"/>
      <c r="F64" s="7"/>
      <c r="G64" s="7"/>
      <c r="H64" s="7"/>
      <c r="I64" s="7"/>
      <c r="J64" s="7"/>
      <c r="K64" s="7"/>
      <c r="L64" s="7"/>
      <c r="M64" s="7"/>
      <c r="N64" s="7"/>
      <c r="O64" s="7"/>
      <c r="P64" s="7"/>
    </row>
    <row r="65" spans="1:16" x14ac:dyDescent="0.2">
      <c r="A65" s="7"/>
      <c r="B65" s="7"/>
      <c r="C65" s="7"/>
      <c r="D65" s="7"/>
      <c r="E65" s="7"/>
      <c r="F65" s="7"/>
      <c r="G65" s="7"/>
      <c r="H65" s="7"/>
      <c r="I65" s="7"/>
      <c r="J65" s="7"/>
      <c r="K65" s="7"/>
      <c r="L65" s="7"/>
      <c r="M65" s="7"/>
      <c r="N65" s="7"/>
      <c r="O65" s="7"/>
      <c r="P65" s="7"/>
    </row>
    <row r="66" spans="1:16" x14ac:dyDescent="0.2">
      <c r="A66" s="7"/>
      <c r="B66" s="7"/>
      <c r="C66" s="7"/>
      <c r="D66" s="7"/>
      <c r="E66" s="7"/>
      <c r="F66" s="7"/>
      <c r="G66" s="7"/>
      <c r="H66" s="7"/>
      <c r="I66" s="7"/>
      <c r="J66" s="7"/>
      <c r="K66" s="7"/>
      <c r="L66" s="7"/>
      <c r="M66" s="7"/>
      <c r="N66" s="7"/>
      <c r="O66" s="7"/>
      <c r="P66" s="7"/>
    </row>
    <row r="67" spans="1:16" x14ac:dyDescent="0.2">
      <c r="A67" s="7"/>
      <c r="B67" s="7"/>
      <c r="C67" s="7"/>
      <c r="D67" s="7"/>
      <c r="E67" s="7"/>
      <c r="F67" s="7"/>
      <c r="G67" s="7"/>
      <c r="H67" s="7"/>
      <c r="I67" s="7"/>
      <c r="J67" s="7"/>
      <c r="K67" s="7"/>
      <c r="L67" s="7"/>
      <c r="M67" s="7"/>
      <c r="N67" s="7"/>
      <c r="O67" s="7"/>
      <c r="P67" s="7"/>
    </row>
    <row r="68" spans="1:16" x14ac:dyDescent="0.2">
      <c r="A68" s="7"/>
      <c r="B68" s="7"/>
      <c r="C68" s="7"/>
      <c r="D68" s="7"/>
      <c r="E68" s="7"/>
      <c r="F68" s="7"/>
      <c r="G68" s="7"/>
      <c r="H68" s="7"/>
      <c r="I68" s="7"/>
      <c r="J68" s="7"/>
      <c r="K68" s="7"/>
      <c r="L68" s="7"/>
      <c r="M68" s="7"/>
      <c r="N68" s="7"/>
      <c r="O68" s="7"/>
      <c r="P68" s="7"/>
    </row>
    <row r="69" spans="1:16" x14ac:dyDescent="0.2">
      <c r="A69" s="7"/>
      <c r="B69" s="7"/>
      <c r="C69" s="7"/>
      <c r="D69" s="7"/>
      <c r="E69" s="7"/>
      <c r="F69" s="7"/>
      <c r="G69" s="7"/>
      <c r="H69" s="7"/>
      <c r="I69" s="7"/>
      <c r="J69" s="7"/>
      <c r="K69" s="7"/>
      <c r="L69" s="7"/>
      <c r="M69" s="7"/>
      <c r="N69" s="7"/>
      <c r="O69" s="7"/>
      <c r="P69" s="7"/>
    </row>
    <row r="70" spans="1:16" x14ac:dyDescent="0.2">
      <c r="A70" s="7"/>
      <c r="B70" s="7"/>
      <c r="C70" s="7"/>
      <c r="D70" s="7"/>
      <c r="E70" s="7"/>
      <c r="F70" s="7"/>
      <c r="G70" s="7"/>
      <c r="H70" s="7"/>
      <c r="I70" s="7"/>
      <c r="J70" s="7"/>
      <c r="K70" s="7"/>
      <c r="L70" s="7"/>
      <c r="M70" s="7"/>
      <c r="N70" s="7"/>
      <c r="O70" s="7"/>
      <c r="P70" s="7"/>
    </row>
    <row r="71" spans="1:16" x14ac:dyDescent="0.2">
      <c r="A71" s="7"/>
      <c r="B71" s="7"/>
      <c r="C71" s="7"/>
      <c r="D71" s="7"/>
      <c r="E71" s="7"/>
      <c r="F71" s="7"/>
      <c r="G71" s="7"/>
      <c r="H71" s="7"/>
      <c r="I71" s="7"/>
      <c r="J71" s="7"/>
      <c r="K71" s="7"/>
      <c r="L71" s="7"/>
      <c r="M71" s="7"/>
      <c r="N71" s="7"/>
      <c r="O71" s="7"/>
      <c r="P71" s="7"/>
    </row>
    <row r="72" spans="1:16" x14ac:dyDescent="0.2">
      <c r="A72" s="7"/>
      <c r="B72" s="7"/>
      <c r="C72" s="7"/>
      <c r="D72" s="7"/>
      <c r="E72" s="7"/>
      <c r="F72" s="7"/>
      <c r="G72" s="7"/>
      <c r="H72" s="7"/>
      <c r="I72" s="7"/>
      <c r="J72" s="7"/>
      <c r="K72" s="7"/>
      <c r="L72" s="7"/>
      <c r="M72" s="7"/>
      <c r="N72" s="7"/>
      <c r="O72" s="7"/>
      <c r="P72" s="7"/>
    </row>
    <row r="73" spans="1:16" x14ac:dyDescent="0.2">
      <c r="A73" s="7"/>
      <c r="B73" s="7"/>
      <c r="C73" s="7"/>
      <c r="D73" s="7"/>
      <c r="E73" s="7"/>
      <c r="F73" s="7"/>
      <c r="G73" s="7"/>
      <c r="H73" s="7"/>
      <c r="I73" s="7"/>
      <c r="J73" s="7"/>
      <c r="K73" s="7"/>
      <c r="L73" s="7"/>
      <c r="M73" s="7"/>
      <c r="N73" s="7"/>
      <c r="O73" s="7"/>
      <c r="P73" s="7"/>
    </row>
    <row r="74" spans="1:16" x14ac:dyDescent="0.2">
      <c r="A74" s="7"/>
      <c r="B74" s="7"/>
      <c r="C74" s="7"/>
      <c r="D74" s="7"/>
      <c r="E74" s="7"/>
      <c r="F74" s="7"/>
      <c r="G74" s="7"/>
      <c r="H74" s="7"/>
      <c r="I74" s="7"/>
      <c r="J74" s="7"/>
      <c r="K74" s="7"/>
      <c r="L74" s="7"/>
      <c r="M74" s="7"/>
      <c r="N74" s="7"/>
      <c r="O74" s="7"/>
      <c r="P74" s="7"/>
    </row>
    <row r="75" spans="1:16" x14ac:dyDescent="0.2">
      <c r="A75" s="7"/>
      <c r="B75" s="7"/>
      <c r="C75" s="7"/>
      <c r="D75" s="7"/>
      <c r="E75" s="7"/>
      <c r="F75" s="7"/>
      <c r="G75" s="7"/>
      <c r="H75" s="7"/>
      <c r="I75" s="7"/>
      <c r="J75" s="7"/>
      <c r="K75" s="7"/>
      <c r="L75" s="7"/>
      <c r="M75" s="7"/>
      <c r="N75" s="7"/>
      <c r="O75" s="7"/>
      <c r="P75" s="7"/>
    </row>
    <row r="76" spans="1:16" x14ac:dyDescent="0.2">
      <c r="A76" s="7"/>
      <c r="B76" s="7"/>
      <c r="C76" s="7"/>
      <c r="D76" s="7"/>
      <c r="E76" s="7"/>
      <c r="F76" s="7"/>
      <c r="G76" s="7"/>
      <c r="H76" s="7"/>
      <c r="I76" s="7"/>
      <c r="J76" s="7"/>
      <c r="K76" s="7"/>
      <c r="L76" s="7"/>
      <c r="M76" s="7"/>
      <c r="N76" s="7"/>
      <c r="O76" s="7"/>
      <c r="P76" s="7"/>
    </row>
    <row r="77" spans="1:16" x14ac:dyDescent="0.2">
      <c r="A77" s="7"/>
      <c r="B77" s="7"/>
      <c r="C77" s="7"/>
      <c r="D77" s="7"/>
      <c r="E77" s="7"/>
      <c r="F77" s="7"/>
      <c r="G77" s="7"/>
      <c r="H77" s="7"/>
      <c r="I77" s="7"/>
      <c r="J77" s="7"/>
      <c r="K77" s="7"/>
      <c r="L77" s="7"/>
      <c r="M77" s="7"/>
      <c r="N77" s="7"/>
      <c r="O77" s="7"/>
      <c r="P77" s="7"/>
    </row>
    <row r="78" spans="1:16" x14ac:dyDescent="0.2">
      <c r="A78" s="7"/>
      <c r="B78" s="7"/>
      <c r="C78" s="7"/>
      <c r="D78" s="7"/>
      <c r="E78" s="7"/>
      <c r="F78" s="7"/>
      <c r="G78" s="7"/>
      <c r="H78" s="7"/>
      <c r="I78" s="7"/>
      <c r="J78" s="7"/>
      <c r="K78" s="7"/>
      <c r="L78" s="7"/>
      <c r="M78" s="7"/>
      <c r="N78" s="7"/>
      <c r="O78" s="7"/>
      <c r="P78" s="7"/>
    </row>
    <row r="79" spans="1:16" x14ac:dyDescent="0.2">
      <c r="A79" s="7"/>
      <c r="B79" s="7"/>
      <c r="C79" s="7"/>
      <c r="D79" s="7"/>
      <c r="E79" s="7"/>
      <c r="F79" s="7"/>
      <c r="G79" s="7"/>
      <c r="H79" s="7"/>
      <c r="I79" s="7"/>
      <c r="J79" s="7"/>
      <c r="K79" s="7"/>
      <c r="L79" s="7"/>
      <c r="M79" s="7"/>
      <c r="N79" s="7"/>
      <c r="O79" s="7"/>
      <c r="P79" s="7"/>
    </row>
    <row r="80" spans="1:16" x14ac:dyDescent="0.2">
      <c r="A80" s="7"/>
      <c r="B80" s="7"/>
      <c r="C80" s="7"/>
      <c r="D80" s="7"/>
      <c r="E80" s="7"/>
      <c r="F80" s="7"/>
      <c r="G80" s="7"/>
      <c r="H80" s="7"/>
      <c r="I80" s="7"/>
      <c r="J80" s="7"/>
      <c r="K80" s="7"/>
      <c r="L80" s="7"/>
      <c r="M80" s="7"/>
      <c r="N80" s="7"/>
      <c r="O80" s="7"/>
      <c r="P80" s="7"/>
    </row>
  </sheetData>
  <sheetProtection algorithmName="SHA-512" hashValue="DM/4y5gxKjjlDyI2fVSzWAg1zG2c/G6hjxG8EQ8LDKNtklZPbqAAxK6xudyimwHaD6SN5RoThJYLfAzor037Pw==" saltValue="WMveOM/CsaHNAp6q8ukjG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xr:uid="{85CCFE78-A35E-43C6-A759-2216D742A8F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F183-256C-4722-AF04-6B2DFBB26ACD}">
  <sheetPr codeName="Sheet22"/>
  <dimension ref="A1:P81"/>
  <sheetViews>
    <sheetView workbookViewId="0"/>
  </sheetViews>
  <sheetFormatPr defaultColWidth="8.7109375" defaultRowHeight="12.75" x14ac:dyDescent="0.2"/>
  <cols>
    <col min="1" max="1" width="1.28515625" style="6" customWidth="1"/>
    <col min="2" max="2" width="2.7109375" style="6" customWidth="1"/>
    <col min="3" max="5" width="8.7109375" style="6"/>
    <col min="6" max="6" width="9" style="6" bestFit="1" customWidth="1"/>
    <col min="7" max="7" width="9.7109375" style="6" bestFit="1" customWidth="1"/>
    <col min="8" max="8" width="9" style="6" bestFit="1" customWidth="1"/>
    <col min="9" max="11" width="9.7109375" style="6" bestFit="1" customWidth="1"/>
    <col min="12" max="13" width="1.7109375" style="6" customWidth="1"/>
    <col min="14" max="14" width="18.7109375" style="6" customWidth="1"/>
    <col min="15" max="15" width="22.28515625" style="6" customWidth="1"/>
    <col min="16" max="16" width="16.28515625" style="6" customWidth="1"/>
    <col min="17" max="16384" width="8.7109375" style="6"/>
  </cols>
  <sheetData>
    <row r="1" spans="1:14" ht="15.75" x14ac:dyDescent="0.25">
      <c r="A1" s="308"/>
      <c r="B1" s="308"/>
      <c r="C1" s="308"/>
    </row>
    <row r="2" spans="1:14" ht="15.75" x14ac:dyDescent="0.25">
      <c r="A2" s="25"/>
      <c r="B2" s="27"/>
      <c r="C2" s="27"/>
    </row>
    <row r="3" spans="1:14" x14ac:dyDescent="0.2">
      <c r="A3" s="10" t="s">
        <v>448</v>
      </c>
    </row>
    <row r="4" spans="1:14" x14ac:dyDescent="0.2">
      <c r="A4" s="9" t="s">
        <v>80</v>
      </c>
    </row>
    <row r="5" spans="1:14" x14ac:dyDescent="0.2">
      <c r="A5" s="8" t="str">
        <f ca="1">CELL("filename")</f>
        <v>\\lvraiders\users\sguthrie\Documents\Charter\Change of Sponsorship\[240126-SPCSA-Odyssey Charter School Application Workbook-AS-IS-Original Version.xlsx]Instructions</v>
      </c>
    </row>
    <row r="6" spans="1:14" x14ac:dyDescent="0.2">
      <c r="A6" s="7"/>
      <c r="L6" s="7"/>
      <c r="M6" s="7"/>
      <c r="N6" s="7"/>
    </row>
    <row r="7" spans="1:14" x14ac:dyDescent="0.2">
      <c r="A7" s="7"/>
      <c r="L7" s="7"/>
      <c r="M7" s="7"/>
      <c r="N7" s="7"/>
    </row>
    <row r="8" spans="1:14" x14ac:dyDescent="0.2">
      <c r="A8" s="7"/>
      <c r="B8" s="23" t="s">
        <v>1430</v>
      </c>
      <c r="L8" s="7"/>
      <c r="M8" s="7"/>
      <c r="N8" s="7"/>
    </row>
    <row r="9" spans="1:14" x14ac:dyDescent="0.2">
      <c r="A9" s="7"/>
      <c r="L9" s="7"/>
      <c r="M9" s="7"/>
      <c r="N9" s="7"/>
    </row>
    <row r="10" spans="1:14" ht="14.25" x14ac:dyDescent="0.2">
      <c r="A10" s="7"/>
      <c r="F10" s="1306">
        <v>1</v>
      </c>
      <c r="G10" s="718">
        <v>2</v>
      </c>
      <c r="H10" s="718">
        <v>3</v>
      </c>
      <c r="I10" s="718">
        <v>4</v>
      </c>
      <c r="J10" s="718">
        <v>5</v>
      </c>
      <c r="K10" s="1188">
        <v>6</v>
      </c>
      <c r="L10" s="7"/>
      <c r="M10" s="7"/>
    </row>
    <row r="11" spans="1:14" ht="14.25" x14ac:dyDescent="0.2">
      <c r="A11" s="7"/>
      <c r="B11" s="7"/>
      <c r="C11" s="7"/>
      <c r="D11" s="7"/>
      <c r="E11" s="7"/>
      <c r="F11" s="719">
        <v>2022</v>
      </c>
      <c r="G11" s="720">
        <v>2023</v>
      </c>
      <c r="H11" s="720">
        <v>2024</v>
      </c>
      <c r="I11" s="720">
        <v>2025</v>
      </c>
      <c r="J11" s="720">
        <v>2026</v>
      </c>
      <c r="K11" s="721">
        <v>2027</v>
      </c>
      <c r="L11" s="7"/>
      <c r="M11" s="7"/>
    </row>
    <row r="12" spans="1:14" ht="14.25" x14ac:dyDescent="0.2">
      <c r="A12" s="7"/>
      <c r="B12" s="1303" t="s">
        <v>1431</v>
      </c>
      <c r="C12" s="7"/>
      <c r="D12" s="7"/>
      <c r="E12" s="7"/>
      <c r="F12" s="722">
        <v>2023</v>
      </c>
      <c r="G12" s="723">
        <v>2024</v>
      </c>
      <c r="H12" s="723">
        <v>2025</v>
      </c>
      <c r="I12" s="723">
        <v>2026</v>
      </c>
      <c r="J12" s="723">
        <v>2027</v>
      </c>
      <c r="K12" s="724">
        <v>2028</v>
      </c>
      <c r="L12" s="7"/>
      <c r="M12" s="7"/>
    </row>
    <row r="13" spans="1:14" x14ac:dyDescent="0.2">
      <c r="A13" s="7"/>
      <c r="B13" s="6" t="s">
        <v>1432</v>
      </c>
      <c r="C13" s="7"/>
      <c r="D13" s="7"/>
      <c r="E13" s="7"/>
      <c r="F13" s="7">
        <v>10</v>
      </c>
      <c r="G13" s="7">
        <v>16</v>
      </c>
      <c r="H13" s="7">
        <v>20</v>
      </c>
      <c r="I13" s="7">
        <v>21</v>
      </c>
      <c r="J13" s="7">
        <v>21</v>
      </c>
      <c r="K13" s="7">
        <v>21</v>
      </c>
      <c r="L13" s="7"/>
      <c r="M13" s="7"/>
    </row>
    <row r="14" spans="1:14" x14ac:dyDescent="0.2">
      <c r="A14" s="7"/>
      <c r="B14" s="6" t="s">
        <v>1433</v>
      </c>
      <c r="C14" s="7"/>
      <c r="D14" s="7"/>
      <c r="E14" s="7"/>
      <c r="F14" s="7">
        <v>10</v>
      </c>
      <c r="G14" s="7">
        <v>13</v>
      </c>
      <c r="H14" s="7">
        <v>18</v>
      </c>
      <c r="I14" s="7">
        <v>18</v>
      </c>
      <c r="J14" s="7">
        <f>+I14</f>
        <v>18</v>
      </c>
      <c r="K14" s="7">
        <f>+J14</f>
        <v>18</v>
      </c>
      <c r="L14" s="7"/>
      <c r="M14" s="7"/>
    </row>
    <row r="15" spans="1:14" x14ac:dyDescent="0.2">
      <c r="A15" s="7"/>
      <c r="B15" s="7"/>
      <c r="C15" s="7" t="s">
        <v>1434</v>
      </c>
      <c r="D15" s="7"/>
      <c r="E15" s="1305">
        <v>40000</v>
      </c>
      <c r="F15" s="7">
        <f>+F13-F14</f>
        <v>0</v>
      </c>
      <c r="G15" s="7">
        <f t="shared" ref="G15:K15" si="0">+G13-G14</f>
        <v>3</v>
      </c>
      <c r="H15" s="7">
        <f t="shared" si="0"/>
        <v>2</v>
      </c>
      <c r="I15" s="7">
        <f t="shared" si="0"/>
        <v>3</v>
      </c>
      <c r="J15" s="7">
        <f t="shared" si="0"/>
        <v>3</v>
      </c>
      <c r="K15" s="7">
        <f t="shared" si="0"/>
        <v>3</v>
      </c>
      <c r="L15" s="7"/>
      <c r="M15" s="7"/>
      <c r="N15" s="7"/>
    </row>
    <row r="16" spans="1:14" x14ac:dyDescent="0.2">
      <c r="A16" s="7"/>
      <c r="B16" s="7"/>
      <c r="C16" s="1304" t="s">
        <v>1435</v>
      </c>
      <c r="D16" s="7"/>
      <c r="E16" s="7"/>
      <c r="F16" s="1302">
        <f t="shared" ref="F16:K16" si="1">+F15*$E$15</f>
        <v>0</v>
      </c>
      <c r="G16" s="1302">
        <f t="shared" si="1"/>
        <v>120000</v>
      </c>
      <c r="H16" s="1302">
        <f t="shared" si="1"/>
        <v>80000</v>
      </c>
      <c r="I16" s="1302">
        <f t="shared" si="1"/>
        <v>120000</v>
      </c>
      <c r="J16" s="1302">
        <f t="shared" si="1"/>
        <v>120000</v>
      </c>
      <c r="K16" s="1302">
        <f t="shared" si="1"/>
        <v>120000</v>
      </c>
      <c r="L16" s="7"/>
      <c r="M16" s="7"/>
      <c r="N16" s="7"/>
    </row>
    <row r="17" spans="1:16" x14ac:dyDescent="0.2">
      <c r="A17" s="7"/>
      <c r="B17" s="7"/>
      <c r="C17" s="7"/>
      <c r="D17" s="7"/>
      <c r="E17" s="7"/>
      <c r="F17" s="7"/>
      <c r="G17" s="7"/>
      <c r="H17" s="7"/>
      <c r="I17" s="7"/>
      <c r="J17" s="7"/>
      <c r="K17" s="7"/>
      <c r="L17" s="7"/>
      <c r="M17" s="7"/>
    </row>
    <row r="18" spans="1:16" ht="31.5" x14ac:dyDescent="0.2">
      <c r="A18" s="7"/>
      <c r="B18" s="7"/>
      <c r="C18" s="7"/>
      <c r="D18" s="7"/>
      <c r="E18" s="7"/>
      <c r="F18" s="7"/>
      <c r="G18" s="7"/>
      <c r="H18" s="7"/>
      <c r="I18" s="7"/>
      <c r="J18" s="7"/>
      <c r="K18" s="7"/>
      <c r="L18" s="7"/>
      <c r="M18" s="7"/>
      <c r="N18" s="1307" t="s">
        <v>1240</v>
      </c>
      <c r="O18" s="1307" t="s">
        <v>1241</v>
      </c>
      <c r="P18" s="1307" t="s">
        <v>1242</v>
      </c>
    </row>
    <row r="19" spans="1:16" ht="15.75" x14ac:dyDescent="0.2">
      <c r="A19" s="7"/>
      <c r="B19" s="7"/>
      <c r="C19" s="7"/>
      <c r="D19" s="7"/>
      <c r="E19" s="7"/>
      <c r="F19" s="7"/>
      <c r="G19" s="7"/>
      <c r="H19" s="7"/>
      <c r="I19" s="7"/>
      <c r="J19" s="7"/>
      <c r="K19" s="7"/>
      <c r="L19" s="7"/>
      <c r="M19" s="7"/>
      <c r="N19" s="1307" t="s">
        <v>401</v>
      </c>
      <c r="O19" s="1307" t="s">
        <v>1243</v>
      </c>
      <c r="P19" s="1307" t="s">
        <v>1244</v>
      </c>
    </row>
    <row r="20" spans="1:16" ht="31.5" x14ac:dyDescent="0.2">
      <c r="A20" s="7"/>
      <c r="B20" s="7"/>
      <c r="C20" s="7"/>
      <c r="D20" s="7"/>
      <c r="E20" s="7"/>
      <c r="F20" s="7"/>
      <c r="G20" s="7"/>
      <c r="H20" s="7"/>
      <c r="I20" s="7"/>
      <c r="J20" s="7"/>
      <c r="K20" s="7"/>
      <c r="L20" s="7"/>
      <c r="M20" s="7"/>
      <c r="N20" s="1307" t="s">
        <v>162</v>
      </c>
      <c r="O20" s="1307" t="s">
        <v>1245</v>
      </c>
      <c r="P20" s="1307" t="s">
        <v>1246</v>
      </c>
    </row>
    <row r="21" spans="1:16" ht="15.75" x14ac:dyDescent="0.2">
      <c r="A21" s="7"/>
      <c r="B21" s="7"/>
      <c r="C21" s="7"/>
      <c r="D21" s="7"/>
      <c r="E21" s="7"/>
      <c r="F21" s="7"/>
      <c r="G21" s="7"/>
      <c r="H21" s="7"/>
      <c r="I21" s="7"/>
      <c r="J21" s="7"/>
      <c r="K21" s="7"/>
      <c r="L21" s="7"/>
      <c r="M21" s="7"/>
      <c r="N21" s="1307" t="s">
        <v>405</v>
      </c>
      <c r="O21" s="1307" t="s">
        <v>1247</v>
      </c>
      <c r="P21" s="1307" t="s">
        <v>1246</v>
      </c>
    </row>
    <row r="22" spans="1:16" ht="31.5" x14ac:dyDescent="0.2">
      <c r="A22" s="7"/>
      <c r="B22" s="7"/>
      <c r="C22" s="7"/>
      <c r="D22" s="7"/>
      <c r="H22" s="7"/>
      <c r="I22" s="7"/>
      <c r="J22" s="7"/>
      <c r="K22" s="7"/>
      <c r="L22" s="7"/>
      <c r="M22" s="7"/>
      <c r="N22" s="1307" t="s">
        <v>1248</v>
      </c>
      <c r="O22" s="1307" t="s">
        <v>1249</v>
      </c>
      <c r="P22" s="1307" t="s">
        <v>1250</v>
      </c>
    </row>
    <row r="23" spans="1:16" x14ac:dyDescent="0.2">
      <c r="A23" s="7"/>
      <c r="B23" s="7"/>
      <c r="C23" s="7"/>
      <c r="D23" s="7"/>
      <c r="H23" s="7"/>
      <c r="I23" s="7"/>
      <c r="J23" s="7"/>
      <c r="K23" s="7"/>
      <c r="L23" s="7"/>
      <c r="M23" s="7"/>
      <c r="N23" s="7"/>
    </row>
    <row r="24" spans="1:16" x14ac:dyDescent="0.2">
      <c r="A24" s="7"/>
      <c r="B24" s="7"/>
      <c r="C24" s="7"/>
      <c r="D24" s="7"/>
      <c r="H24" s="7"/>
      <c r="I24" s="7"/>
      <c r="J24" s="7"/>
      <c r="K24" s="7"/>
      <c r="L24" s="7"/>
      <c r="M24" s="7"/>
      <c r="N24" s="7"/>
    </row>
    <row r="25" spans="1:16" x14ac:dyDescent="0.2">
      <c r="A25" s="7"/>
      <c r="B25" s="7"/>
      <c r="C25" s="7"/>
      <c r="D25" s="7"/>
      <c r="H25" s="7"/>
      <c r="I25" s="7"/>
      <c r="J25" s="7"/>
      <c r="K25" s="7"/>
      <c r="L25" s="7"/>
      <c r="M25" s="7"/>
      <c r="N25" s="7"/>
    </row>
    <row r="26" spans="1:16" x14ac:dyDescent="0.2">
      <c r="A26" s="7"/>
      <c r="B26" s="7"/>
      <c r="C26" s="7"/>
      <c r="D26" s="7"/>
      <c r="H26" s="7"/>
      <c r="I26" s="7"/>
      <c r="J26" s="7"/>
      <c r="K26" s="7"/>
      <c r="L26" s="7"/>
      <c r="M26" s="7"/>
      <c r="N26" s="7"/>
    </row>
    <row r="27" spans="1:16" x14ac:dyDescent="0.2">
      <c r="A27" s="7"/>
      <c r="B27" s="7"/>
      <c r="C27" s="7"/>
      <c r="D27" s="7"/>
      <c r="E27" s="7"/>
      <c r="F27" s="7"/>
      <c r="G27" s="7"/>
      <c r="H27" s="7"/>
      <c r="I27" s="7"/>
      <c r="J27" s="7"/>
      <c r="K27" s="7"/>
      <c r="L27" s="7"/>
      <c r="M27" s="7"/>
      <c r="N27" s="7"/>
    </row>
    <row r="28" spans="1:16" x14ac:dyDescent="0.2">
      <c r="A28" s="7"/>
      <c r="B28" s="7"/>
      <c r="C28" s="7"/>
      <c r="D28" s="7"/>
      <c r="E28" s="7"/>
      <c r="F28" s="7"/>
      <c r="G28" s="7"/>
      <c r="H28" s="7"/>
      <c r="I28" s="7"/>
      <c r="J28" s="7"/>
      <c r="K28" s="7"/>
      <c r="L28" s="7"/>
      <c r="M28" s="7"/>
      <c r="N28" s="7"/>
    </row>
    <row r="29" spans="1:16" x14ac:dyDescent="0.2">
      <c r="A29" s="7"/>
      <c r="B29" s="7"/>
      <c r="C29" s="7"/>
      <c r="D29" s="7"/>
      <c r="E29" s="7"/>
      <c r="F29" s="7"/>
      <c r="G29" s="7"/>
      <c r="H29" s="7"/>
      <c r="I29" s="7"/>
      <c r="J29" s="7"/>
      <c r="K29" s="7"/>
      <c r="L29" s="7"/>
      <c r="M29" s="7"/>
      <c r="N29" s="7"/>
    </row>
    <row r="30" spans="1:16" x14ac:dyDescent="0.2">
      <c r="A30" s="7"/>
      <c r="B30" s="7"/>
      <c r="C30" s="7"/>
      <c r="D30" s="7"/>
      <c r="E30" s="7"/>
      <c r="F30" s="7"/>
      <c r="G30" s="7"/>
      <c r="H30" s="7"/>
      <c r="I30" s="7"/>
      <c r="J30" s="7"/>
      <c r="K30" s="7"/>
      <c r="L30" s="7"/>
      <c r="M30" s="7"/>
      <c r="N30" s="7"/>
    </row>
    <row r="31" spans="1:16" x14ac:dyDescent="0.2">
      <c r="A31" s="7"/>
      <c r="B31" s="7"/>
      <c r="C31" s="7"/>
      <c r="D31" s="7"/>
      <c r="E31" s="7"/>
      <c r="F31" s="7"/>
      <c r="G31" s="7"/>
      <c r="H31" s="7"/>
      <c r="I31" s="7"/>
      <c r="J31" s="7"/>
      <c r="K31" s="7"/>
      <c r="L31" s="7"/>
      <c r="M31" s="7"/>
      <c r="N31" s="7"/>
    </row>
    <row r="32" spans="1:16" x14ac:dyDescent="0.2">
      <c r="A32" s="7"/>
      <c r="B32" s="7"/>
      <c r="C32" s="7"/>
      <c r="D32" s="7"/>
      <c r="E32" s="7"/>
      <c r="F32" s="7"/>
      <c r="G32" s="7"/>
      <c r="H32" s="7"/>
      <c r="I32" s="7"/>
      <c r="J32" s="7"/>
      <c r="K32" s="7"/>
      <c r="L32" s="7"/>
      <c r="M32" s="7"/>
      <c r="N32" s="7"/>
    </row>
    <row r="33" spans="1:14" x14ac:dyDescent="0.2">
      <c r="A33" s="7"/>
      <c r="B33" s="7"/>
      <c r="C33" s="7"/>
      <c r="D33" s="7"/>
      <c r="E33" s="7"/>
      <c r="F33" s="7"/>
      <c r="G33" s="7"/>
      <c r="H33" s="7"/>
      <c r="I33" s="7"/>
      <c r="J33" s="7"/>
      <c r="K33" s="7"/>
      <c r="L33" s="7"/>
      <c r="M33" s="7"/>
      <c r="N33" s="7"/>
    </row>
    <row r="34" spans="1:14" x14ac:dyDescent="0.2">
      <c r="A34" s="7"/>
      <c r="B34" s="7"/>
      <c r="C34" s="7"/>
      <c r="D34" s="7"/>
      <c r="E34" s="7"/>
      <c r="F34" s="7"/>
      <c r="G34" s="7"/>
      <c r="H34" s="7"/>
      <c r="I34" s="7"/>
      <c r="J34" s="7"/>
      <c r="K34" s="7"/>
      <c r="L34" s="7"/>
      <c r="M34" s="7"/>
      <c r="N34" s="7"/>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7"/>
      <c r="B40" s="7"/>
      <c r="C40" s="7"/>
      <c r="D40" s="7"/>
      <c r="E40" s="7"/>
      <c r="F40" s="7"/>
      <c r="G40" s="7"/>
      <c r="H40" s="7"/>
      <c r="I40" s="7"/>
      <c r="J40" s="7"/>
      <c r="K40" s="7"/>
      <c r="L40" s="7"/>
      <c r="M40" s="7"/>
      <c r="N40" s="7"/>
    </row>
    <row r="41" spans="1:14" x14ac:dyDescent="0.2">
      <c r="A41" s="7"/>
      <c r="B41" s="7"/>
      <c r="C41" s="7"/>
      <c r="D41" s="7"/>
      <c r="E41" s="7"/>
      <c r="F41" s="7"/>
      <c r="G41" s="7"/>
      <c r="H41" s="7"/>
      <c r="I41" s="7"/>
      <c r="J41" s="7"/>
      <c r="K41" s="7"/>
      <c r="L41" s="7"/>
      <c r="M41" s="7"/>
      <c r="N41" s="7"/>
    </row>
    <row r="42" spans="1:14" x14ac:dyDescent="0.2">
      <c r="A42" s="7"/>
      <c r="B42" s="7"/>
      <c r="C42" s="7"/>
      <c r="D42" s="7"/>
      <c r="E42" s="7"/>
      <c r="F42" s="7"/>
      <c r="G42" s="7"/>
      <c r="H42" s="7"/>
      <c r="I42" s="7"/>
      <c r="J42" s="7"/>
      <c r="K42" s="7"/>
      <c r="L42" s="7"/>
      <c r="M42" s="7"/>
      <c r="N42" s="7"/>
    </row>
    <row r="43" spans="1:14" x14ac:dyDescent="0.2">
      <c r="A43" s="7"/>
      <c r="B43" s="7"/>
      <c r="C43" s="7"/>
      <c r="D43" s="7"/>
      <c r="E43" s="7"/>
      <c r="F43" s="7"/>
      <c r="G43" s="7"/>
      <c r="H43" s="7"/>
      <c r="I43" s="7"/>
      <c r="J43" s="7"/>
      <c r="K43" s="7"/>
      <c r="L43" s="7"/>
      <c r="M43" s="7"/>
      <c r="N43" s="7"/>
    </row>
    <row r="44" spans="1:14" x14ac:dyDescent="0.2">
      <c r="A44" s="7"/>
      <c r="B44" s="7"/>
      <c r="C44" s="7"/>
      <c r="D44" s="7"/>
      <c r="E44" s="7"/>
      <c r="F44" s="7"/>
      <c r="G44" s="7"/>
      <c r="H44" s="7"/>
      <c r="I44" s="7"/>
      <c r="J44" s="7"/>
      <c r="K44" s="7"/>
      <c r="L44" s="7"/>
      <c r="M44" s="7"/>
      <c r="N44" s="7"/>
    </row>
    <row r="45" spans="1:14" x14ac:dyDescent="0.2">
      <c r="A45" s="7"/>
      <c r="B45" s="7"/>
      <c r="C45" s="7"/>
      <c r="D45" s="7"/>
      <c r="E45" s="7"/>
      <c r="F45" s="7"/>
      <c r="G45" s="7"/>
      <c r="H45" s="7"/>
      <c r="I45" s="7"/>
      <c r="J45" s="7"/>
      <c r="K45" s="7"/>
      <c r="L45" s="7"/>
      <c r="M45" s="7"/>
      <c r="N45" s="7"/>
    </row>
    <row r="46" spans="1:14" x14ac:dyDescent="0.2">
      <c r="A46" s="7"/>
      <c r="B46" s="7"/>
      <c r="C46" s="7"/>
      <c r="D46" s="7"/>
      <c r="E46" s="7"/>
      <c r="F46" s="7"/>
      <c r="G46" s="7"/>
      <c r="H46" s="7"/>
      <c r="I46" s="7"/>
      <c r="J46" s="7"/>
      <c r="K46" s="7"/>
      <c r="L46" s="7"/>
      <c r="M46" s="7"/>
      <c r="N46" s="7"/>
    </row>
    <row r="47" spans="1:14" x14ac:dyDescent="0.2">
      <c r="A47" s="7"/>
      <c r="B47" s="7"/>
      <c r="C47" s="7"/>
      <c r="D47" s="7"/>
      <c r="E47" s="7"/>
      <c r="F47" s="7"/>
      <c r="G47" s="7"/>
      <c r="H47" s="7"/>
      <c r="I47" s="7"/>
      <c r="J47" s="7"/>
      <c r="K47" s="7"/>
      <c r="L47" s="7"/>
      <c r="M47" s="7"/>
      <c r="N47" s="7"/>
    </row>
    <row r="48" spans="1:14" x14ac:dyDescent="0.2">
      <c r="A48" s="7"/>
      <c r="B48" s="7"/>
      <c r="C48" s="7"/>
      <c r="D48" s="7"/>
      <c r="E48" s="7"/>
      <c r="F48" s="7"/>
      <c r="G48" s="7"/>
      <c r="H48" s="7"/>
      <c r="I48" s="7"/>
      <c r="J48" s="7"/>
      <c r="K48" s="7"/>
      <c r="L48" s="7"/>
      <c r="M48" s="7"/>
      <c r="N48" s="7"/>
    </row>
    <row r="49" spans="1:14" x14ac:dyDescent="0.2">
      <c r="A49" s="7"/>
      <c r="B49" s="7"/>
      <c r="C49" s="7"/>
      <c r="D49" s="7"/>
      <c r="E49" s="7"/>
      <c r="F49" s="7"/>
      <c r="G49" s="7"/>
      <c r="H49" s="7"/>
      <c r="I49" s="7"/>
      <c r="J49" s="7"/>
      <c r="K49" s="7"/>
      <c r="L49" s="7"/>
      <c r="M49" s="7"/>
      <c r="N49" s="7"/>
    </row>
    <row r="50" spans="1:14" x14ac:dyDescent="0.2">
      <c r="A50" s="7"/>
      <c r="B50" s="7"/>
      <c r="C50" s="7"/>
      <c r="D50" s="7"/>
      <c r="E50" s="7"/>
      <c r="F50" s="7"/>
      <c r="G50" s="7"/>
      <c r="H50" s="7"/>
      <c r="I50" s="7"/>
      <c r="J50" s="7"/>
      <c r="K50" s="7"/>
      <c r="L50" s="7"/>
      <c r="M50" s="7"/>
      <c r="N50" s="7"/>
    </row>
    <row r="51" spans="1:14" x14ac:dyDescent="0.2">
      <c r="A51" s="7"/>
      <c r="B51" s="7"/>
      <c r="C51" s="7"/>
      <c r="D51" s="7"/>
      <c r="E51" s="7"/>
      <c r="F51" s="7"/>
      <c r="G51" s="7"/>
      <c r="H51" s="7"/>
      <c r="I51" s="7"/>
      <c r="J51" s="7"/>
      <c r="K51" s="7"/>
      <c r="L51" s="7"/>
      <c r="M51" s="7"/>
      <c r="N51" s="7"/>
    </row>
    <row r="52" spans="1:14" x14ac:dyDescent="0.2">
      <c r="A52" s="7"/>
      <c r="B52" s="7"/>
      <c r="C52" s="7"/>
      <c r="D52" s="7"/>
      <c r="E52" s="7"/>
      <c r="F52" s="7"/>
      <c r="G52" s="7"/>
      <c r="H52" s="7"/>
      <c r="I52" s="7"/>
      <c r="J52" s="7"/>
      <c r="K52" s="7"/>
      <c r="L52" s="7"/>
      <c r="M52" s="7"/>
      <c r="N52" s="7"/>
    </row>
    <row r="53" spans="1:14" x14ac:dyDescent="0.2">
      <c r="A53" s="7"/>
      <c r="B53" s="7"/>
      <c r="C53" s="7"/>
      <c r="D53" s="7"/>
      <c r="E53" s="7"/>
      <c r="F53" s="7"/>
      <c r="G53" s="7"/>
      <c r="H53" s="7"/>
      <c r="I53" s="7"/>
      <c r="J53" s="7"/>
      <c r="K53" s="7"/>
      <c r="L53" s="7"/>
      <c r="M53" s="7"/>
      <c r="N53" s="7"/>
    </row>
    <row r="54" spans="1:14" x14ac:dyDescent="0.2">
      <c r="A54" s="7"/>
      <c r="B54" s="7"/>
      <c r="C54" s="7"/>
      <c r="D54" s="7"/>
      <c r="E54" s="7"/>
      <c r="F54" s="7"/>
      <c r="G54" s="7"/>
      <c r="H54" s="7"/>
      <c r="I54" s="7"/>
      <c r="J54" s="7"/>
      <c r="K54" s="7"/>
      <c r="L54" s="7"/>
      <c r="M54" s="7"/>
      <c r="N54" s="7"/>
    </row>
    <row r="55" spans="1:14" x14ac:dyDescent="0.2">
      <c r="A55" s="7"/>
      <c r="B55" s="7"/>
      <c r="C55" s="7"/>
      <c r="D55" s="7"/>
      <c r="E55" s="7"/>
      <c r="F55" s="7"/>
      <c r="G55" s="7"/>
      <c r="H55" s="7"/>
      <c r="I55" s="7"/>
      <c r="J55" s="7"/>
      <c r="K55" s="7"/>
      <c r="L55" s="7"/>
      <c r="M55" s="7"/>
      <c r="N55" s="7"/>
    </row>
    <row r="56" spans="1:14" x14ac:dyDescent="0.2">
      <c r="A56" s="7"/>
      <c r="B56" s="7"/>
      <c r="C56" s="7"/>
      <c r="D56" s="7"/>
      <c r="E56" s="7"/>
      <c r="F56" s="7"/>
      <c r="G56" s="7"/>
      <c r="H56" s="7"/>
      <c r="I56" s="7"/>
      <c r="J56" s="7"/>
      <c r="K56" s="7"/>
      <c r="L56" s="7"/>
      <c r="M56" s="7"/>
      <c r="N56" s="7"/>
    </row>
    <row r="57" spans="1:14" x14ac:dyDescent="0.2">
      <c r="A57" s="7"/>
      <c r="B57" s="7"/>
      <c r="C57" s="7"/>
      <c r="D57" s="7"/>
      <c r="E57" s="7"/>
      <c r="F57" s="7"/>
      <c r="G57" s="7"/>
      <c r="H57" s="7"/>
      <c r="I57" s="7"/>
      <c r="J57" s="7"/>
      <c r="K57" s="7"/>
      <c r="L57" s="7"/>
      <c r="M57" s="7"/>
      <c r="N57" s="7"/>
    </row>
    <row r="58" spans="1:14" x14ac:dyDescent="0.2">
      <c r="A58" s="7"/>
      <c r="B58" s="7"/>
      <c r="C58" s="7"/>
      <c r="D58" s="7"/>
      <c r="E58" s="7"/>
      <c r="F58" s="7"/>
      <c r="G58" s="7"/>
      <c r="H58" s="7"/>
      <c r="I58" s="7"/>
      <c r="J58" s="7"/>
      <c r="K58" s="7"/>
      <c r="L58" s="7"/>
      <c r="M58" s="7"/>
      <c r="N58" s="7"/>
    </row>
    <row r="59" spans="1:14" x14ac:dyDescent="0.2">
      <c r="A59" s="7"/>
      <c r="B59" s="7"/>
      <c r="C59" s="7"/>
      <c r="D59" s="7"/>
      <c r="E59" s="7"/>
      <c r="F59" s="7"/>
      <c r="G59" s="7"/>
      <c r="H59" s="7"/>
      <c r="I59" s="7"/>
      <c r="J59" s="7"/>
      <c r="K59" s="7"/>
      <c r="L59" s="7"/>
      <c r="M59" s="7"/>
      <c r="N59" s="7"/>
    </row>
    <row r="60" spans="1:14" x14ac:dyDescent="0.2">
      <c r="A60" s="7"/>
      <c r="B60" s="7"/>
      <c r="C60" s="7"/>
      <c r="D60" s="7"/>
      <c r="E60" s="7"/>
      <c r="F60" s="7"/>
      <c r="G60" s="7"/>
      <c r="H60" s="7"/>
      <c r="I60" s="7"/>
      <c r="J60" s="7"/>
      <c r="K60" s="7"/>
      <c r="L60" s="7"/>
      <c r="M60" s="7"/>
      <c r="N60" s="7"/>
    </row>
    <row r="61" spans="1:14" x14ac:dyDescent="0.2">
      <c r="A61" s="7"/>
      <c r="B61" s="7"/>
      <c r="C61" s="7"/>
      <c r="D61" s="7"/>
      <c r="E61" s="7"/>
      <c r="F61" s="7"/>
      <c r="G61" s="7"/>
      <c r="H61" s="7"/>
      <c r="I61" s="7"/>
      <c r="J61" s="7"/>
      <c r="K61" s="7"/>
      <c r="L61" s="7"/>
      <c r="M61" s="7"/>
      <c r="N61" s="7"/>
    </row>
    <row r="62" spans="1:14" x14ac:dyDescent="0.2">
      <c r="A62" s="7"/>
      <c r="B62" s="7"/>
      <c r="C62" s="7"/>
      <c r="D62" s="7"/>
      <c r="E62" s="7"/>
      <c r="F62" s="7"/>
      <c r="G62" s="7"/>
      <c r="H62" s="7"/>
      <c r="I62" s="7"/>
      <c r="J62" s="7"/>
      <c r="K62" s="7"/>
      <c r="L62" s="7"/>
      <c r="M62" s="7"/>
      <c r="N62" s="7"/>
    </row>
    <row r="63" spans="1:14" x14ac:dyDescent="0.2">
      <c r="A63" s="7"/>
      <c r="B63" s="7"/>
      <c r="C63" s="7"/>
      <c r="D63" s="7"/>
      <c r="E63" s="7"/>
      <c r="F63" s="7"/>
      <c r="G63" s="7"/>
      <c r="H63" s="7"/>
      <c r="I63" s="7"/>
      <c r="J63" s="7"/>
      <c r="K63" s="7"/>
      <c r="L63" s="7"/>
      <c r="M63" s="7"/>
      <c r="N63" s="7"/>
    </row>
    <row r="64" spans="1:14" x14ac:dyDescent="0.2">
      <c r="A64" s="7"/>
      <c r="B64" s="7"/>
      <c r="C64" s="7"/>
      <c r="D64" s="7"/>
      <c r="E64" s="7"/>
      <c r="F64" s="7"/>
      <c r="G64" s="7"/>
      <c r="H64" s="7"/>
      <c r="I64" s="7"/>
      <c r="J64" s="7"/>
      <c r="K64" s="7"/>
      <c r="L64" s="7"/>
      <c r="M64" s="7"/>
      <c r="N64" s="7"/>
    </row>
    <row r="65" spans="1:14" x14ac:dyDescent="0.2">
      <c r="A65" s="7"/>
      <c r="B65" s="7"/>
      <c r="C65" s="7"/>
      <c r="D65" s="7"/>
      <c r="E65" s="7"/>
      <c r="F65" s="7"/>
      <c r="G65" s="7"/>
      <c r="H65" s="7"/>
      <c r="I65" s="7"/>
      <c r="J65" s="7"/>
      <c r="K65" s="7"/>
      <c r="L65" s="7"/>
      <c r="M65" s="7"/>
      <c r="N65" s="7"/>
    </row>
    <row r="66" spans="1:14" x14ac:dyDescent="0.2">
      <c r="A66" s="7"/>
      <c r="B66" s="7"/>
      <c r="C66" s="7"/>
      <c r="D66" s="7"/>
      <c r="E66" s="7"/>
      <c r="F66" s="7"/>
      <c r="G66" s="7"/>
      <c r="H66" s="7"/>
      <c r="I66" s="7"/>
      <c r="J66" s="7"/>
      <c r="K66" s="7"/>
      <c r="L66" s="7"/>
      <c r="M66" s="7"/>
      <c r="N66" s="7"/>
    </row>
    <row r="67" spans="1:14" x14ac:dyDescent="0.2">
      <c r="A67" s="7"/>
      <c r="B67" s="7"/>
      <c r="C67" s="7"/>
      <c r="D67" s="7"/>
      <c r="E67" s="7"/>
      <c r="F67" s="7"/>
      <c r="G67" s="7"/>
      <c r="H67" s="7"/>
      <c r="I67" s="7"/>
      <c r="J67" s="7"/>
      <c r="K67" s="7"/>
      <c r="L67" s="7"/>
      <c r="M67" s="7"/>
      <c r="N67" s="7"/>
    </row>
    <row r="68" spans="1:14" x14ac:dyDescent="0.2">
      <c r="A68" s="7"/>
      <c r="B68" s="7"/>
      <c r="C68" s="7"/>
      <c r="D68" s="7"/>
      <c r="E68" s="7"/>
      <c r="F68" s="7"/>
      <c r="G68" s="7"/>
      <c r="H68" s="7"/>
      <c r="I68" s="7"/>
      <c r="J68" s="7"/>
      <c r="K68" s="7"/>
      <c r="L68" s="7"/>
      <c r="M68" s="7"/>
      <c r="N68" s="7"/>
    </row>
    <row r="69" spans="1:14" x14ac:dyDescent="0.2">
      <c r="A69" s="7"/>
      <c r="B69" s="7"/>
      <c r="C69" s="7"/>
      <c r="D69" s="7"/>
      <c r="E69" s="7"/>
      <c r="F69" s="7"/>
      <c r="G69" s="7"/>
      <c r="H69" s="7"/>
      <c r="I69" s="7"/>
      <c r="J69" s="7"/>
      <c r="K69" s="7"/>
      <c r="L69" s="7"/>
      <c r="M69" s="7"/>
      <c r="N69" s="7"/>
    </row>
    <row r="70" spans="1:14" x14ac:dyDescent="0.2">
      <c r="A70" s="7"/>
      <c r="B70" s="7"/>
      <c r="C70" s="7"/>
      <c r="D70" s="7"/>
      <c r="E70" s="7"/>
      <c r="F70" s="7"/>
      <c r="G70" s="7"/>
      <c r="H70" s="7"/>
      <c r="I70" s="7"/>
      <c r="J70" s="7"/>
      <c r="K70" s="7"/>
      <c r="L70" s="7"/>
      <c r="M70" s="7"/>
      <c r="N70" s="7"/>
    </row>
    <row r="71" spans="1:14" x14ac:dyDescent="0.2">
      <c r="A71" s="7"/>
      <c r="B71" s="7"/>
      <c r="C71" s="7"/>
      <c r="D71" s="7"/>
      <c r="E71" s="7"/>
      <c r="F71" s="7"/>
      <c r="G71" s="7"/>
      <c r="H71" s="7"/>
      <c r="I71" s="7"/>
      <c r="J71" s="7"/>
      <c r="K71" s="7"/>
      <c r="L71" s="7"/>
      <c r="M71" s="7"/>
      <c r="N71" s="7"/>
    </row>
    <row r="72" spans="1:14" x14ac:dyDescent="0.2">
      <c r="A72" s="7"/>
      <c r="B72" s="7"/>
      <c r="C72" s="7"/>
      <c r="D72" s="7"/>
      <c r="E72" s="7"/>
      <c r="F72" s="7"/>
      <c r="G72" s="7"/>
      <c r="H72" s="7"/>
      <c r="I72" s="7"/>
      <c r="J72" s="7"/>
      <c r="K72" s="7"/>
      <c r="L72" s="7"/>
      <c r="M72" s="7"/>
      <c r="N72" s="7"/>
    </row>
    <row r="73" spans="1:14" x14ac:dyDescent="0.2">
      <c r="A73" s="7"/>
      <c r="B73" s="7"/>
      <c r="C73" s="7"/>
      <c r="D73" s="7"/>
      <c r="E73" s="7"/>
      <c r="F73" s="7"/>
      <c r="G73" s="7"/>
      <c r="H73" s="7"/>
      <c r="I73" s="7"/>
      <c r="J73" s="7"/>
      <c r="K73" s="7"/>
      <c r="L73" s="7"/>
      <c r="M73" s="7"/>
      <c r="N73" s="7"/>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row r="78" spans="1:14" x14ac:dyDescent="0.2">
      <c r="A78" s="7"/>
      <c r="B78" s="7"/>
      <c r="C78" s="7"/>
      <c r="D78" s="7"/>
      <c r="E78" s="7"/>
      <c r="F78" s="7"/>
      <c r="G78" s="7"/>
      <c r="H78" s="7"/>
      <c r="I78" s="7"/>
      <c r="J78" s="7"/>
      <c r="K78" s="7"/>
      <c r="L78" s="7"/>
      <c r="M78" s="7"/>
      <c r="N78" s="7"/>
    </row>
    <row r="79" spans="1:14" x14ac:dyDescent="0.2">
      <c r="A79" s="7"/>
      <c r="B79" s="7"/>
      <c r="C79" s="7"/>
      <c r="D79" s="7"/>
      <c r="E79" s="7"/>
      <c r="F79" s="7"/>
      <c r="G79" s="7"/>
      <c r="H79" s="7"/>
      <c r="I79" s="7"/>
      <c r="J79" s="7"/>
      <c r="K79" s="7"/>
      <c r="L79" s="7"/>
      <c r="M79" s="7"/>
      <c r="N79" s="7"/>
    </row>
    <row r="80" spans="1:14" x14ac:dyDescent="0.2">
      <c r="A80" s="7"/>
      <c r="B80" s="7"/>
      <c r="C80" s="7"/>
      <c r="D80" s="7"/>
      <c r="E80" s="7"/>
      <c r="F80" s="7"/>
      <c r="G80" s="7"/>
      <c r="H80" s="7"/>
      <c r="I80" s="7"/>
      <c r="J80" s="7"/>
      <c r="K80" s="7"/>
      <c r="L80" s="7"/>
      <c r="M80" s="7"/>
      <c r="N80" s="7"/>
    </row>
    <row r="81" spans="1:14" x14ac:dyDescent="0.2">
      <c r="A81" s="7"/>
      <c r="B81" s="7"/>
      <c r="C81" s="7"/>
      <c r="D81" s="7"/>
      <c r="E81" s="7"/>
      <c r="F81" s="7"/>
      <c r="G81" s="7"/>
      <c r="H81" s="7"/>
      <c r="I81" s="7"/>
      <c r="J81" s="7"/>
      <c r="K81" s="7"/>
      <c r="L81" s="7"/>
      <c r="M81" s="7"/>
      <c r="N81" s="7"/>
    </row>
  </sheetData>
  <sheetProtection algorithmName="SHA-512" hashValue="zeMkOPlh1aLkfl6pyrujhQ3LcI/hjTj2iq0D+d05x4b5h/2FSDaZozpg13bd7EUFbjO+R/oNYvv7FjiLr0d4CQ==" saltValue="nZfEUAAwDknc2D+ltfmlr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colBreaks count="1" manualBreakCount="1">
    <brk id="12" max="43"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EFC-9DA9-41D9-942D-EEC6CFBD05C9}">
  <sheetPr codeName="Sheet21">
    <tabColor theme="0" tint="-0.34998626667073579"/>
  </sheetPr>
  <dimension ref="A1:I39"/>
  <sheetViews>
    <sheetView workbookViewId="0">
      <selection activeCell="E67" sqref="E67"/>
    </sheetView>
  </sheetViews>
  <sheetFormatPr defaultRowHeight="15" x14ac:dyDescent="0.25"/>
  <cols>
    <col min="1" max="1" width="27.7109375" customWidth="1"/>
    <col min="2" max="2" width="13.5703125" customWidth="1"/>
    <col min="3" max="3" width="11.5703125" bestFit="1" customWidth="1"/>
    <col min="4" max="9" width="14.42578125" bestFit="1" customWidth="1"/>
  </cols>
  <sheetData>
    <row r="1" spans="1:9" ht="15.75" x14ac:dyDescent="0.25">
      <c r="A1" s="21" t="s">
        <v>1436</v>
      </c>
      <c r="I1" s="407" t="s">
        <v>3</v>
      </c>
    </row>
    <row r="2" spans="1:9" ht="15.75" x14ac:dyDescent="0.25">
      <c r="A2" s="1654" t="str">
        <f>SchoolName</f>
        <v>Odyssey Charter School</v>
      </c>
    </row>
    <row r="3" spans="1:9" x14ac:dyDescent="0.25">
      <c r="A3" s="375" t="s">
        <v>2</v>
      </c>
    </row>
    <row r="4" spans="1:9" x14ac:dyDescent="0.25">
      <c r="A4" s="376" t="str">
        <f ca="1">CELL("filename")</f>
        <v>\\lvraiders\users\sguthrie\Documents\Charter\Change of Sponsorship\[240126-SPCSA-Odyssey Charter School Application Workbook-AS-IS-Original Version.xlsx]Instructions</v>
      </c>
    </row>
    <row r="5" spans="1:9" x14ac:dyDescent="0.25">
      <c r="A5" s="33"/>
      <c r="B5" s="33"/>
      <c r="C5" s="32"/>
      <c r="D5" s="31"/>
      <c r="E5" s="33"/>
      <c r="F5" s="33"/>
      <c r="G5" s="33"/>
      <c r="H5" s="33"/>
      <c r="I5" s="33"/>
    </row>
    <row r="6" spans="1:9" x14ac:dyDescent="0.25">
      <c r="A6" s="33"/>
      <c r="B6" s="33"/>
      <c r="C6" s="727">
        <f>' Enrol &amp; Rev'!F9</f>
        <v>0</v>
      </c>
      <c r="D6" s="777">
        <f>' Enrol &amp; Rev'!G9</f>
        <v>1</v>
      </c>
      <c r="E6" s="777">
        <f>' Enrol &amp; Rev'!H9</f>
        <v>2</v>
      </c>
      <c r="F6" s="777">
        <f>' Enrol &amp; Rev'!I9</f>
        <v>3</v>
      </c>
      <c r="G6" s="777">
        <f>' Enrol &amp; Rev'!J9</f>
        <v>4</v>
      </c>
      <c r="H6" s="777">
        <f>' Enrol &amp; Rev'!K9</f>
        <v>5</v>
      </c>
      <c r="I6" s="778">
        <f>' Enrol &amp; Rev'!L9</f>
        <v>6</v>
      </c>
    </row>
    <row r="7" spans="1:9" ht="15.75" x14ac:dyDescent="0.25">
      <c r="A7" s="33"/>
      <c r="B7" s="33"/>
      <c r="C7" s="779">
        <f>' Enrol &amp; Rev'!F10</f>
        <v>2024</v>
      </c>
      <c r="D7" s="768">
        <f>' Enrol &amp; Rev'!G10</f>
        <v>2025</v>
      </c>
      <c r="E7" s="769">
        <f>' Enrol &amp; Rev'!H10</f>
        <v>2026</v>
      </c>
      <c r="F7" s="769">
        <f>' Enrol &amp; Rev'!I10</f>
        <v>2027</v>
      </c>
      <c r="G7" s="769">
        <f>' Enrol &amp; Rev'!J10</f>
        <v>2028</v>
      </c>
      <c r="H7" s="769">
        <f>' Enrol &amp; Rev'!K10</f>
        <v>2029</v>
      </c>
      <c r="I7" s="770">
        <f>' Enrol &amp; Rev'!L10</f>
        <v>2030</v>
      </c>
    </row>
    <row r="8" spans="1:9" ht="15.75" x14ac:dyDescent="0.25">
      <c r="A8" s="1215"/>
      <c r="B8" s="1216" t="s">
        <v>343</v>
      </c>
      <c r="C8" s="780">
        <f>' Enrol &amp; Rev'!F11</f>
        <v>2025</v>
      </c>
      <c r="D8" s="754">
        <f>' Enrol &amp; Rev'!G11</f>
        <v>2026</v>
      </c>
      <c r="E8" s="755">
        <f>' Enrol &amp; Rev'!H11</f>
        <v>2027</v>
      </c>
      <c r="F8" s="755">
        <f>' Enrol &amp; Rev'!I11</f>
        <v>2028</v>
      </c>
      <c r="G8" s="755">
        <f>' Enrol &amp; Rev'!J11</f>
        <v>2029</v>
      </c>
      <c r="H8" s="755">
        <f>' Enrol &amp; Rev'!K11</f>
        <v>2030</v>
      </c>
      <c r="I8" s="756">
        <f>' Enrol &amp; Rev'!L11</f>
        <v>2031</v>
      </c>
    </row>
    <row r="9" spans="1:9" x14ac:dyDescent="0.25">
      <c r="A9" t="s">
        <v>995</v>
      </c>
      <c r="B9" s="5">
        <f>SUM(C9:I9)</f>
        <v>13920.12</v>
      </c>
      <c r="C9" s="5" t="s">
        <v>1437</v>
      </c>
      <c r="D9" s="5">
        <f>' Enrol &amp; Rev'!G36</f>
        <v>2320.02</v>
      </c>
      <c r="E9" s="5">
        <f>' Enrol &amp; Rev'!H36</f>
        <v>2320.02</v>
      </c>
      <c r="F9" s="5">
        <f>' Enrol &amp; Rev'!I36</f>
        <v>2320.02</v>
      </c>
      <c r="G9" s="5">
        <f>' Enrol &amp; Rev'!J36</f>
        <v>2320.02</v>
      </c>
      <c r="H9" s="5">
        <f>' Enrol &amp; Rev'!K36</f>
        <v>2320.02</v>
      </c>
      <c r="I9" s="5">
        <f>' Enrol &amp; Rev'!L36</f>
        <v>2320.02</v>
      </c>
    </row>
    <row r="10" spans="1:9" x14ac:dyDescent="0.25">
      <c r="A10" t="s">
        <v>587</v>
      </c>
      <c r="B10" s="495">
        <f>SUM(C10:I10)</f>
        <v>165268520.73033231</v>
      </c>
      <c r="C10" s="495">
        <f>' Enrol &amp; Rev'!F145</f>
        <v>3345500</v>
      </c>
      <c r="D10" s="495">
        <f>' Enrol &amp; Rev'!G145</f>
        <v>26987576.88896</v>
      </c>
      <c r="E10" s="495">
        <f>' Enrol &amp; Rev'!H145</f>
        <v>26987088.768274467</v>
      </c>
      <c r="F10" s="495">
        <f>' Enrol &amp; Rev'!I145</f>
        <v>26987088.768274467</v>
      </c>
      <c r="G10" s="495">
        <f>' Enrol &amp; Rev'!J145</f>
        <v>26987088.768274467</v>
      </c>
      <c r="H10" s="495">
        <f>' Enrol &amp; Rev'!K145</f>
        <v>26987088.768274467</v>
      </c>
      <c r="I10" s="495">
        <f>' Enrol &amp; Rev'!L145</f>
        <v>26987088.768274467</v>
      </c>
    </row>
    <row r="11" spans="1:9" x14ac:dyDescent="0.25">
      <c r="A11" t="s">
        <v>996</v>
      </c>
      <c r="B11" s="496">
        <f>IFERROR(B10/B9,0)</f>
        <v>11872.636207901391</v>
      </c>
      <c r="C11" s="496"/>
      <c r="D11" s="496">
        <f>IFERROR(D10/D9,0)</f>
        <v>11632.475965276162</v>
      </c>
      <c r="E11" s="496">
        <f t="shared" ref="E11:I11" si="0">IFERROR(E10/E9,0)</f>
        <v>11632.2655702427</v>
      </c>
      <c r="F11" s="496">
        <f t="shared" si="0"/>
        <v>11632.2655702427</v>
      </c>
      <c r="G11" s="496">
        <f t="shared" si="0"/>
        <v>11632.2655702427</v>
      </c>
      <c r="H11" s="496">
        <f t="shared" si="0"/>
        <v>11632.2655702427</v>
      </c>
      <c r="I11" s="496">
        <f t="shared" si="0"/>
        <v>11632.2655702427</v>
      </c>
    </row>
    <row r="12" spans="1:9" x14ac:dyDescent="0.25">
      <c r="A12" t="s">
        <v>1438</v>
      </c>
      <c r="B12" s="496">
        <f>SUM(C12:I12)</f>
        <v>115359120.8211727</v>
      </c>
      <c r="C12" s="495">
        <f>Staff!G42</f>
        <v>16479874.40302467</v>
      </c>
      <c r="D12" s="495">
        <f>Staff!H42</f>
        <v>16479874.40302467</v>
      </c>
      <c r="E12" s="495">
        <f>Staff!I42</f>
        <v>16479874.40302467</v>
      </c>
      <c r="F12" s="495">
        <f>Staff!J42</f>
        <v>16479874.40302467</v>
      </c>
      <c r="G12" s="495">
        <f>Staff!K42</f>
        <v>16479874.40302467</v>
      </c>
      <c r="H12" s="495">
        <f>Staff!L42</f>
        <v>16479874.40302467</v>
      </c>
      <c r="I12" s="495">
        <f>Staff!M42</f>
        <v>16479874.40302467</v>
      </c>
    </row>
    <row r="13" spans="1:9" x14ac:dyDescent="0.25">
      <c r="A13" t="s">
        <v>1439</v>
      </c>
      <c r="B13" s="496">
        <f>IFERROR(B12/B9,0)</f>
        <v>8287.2217208740076</v>
      </c>
      <c r="C13" s="496"/>
      <c r="D13" s="496">
        <f>IFERROR(D12/D9,0)</f>
        <v>7103.3329036062923</v>
      </c>
      <c r="E13" s="496">
        <f t="shared" ref="E13:I13" si="1">IFERROR(E12/E9,0)</f>
        <v>7103.3329036062923</v>
      </c>
      <c r="F13" s="496">
        <f t="shared" si="1"/>
        <v>7103.3329036062923</v>
      </c>
      <c r="G13" s="496">
        <f t="shared" si="1"/>
        <v>7103.3329036062923</v>
      </c>
      <c r="H13" s="496">
        <f t="shared" si="1"/>
        <v>7103.3329036062923</v>
      </c>
      <c r="I13" s="496">
        <f t="shared" si="1"/>
        <v>7103.3329036062923</v>
      </c>
    </row>
    <row r="14" spans="1:9" x14ac:dyDescent="0.25">
      <c r="A14" t="s">
        <v>595</v>
      </c>
      <c r="B14" s="496">
        <f>B10-B12</f>
        <v>49909399.909159616</v>
      </c>
      <c r="C14" s="496">
        <f t="shared" ref="C14:I14" si="2">C10-C12</f>
        <v>-13134374.40302467</v>
      </c>
      <c r="D14" s="496">
        <f t="shared" si="2"/>
        <v>10507702.48593533</v>
      </c>
      <c r="E14" s="496">
        <f t="shared" si="2"/>
        <v>10507214.365249798</v>
      </c>
      <c r="F14" s="496">
        <f t="shared" si="2"/>
        <v>10507214.365249798</v>
      </c>
      <c r="G14" s="496">
        <f t="shared" si="2"/>
        <v>10507214.365249798</v>
      </c>
      <c r="H14" s="496">
        <f t="shared" si="2"/>
        <v>10507214.365249798</v>
      </c>
      <c r="I14" s="496">
        <f t="shared" si="2"/>
        <v>10507214.365249798</v>
      </c>
    </row>
    <row r="15" spans="1:9" ht="30" customHeight="1" x14ac:dyDescent="0.25">
      <c r="A15" s="368" t="s">
        <v>1440</v>
      </c>
      <c r="B15" s="496">
        <f>IFERROR(B14/B9,0)</f>
        <v>3585.4144870273831</v>
      </c>
      <c r="C15" s="496"/>
      <c r="D15" s="496">
        <f>IFERROR(D14/D9,0)</f>
        <v>4529.143061669869</v>
      </c>
      <c r="E15" s="496">
        <f t="shared" ref="E15:I15" si="3">IFERROR(E14/E9,0)</f>
        <v>4528.9326666364077</v>
      </c>
      <c r="F15" s="496">
        <f t="shared" si="3"/>
        <v>4528.9326666364077</v>
      </c>
      <c r="G15" s="496">
        <f t="shared" si="3"/>
        <v>4528.9326666364077</v>
      </c>
      <c r="H15" s="496">
        <f t="shared" si="3"/>
        <v>4528.9326666364077</v>
      </c>
      <c r="I15" s="496">
        <f t="shared" si="3"/>
        <v>4528.9326666364077</v>
      </c>
    </row>
    <row r="16" spans="1:9" x14ac:dyDescent="0.25">
      <c r="A16" t="s">
        <v>1441</v>
      </c>
      <c r="B16" s="496">
        <f>SUM(C16:I16)</f>
        <v>51138117.244176194</v>
      </c>
      <c r="C16" s="495">
        <f>'Gen Optg'!F197</f>
        <v>5712924.3187499996</v>
      </c>
      <c r="D16" s="495">
        <f>'Gen Optg'!G197</f>
        <v>7023492.0483125001</v>
      </c>
      <c r="E16" s="495">
        <f>'Gen Optg'!H197</f>
        <v>7233135.909761874</v>
      </c>
      <c r="F16" s="495">
        <f>'Gen Optg'!I197</f>
        <v>7450129.9870547308</v>
      </c>
      <c r="G16" s="495">
        <f>'Gen Optg'!J197</f>
        <v>7673633.8866663724</v>
      </c>
      <c r="H16" s="495">
        <f>'Gen Optg'!K197</f>
        <v>7903842.9032663628</v>
      </c>
      <c r="I16" s="495">
        <f>'Gen Optg'!L197</f>
        <v>8140958.1903643543</v>
      </c>
    </row>
    <row r="17" spans="1:9" x14ac:dyDescent="0.25">
      <c r="A17" t="s">
        <v>1442</v>
      </c>
      <c r="B17" s="496">
        <f>IFERROR(B16/B9,0)</f>
        <v>3673.6836495788966</v>
      </c>
      <c r="C17" s="496"/>
      <c r="D17" s="496">
        <f>IFERROR(D16/D9,0)</f>
        <v>3027.3411644350049</v>
      </c>
      <c r="E17" s="496">
        <f t="shared" ref="E17:I17" si="4">IFERROR(E16/E9,0)</f>
        <v>3117.7041188273697</v>
      </c>
      <c r="F17" s="496">
        <f t="shared" si="4"/>
        <v>3211.2352423921911</v>
      </c>
      <c r="G17" s="496">
        <f t="shared" si="4"/>
        <v>3307.5722996639565</v>
      </c>
      <c r="H17" s="496">
        <f t="shared" si="4"/>
        <v>3406.799468653875</v>
      </c>
      <c r="I17" s="496">
        <f t="shared" si="4"/>
        <v>3509.0034527134912</v>
      </c>
    </row>
    <row r="18" spans="1:9" x14ac:dyDescent="0.25">
      <c r="A18" t="s">
        <v>825</v>
      </c>
      <c r="B18" s="496">
        <f>B10-B16</f>
        <v>114130403.48615612</v>
      </c>
      <c r="C18" s="496">
        <f t="shared" ref="C18:I18" si="5">C10-C16</f>
        <v>-2367424.3187499996</v>
      </c>
      <c r="D18" s="496">
        <f t="shared" si="5"/>
        <v>19964084.8406475</v>
      </c>
      <c r="E18" s="496">
        <f t="shared" si="5"/>
        <v>19753952.858512595</v>
      </c>
      <c r="F18" s="496">
        <f t="shared" si="5"/>
        <v>19536958.781219736</v>
      </c>
      <c r="G18" s="496">
        <f t="shared" si="5"/>
        <v>19313454.881608095</v>
      </c>
      <c r="H18" s="496">
        <f t="shared" si="5"/>
        <v>19083245.865008105</v>
      </c>
      <c r="I18" s="496">
        <f t="shared" si="5"/>
        <v>18846130.577910114</v>
      </c>
    </row>
    <row r="19" spans="1:9" ht="31.5" customHeight="1" x14ac:dyDescent="0.25">
      <c r="A19" s="2" t="s">
        <v>826</v>
      </c>
      <c r="B19" s="496">
        <f>IFERROR(B18/B9,0)</f>
        <v>8198.9525583224931</v>
      </c>
      <c r="C19" s="496"/>
      <c r="D19" s="496">
        <f>IFERROR(D18/D9,0)</f>
        <v>8605.1348008411569</v>
      </c>
      <c r="E19" s="496">
        <f t="shared" ref="E19:I19" si="6">IFERROR(E18/E9,0)</f>
        <v>8514.5614514153312</v>
      </c>
      <c r="F19" s="496">
        <f t="shared" si="6"/>
        <v>8421.0303278505089</v>
      </c>
      <c r="G19" s="496">
        <f t="shared" si="6"/>
        <v>8324.6932705787422</v>
      </c>
      <c r="H19" s="496">
        <f t="shared" si="6"/>
        <v>8225.466101588825</v>
      </c>
      <c r="I19" s="496">
        <f t="shared" si="6"/>
        <v>8123.2621175292088</v>
      </c>
    </row>
    <row r="20" spans="1:9" x14ac:dyDescent="0.25">
      <c r="A20" t="s">
        <v>1443</v>
      </c>
      <c r="B20" s="496">
        <f>SUM(C20:I20)</f>
        <v>11206558.281661544</v>
      </c>
      <c r="C20" s="495">
        <f>Facilities!F76</f>
        <v>1142424.0000000002</v>
      </c>
      <c r="D20" s="495">
        <f>Facilities!G76</f>
        <v>1588168.5980000002</v>
      </c>
      <c r="E20" s="495">
        <f>Facilities!H76</f>
        <v>1622441.3180000002</v>
      </c>
      <c r="F20" s="495">
        <f>Facilities!I76</f>
        <v>1657742.2196000002</v>
      </c>
      <c r="G20" s="495">
        <f>Facilities!J76</f>
        <v>1694102.1482480003</v>
      </c>
      <c r="H20" s="495">
        <f>Facilities!K76</f>
        <v>1731552.8747554405</v>
      </c>
      <c r="I20" s="495">
        <f>Facilities!L76</f>
        <v>1770127.1230581037</v>
      </c>
    </row>
    <row r="21" spans="1:9" x14ac:dyDescent="0.25">
      <c r="A21" t="s">
        <v>1444</v>
      </c>
      <c r="B21" s="496">
        <f>IFERROR(B20/B9,0)</f>
        <v>805.06190188457742</v>
      </c>
      <c r="C21" s="496"/>
      <c r="D21" s="496">
        <f t="shared" ref="D21:I21" si="7">IFERROR(D20/D9,0)</f>
        <v>684.54952888337175</v>
      </c>
      <c r="E21" s="496">
        <f t="shared" si="7"/>
        <v>699.32212567133047</v>
      </c>
      <c r="F21" s="496">
        <f t="shared" si="7"/>
        <v>714.53790036292799</v>
      </c>
      <c r="G21" s="496">
        <f t="shared" si="7"/>
        <v>730.21014829527348</v>
      </c>
      <c r="H21" s="496">
        <f t="shared" si="7"/>
        <v>746.35256366558929</v>
      </c>
      <c r="I21" s="496">
        <f t="shared" si="7"/>
        <v>762.97925149701462</v>
      </c>
    </row>
    <row r="22" spans="1:9" x14ac:dyDescent="0.25">
      <c r="A22" t="s">
        <v>1445</v>
      </c>
      <c r="B22" s="496">
        <f>B10-B20</f>
        <v>154061962.44867077</v>
      </c>
      <c r="C22" s="496">
        <f t="shared" ref="C22:I22" si="8">C10-C20</f>
        <v>2203076</v>
      </c>
      <c r="D22" s="496">
        <f t="shared" si="8"/>
        <v>25399408.290959999</v>
      </c>
      <c r="E22" s="496">
        <f t="shared" si="8"/>
        <v>25364647.450274467</v>
      </c>
      <c r="F22" s="496">
        <f t="shared" si="8"/>
        <v>25329346.548674468</v>
      </c>
      <c r="G22" s="496">
        <f t="shared" si="8"/>
        <v>25292986.620026466</v>
      </c>
      <c r="H22" s="496">
        <f t="shared" si="8"/>
        <v>25255535.893519025</v>
      </c>
      <c r="I22" s="496">
        <f t="shared" si="8"/>
        <v>25216961.645216364</v>
      </c>
    </row>
    <row r="23" spans="1:9" ht="30.75" customHeight="1" x14ac:dyDescent="0.25">
      <c r="A23" s="2" t="s">
        <v>1446</v>
      </c>
      <c r="B23" s="496">
        <f>IFERROR(B22/B9,0)</f>
        <v>11067.574306016813</v>
      </c>
      <c r="C23" s="496"/>
      <c r="D23" s="496">
        <f t="shared" ref="D23:I23" si="9">IFERROR(D22/D9,0)</f>
        <v>10947.926436392789</v>
      </c>
      <c r="E23" s="496">
        <f t="shared" si="9"/>
        <v>10932.943444571369</v>
      </c>
      <c r="F23" s="496">
        <f t="shared" si="9"/>
        <v>10917.727669879772</v>
      </c>
      <c r="G23" s="496">
        <f t="shared" si="9"/>
        <v>10902.055421947425</v>
      </c>
      <c r="H23" s="496">
        <f t="shared" si="9"/>
        <v>10885.91300657711</v>
      </c>
      <c r="I23" s="496">
        <f t="shared" si="9"/>
        <v>10869.286318745686</v>
      </c>
    </row>
    <row r="24" spans="1:9" x14ac:dyDescent="0.25">
      <c r="A24" t="s">
        <v>997</v>
      </c>
      <c r="B24" s="496">
        <f>SUM(C24:I24)</f>
        <v>875000</v>
      </c>
      <c r="C24" s="495">
        <f>'FFE&amp;T'!F43</f>
        <v>125000</v>
      </c>
      <c r="D24" s="495">
        <f>'FFE&amp;T'!G43</f>
        <v>125000</v>
      </c>
      <c r="E24" s="495">
        <f>'FFE&amp;T'!H43</f>
        <v>125000</v>
      </c>
      <c r="F24" s="495">
        <f>'FFE&amp;T'!I43</f>
        <v>125000</v>
      </c>
      <c r="G24" s="495">
        <f>'FFE&amp;T'!J43</f>
        <v>125000</v>
      </c>
      <c r="H24" s="495">
        <f>'FFE&amp;T'!K43</f>
        <v>125000</v>
      </c>
      <c r="I24" s="495">
        <f>'FFE&amp;T'!L43</f>
        <v>125000</v>
      </c>
    </row>
    <row r="25" spans="1:9" x14ac:dyDescent="0.25">
      <c r="A25" t="s">
        <v>998</v>
      </c>
      <c r="B25" s="496">
        <f>IFERROR(B24/B9,0)</f>
        <v>62.858653517354732</v>
      </c>
      <c r="C25" s="496"/>
      <c r="D25" s="496">
        <f t="shared" ref="D25:I25" si="10">IFERROR(D24/D9,0)</f>
        <v>53.878845872018346</v>
      </c>
      <c r="E25" s="496">
        <f t="shared" si="10"/>
        <v>53.878845872018346</v>
      </c>
      <c r="F25" s="496">
        <f t="shared" si="10"/>
        <v>53.878845872018346</v>
      </c>
      <c r="G25" s="496">
        <f t="shared" si="10"/>
        <v>53.878845872018346</v>
      </c>
      <c r="H25" s="496">
        <f t="shared" si="10"/>
        <v>53.878845872018346</v>
      </c>
      <c r="I25" s="496">
        <f t="shared" si="10"/>
        <v>53.878845872018346</v>
      </c>
    </row>
    <row r="26" spans="1:9" x14ac:dyDescent="0.25">
      <c r="A26" t="s">
        <v>999</v>
      </c>
      <c r="B26" s="496">
        <f>B10-B24</f>
        <v>164393520.73033231</v>
      </c>
      <c r="C26" s="496">
        <f t="shared" ref="C26:I26" si="11">C10-C24</f>
        <v>3220500</v>
      </c>
      <c r="D26" s="496">
        <f t="shared" si="11"/>
        <v>26862576.88896</v>
      </c>
      <c r="E26" s="496">
        <f t="shared" si="11"/>
        <v>26862088.768274467</v>
      </c>
      <c r="F26" s="496">
        <f t="shared" si="11"/>
        <v>26862088.768274467</v>
      </c>
      <c r="G26" s="496">
        <f t="shared" si="11"/>
        <v>26862088.768274467</v>
      </c>
      <c r="H26" s="496">
        <f t="shared" si="11"/>
        <v>26862088.768274467</v>
      </c>
      <c r="I26" s="496">
        <f t="shared" si="11"/>
        <v>26862088.768274467</v>
      </c>
    </row>
    <row r="27" spans="1:9" ht="30.75" customHeight="1" x14ac:dyDescent="0.25">
      <c r="A27" s="2" t="s">
        <v>1000</v>
      </c>
      <c r="B27" s="496">
        <f>IFERROR(B26/B9,0)</f>
        <v>11809.777554384036</v>
      </c>
      <c r="C27" s="496"/>
      <c r="D27" s="496">
        <f t="shared" ref="D27:I27" si="12">IFERROR(D26/D9,0)</f>
        <v>11578.597119404143</v>
      </c>
      <c r="E27" s="496">
        <f t="shared" si="12"/>
        <v>11578.386724370681</v>
      </c>
      <c r="F27" s="496">
        <f t="shared" si="12"/>
        <v>11578.386724370681</v>
      </c>
      <c r="G27" s="496">
        <f t="shared" si="12"/>
        <v>11578.386724370681</v>
      </c>
      <c r="H27" s="496">
        <f t="shared" si="12"/>
        <v>11578.386724370681</v>
      </c>
      <c r="I27" s="496">
        <f t="shared" si="12"/>
        <v>11578.386724370681</v>
      </c>
    </row>
    <row r="28" spans="1:9" x14ac:dyDescent="0.25">
      <c r="A28" t="s">
        <v>1447</v>
      </c>
      <c r="B28" s="496">
        <f>SUM(C28:I28)</f>
        <v>0</v>
      </c>
      <c r="C28" s="495">
        <f>'Gen Optg'!F177</f>
        <v>0</v>
      </c>
      <c r="D28" s="495">
        <f>'Gen Optg'!G177</f>
        <v>0</v>
      </c>
      <c r="E28" s="495">
        <f>'Gen Optg'!H177</f>
        <v>0</v>
      </c>
      <c r="F28" s="495">
        <f>'Gen Optg'!I177</f>
        <v>0</v>
      </c>
      <c r="G28" s="495">
        <f>'Gen Optg'!J177</f>
        <v>0</v>
      </c>
      <c r="H28" s="495">
        <f>'Gen Optg'!K177</f>
        <v>0</v>
      </c>
      <c r="I28" s="495">
        <f>'Gen Optg'!L177</f>
        <v>0</v>
      </c>
    </row>
    <row r="29" spans="1:9" x14ac:dyDescent="0.25">
      <c r="A29" t="s">
        <v>1448</v>
      </c>
      <c r="B29" s="496">
        <f>IFERROR(B28/B9,0)</f>
        <v>0</v>
      </c>
      <c r="C29" s="496"/>
      <c r="D29" s="496">
        <f t="shared" ref="D29:I29" si="13">IFERROR(D28/D9,0)</f>
        <v>0</v>
      </c>
      <c r="E29" s="496">
        <f t="shared" si="13"/>
        <v>0</v>
      </c>
      <c r="F29" s="496">
        <f t="shared" si="13"/>
        <v>0</v>
      </c>
      <c r="G29" s="496">
        <f t="shared" si="13"/>
        <v>0</v>
      </c>
      <c r="H29" s="496">
        <f t="shared" si="13"/>
        <v>0</v>
      </c>
      <c r="I29" s="496">
        <f t="shared" si="13"/>
        <v>0</v>
      </c>
    </row>
    <row r="30" spans="1:9" x14ac:dyDescent="0.25">
      <c r="A30" t="s">
        <v>1449</v>
      </c>
      <c r="B30" s="496">
        <f>SUM(C30:I30)</f>
        <v>525986.04974200274</v>
      </c>
      <c r="C30" s="495">
        <f>Ins!F51</f>
        <v>1000</v>
      </c>
      <c r="D30" s="495">
        <f>Ins!G51</f>
        <v>83223.839999999997</v>
      </c>
      <c r="E30" s="495">
        <f>Ins!H51</f>
        <v>84888.316800000001</v>
      </c>
      <c r="F30" s="495">
        <f>Ins!I51</f>
        <v>86586.083136000001</v>
      </c>
      <c r="G30" s="495">
        <f>Ins!J51</f>
        <v>88317.804798719997</v>
      </c>
      <c r="H30" s="495">
        <f>Ins!K51</f>
        <v>90084.160894694403</v>
      </c>
      <c r="I30" s="495">
        <f>Ins!L51</f>
        <v>91885.844112588296</v>
      </c>
    </row>
    <row r="31" spans="1:9" x14ac:dyDescent="0.25">
      <c r="A31" t="s">
        <v>1450</v>
      </c>
      <c r="B31" s="496">
        <f>IFERROR(B30/B9,0)</f>
        <v>37.786028406508187</v>
      </c>
      <c r="C31" s="496"/>
      <c r="D31" s="496">
        <f t="shared" ref="D31:I31" si="14">IFERROR(D30/D9,0)</f>
        <v>35.872035585900122</v>
      </c>
      <c r="E31" s="496">
        <f t="shared" si="14"/>
        <v>36.589476297618127</v>
      </c>
      <c r="F31" s="496">
        <f t="shared" si="14"/>
        <v>37.321265823570485</v>
      </c>
      <c r="G31" s="496">
        <f t="shared" si="14"/>
        <v>38.067691140041894</v>
      </c>
      <c r="H31" s="496">
        <f t="shared" si="14"/>
        <v>38.829044962842737</v>
      </c>
      <c r="I31" s="496">
        <f t="shared" si="14"/>
        <v>39.605625862099593</v>
      </c>
    </row>
    <row r="32" spans="1:9" x14ac:dyDescent="0.25">
      <c r="A32" t="s">
        <v>1451</v>
      </c>
      <c r="B32" s="496">
        <f>SUM(C32:I32)</f>
        <v>1659000</v>
      </c>
      <c r="C32" s="495">
        <f>Marketing!H44</f>
        <v>237000</v>
      </c>
      <c r="D32" s="495">
        <f>Marketing!I44</f>
        <v>237000</v>
      </c>
      <c r="E32" s="495">
        <f>Marketing!J44</f>
        <v>237000</v>
      </c>
      <c r="F32" s="495">
        <f>Marketing!K44</f>
        <v>237000</v>
      </c>
      <c r="G32" s="495">
        <f>Marketing!L44</f>
        <v>237000</v>
      </c>
      <c r="H32" s="495">
        <f>Marketing!M44</f>
        <v>237000</v>
      </c>
      <c r="I32" s="495">
        <f>Marketing!N44</f>
        <v>237000</v>
      </c>
    </row>
    <row r="33" spans="1:9" x14ac:dyDescent="0.25">
      <c r="A33" t="s">
        <v>1452</v>
      </c>
      <c r="B33" s="496">
        <f>IFERROR(B32/B9,0)</f>
        <v>119.18000706890457</v>
      </c>
      <c r="C33" s="496"/>
      <c r="D33" s="496">
        <f t="shared" ref="D33:I33" si="15">IFERROR(D32/D9,0)</f>
        <v>102.15429177334678</v>
      </c>
      <c r="E33" s="496">
        <f t="shared" si="15"/>
        <v>102.15429177334678</v>
      </c>
      <c r="F33" s="496">
        <f t="shared" si="15"/>
        <v>102.15429177334678</v>
      </c>
      <c r="G33" s="496">
        <f t="shared" si="15"/>
        <v>102.15429177334678</v>
      </c>
      <c r="H33" s="496">
        <f t="shared" si="15"/>
        <v>102.15429177334678</v>
      </c>
      <c r="I33" s="496">
        <f t="shared" si="15"/>
        <v>102.15429177334678</v>
      </c>
    </row>
    <row r="34" spans="1:9" x14ac:dyDescent="0.25">
      <c r="A34" t="s">
        <v>1453</v>
      </c>
      <c r="B34" s="496">
        <f>B32+B30+B28</f>
        <v>2184986.049742003</v>
      </c>
      <c r="C34" s="496">
        <f t="shared" ref="C34:I34" si="16">C32+C30+C28</f>
        <v>238000</v>
      </c>
      <c r="D34" s="496">
        <f t="shared" si="16"/>
        <v>320223.83999999997</v>
      </c>
      <c r="E34" s="496">
        <f t="shared" si="16"/>
        <v>321888.31680000003</v>
      </c>
      <c r="F34" s="496">
        <f t="shared" si="16"/>
        <v>323586.08313599997</v>
      </c>
      <c r="G34" s="496">
        <f t="shared" si="16"/>
        <v>325317.80479872</v>
      </c>
      <c r="H34" s="496">
        <f t="shared" si="16"/>
        <v>327084.16089469439</v>
      </c>
      <c r="I34" s="496">
        <f t="shared" si="16"/>
        <v>328885.84411258833</v>
      </c>
    </row>
    <row r="35" spans="1:9" x14ac:dyDescent="0.25">
      <c r="A35" t="s">
        <v>1454</v>
      </c>
      <c r="B35" s="496">
        <f>IFERROR(B34/B9,0)</f>
        <v>156.96603547541278</v>
      </c>
      <c r="C35" s="496"/>
      <c r="D35" s="496">
        <f t="shared" ref="D35:I35" si="17">IFERROR(D34/D9,0)</f>
        <v>138.02632735924689</v>
      </c>
      <c r="E35" s="496">
        <f t="shared" si="17"/>
        <v>138.74376807096493</v>
      </c>
      <c r="F35" s="496">
        <f t="shared" si="17"/>
        <v>139.47555759691727</v>
      </c>
      <c r="G35" s="496">
        <f t="shared" si="17"/>
        <v>140.22198291338867</v>
      </c>
      <c r="H35" s="496">
        <f t="shared" si="17"/>
        <v>140.9833367361895</v>
      </c>
      <c r="I35" s="496">
        <f t="shared" si="17"/>
        <v>141.75991763544639</v>
      </c>
    </row>
    <row r="36" spans="1:9" x14ac:dyDescent="0.25">
      <c r="A36" t="s">
        <v>1455</v>
      </c>
      <c r="B36" s="496">
        <f>B10-B34</f>
        <v>163083534.6805903</v>
      </c>
      <c r="C36" s="496">
        <f t="shared" ref="C36:I36" si="18">C10-C34</f>
        <v>3107500</v>
      </c>
      <c r="D36" s="496">
        <f t="shared" si="18"/>
        <v>26667353.04896</v>
      </c>
      <c r="E36" s="496">
        <f t="shared" si="18"/>
        <v>26665200.451474469</v>
      </c>
      <c r="F36" s="496">
        <f t="shared" si="18"/>
        <v>26663502.685138468</v>
      </c>
      <c r="G36" s="496">
        <f t="shared" si="18"/>
        <v>26661770.963475749</v>
      </c>
      <c r="H36" s="496">
        <f t="shared" si="18"/>
        <v>26660004.607379772</v>
      </c>
      <c r="I36" s="496">
        <f t="shared" si="18"/>
        <v>26658202.924161877</v>
      </c>
    </row>
    <row r="37" spans="1:9" ht="30" customHeight="1" x14ac:dyDescent="0.25">
      <c r="A37" s="2" t="s">
        <v>1456</v>
      </c>
      <c r="B37" s="496">
        <f>IFERROR(B36/B9,0)</f>
        <v>11715.670172425976</v>
      </c>
      <c r="C37" s="496"/>
      <c r="D37" s="496">
        <f t="shared" ref="D37:I37" si="19">IFERROR(D36/D9,0)</f>
        <v>11494.449637916914</v>
      </c>
      <c r="E37" s="496">
        <f t="shared" si="19"/>
        <v>11493.521802171736</v>
      </c>
      <c r="F37" s="496">
        <f t="shared" si="19"/>
        <v>11492.790012645783</v>
      </c>
      <c r="G37" s="496">
        <f t="shared" si="19"/>
        <v>11492.043587329312</v>
      </c>
      <c r="H37" s="496">
        <f t="shared" si="19"/>
        <v>11491.28223350651</v>
      </c>
      <c r="I37" s="496">
        <f t="shared" si="19"/>
        <v>11490.505652607253</v>
      </c>
    </row>
    <row r="38" spans="1:9" x14ac:dyDescent="0.25">
      <c r="A38" t="s">
        <v>597</v>
      </c>
      <c r="B38" s="496">
        <f t="shared" ref="B38:I38" si="20">B10-B12-B16-B28-B20-B24-B30-B32</f>
        <v>-15495261.666420124</v>
      </c>
      <c r="C38" s="496">
        <f t="shared" si="20"/>
        <v>-20352722.721774668</v>
      </c>
      <c r="D38" s="496">
        <f t="shared" si="20"/>
        <v>1450817.99962283</v>
      </c>
      <c r="E38" s="496">
        <f t="shared" si="20"/>
        <v>1204748.8206879236</v>
      </c>
      <c r="F38" s="496">
        <f t="shared" si="20"/>
        <v>950756.07545906678</v>
      </c>
      <c r="G38" s="496">
        <f t="shared" si="20"/>
        <v>689160.52553670504</v>
      </c>
      <c r="H38" s="496">
        <f t="shared" si="20"/>
        <v>419734.42633329995</v>
      </c>
      <c r="I38" s="496">
        <f t="shared" si="20"/>
        <v>142243.20771475136</v>
      </c>
    </row>
    <row r="39" spans="1:9" x14ac:dyDescent="0.25">
      <c r="A39" t="s">
        <v>598</v>
      </c>
      <c r="B39" s="496">
        <f>IFERROR(B38/B9,0)</f>
        <v>-1113.1557534288586</v>
      </c>
      <c r="C39" s="496"/>
      <c r="D39" s="496">
        <f t="shared" ref="D39:I39" si="21">IFERROR(D38/D9,0)</f>
        <v>625.34719512022741</v>
      </c>
      <c r="E39" s="496">
        <f t="shared" si="21"/>
        <v>519.28380819472397</v>
      </c>
      <c r="F39" s="496">
        <f t="shared" si="21"/>
        <v>409.80512041235284</v>
      </c>
      <c r="G39" s="496">
        <f t="shared" si="21"/>
        <v>297.04938989177037</v>
      </c>
      <c r="H39" s="496">
        <f t="shared" si="21"/>
        <v>180.91845170873526</v>
      </c>
      <c r="I39" s="496">
        <f t="shared" si="21"/>
        <v>61.311198918436638</v>
      </c>
    </row>
  </sheetData>
  <sheetProtection algorithmName="SHA-512" hashValue="kPcm2omUO54QFlw32v8/MllTCGhL8rG/Dy1Pr9XeNNBaF71TVNM1pZ4q/l3tFL9YnzGr78IziVvczZNd2PaW0g==" saltValue="O9Saw0wsvyXwqwDttX840Q==" spinCount="100000" sheet="1" objects="1" scenarios="1"/>
  <conditionalFormatting sqref="I1">
    <cfRule type="expression" dxfId="0" priority="1" stopIfTrue="1">
      <formula>MOD(ROW(),2)=0</formula>
    </cfRule>
  </conditionalFormatting>
  <hyperlinks>
    <hyperlink ref="I1" location="HypLink1" display="HypLink1" xr:uid="{02FD0511-F737-42FA-9006-EB9148511053}"/>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2EFA-0E70-4ACB-9106-1EB9A4C28635}">
  <sheetPr codeName="Sheet24"/>
  <dimension ref="A1:R81"/>
  <sheetViews>
    <sheetView workbookViewId="0">
      <selection activeCell="E67" sqref="E67"/>
    </sheetView>
  </sheetViews>
  <sheetFormatPr defaultColWidth="8.7109375" defaultRowHeight="12.75" x14ac:dyDescent="0.2"/>
  <cols>
    <col min="1" max="1" width="1.28515625" style="6" customWidth="1"/>
    <col min="2" max="2" width="2.7109375" style="6" customWidth="1"/>
    <col min="3" max="5" width="8.7109375" style="6"/>
    <col min="6" max="6" width="16.28515625" style="6" customWidth="1"/>
    <col min="7" max="17" width="8.7109375" style="1349"/>
    <col min="18" max="16384" width="8.7109375" style="6"/>
  </cols>
  <sheetData>
    <row r="1" spans="1:18" ht="15.75" x14ac:dyDescent="0.25">
      <c r="A1" s="21" t="s">
        <v>1457</v>
      </c>
      <c r="B1" s="21"/>
      <c r="C1" s="21"/>
      <c r="D1" s="21"/>
    </row>
    <row r="2" spans="1:18" ht="15.75" x14ac:dyDescent="0.25">
      <c r="A2" s="1654" t="str">
        <f>SchoolName</f>
        <v>Odyssey Charter School</v>
      </c>
      <c r="B2" s="1654"/>
      <c r="C2" s="1654"/>
      <c r="D2" s="1654"/>
    </row>
    <row r="3" spans="1:18" x14ac:dyDescent="0.2">
      <c r="A3" s="10" t="s">
        <v>448</v>
      </c>
    </row>
    <row r="4" spans="1:18" x14ac:dyDescent="0.2">
      <c r="A4" s="9" t="s">
        <v>80</v>
      </c>
    </row>
    <row r="5" spans="1:18" x14ac:dyDescent="0.2">
      <c r="A5" s="8" t="str">
        <f ca="1">CELL("filename")</f>
        <v>\\lvraiders\users\sguthrie\Documents\Charter\Change of Sponsorship\[240126-SPCSA-Odyssey Charter School Application Workbook-AS-IS-Original Version.xlsx]Instructions</v>
      </c>
    </row>
    <row r="6" spans="1:18" x14ac:dyDescent="0.2">
      <c r="A6" s="1348"/>
      <c r="B6" s="1349"/>
      <c r="C6" s="1349"/>
      <c r="D6" s="1349"/>
      <c r="E6" s="1349"/>
      <c r="F6" s="1349"/>
      <c r="R6" s="1349"/>
    </row>
    <row r="7" spans="1:18" x14ac:dyDescent="0.2">
      <c r="A7" s="1348"/>
      <c r="B7" s="1349"/>
      <c r="C7" s="1349"/>
      <c r="D7" s="1349"/>
      <c r="E7" s="1349"/>
      <c r="F7" s="1349"/>
      <c r="R7" s="1349"/>
    </row>
    <row r="8" spans="1:18" x14ac:dyDescent="0.2">
      <c r="A8" s="1348"/>
      <c r="B8" s="1349"/>
      <c r="C8" s="1349"/>
      <c r="D8" s="1349"/>
      <c r="E8" s="1349"/>
      <c r="F8" s="1349"/>
      <c r="R8" s="1349"/>
    </row>
    <row r="9" spans="1:18" x14ac:dyDescent="0.2">
      <c r="A9" s="1348"/>
      <c r="B9" s="1349"/>
      <c r="C9" s="1349"/>
      <c r="D9" s="1349"/>
      <c r="E9" s="1349"/>
      <c r="F9" s="1349"/>
      <c r="R9" s="1349"/>
    </row>
    <row r="10" spans="1:18" x14ac:dyDescent="0.2">
      <c r="A10" s="1348"/>
      <c r="B10" s="1349"/>
      <c r="C10" s="1349"/>
      <c r="D10" s="1349"/>
      <c r="E10" s="1349"/>
      <c r="F10" s="1349"/>
      <c r="R10" s="1349"/>
    </row>
    <row r="11" spans="1:18" x14ac:dyDescent="0.2">
      <c r="A11" s="1348"/>
      <c r="B11" s="1349"/>
      <c r="C11" s="1349"/>
      <c r="D11" s="1349"/>
      <c r="E11" s="1349"/>
      <c r="F11" s="1349"/>
      <c r="R11" s="1349"/>
    </row>
    <row r="12" spans="1:18" x14ac:dyDescent="0.2">
      <c r="A12" s="1348"/>
      <c r="B12" s="1349"/>
      <c r="C12" s="1349"/>
      <c r="D12" s="1349"/>
      <c r="E12" s="1349"/>
      <c r="F12" s="1349"/>
      <c r="R12" s="1349"/>
    </row>
    <row r="13" spans="1:18" x14ac:dyDescent="0.2">
      <c r="A13" s="1348"/>
      <c r="B13" s="1349"/>
      <c r="C13" s="1349"/>
      <c r="D13" s="1349"/>
      <c r="E13" s="1349"/>
      <c r="F13" s="1349"/>
      <c r="R13" s="1349"/>
    </row>
    <row r="14" spans="1:18" x14ac:dyDescent="0.2">
      <c r="A14" s="1348"/>
      <c r="B14" s="1349"/>
      <c r="C14" s="1349"/>
      <c r="D14" s="1349"/>
      <c r="E14" s="1349"/>
      <c r="F14" s="1349"/>
      <c r="R14" s="1349"/>
    </row>
    <row r="15" spans="1:18" x14ac:dyDescent="0.2">
      <c r="A15" s="1348"/>
      <c r="B15" s="1349"/>
      <c r="C15" s="1349"/>
      <c r="D15" s="1349"/>
      <c r="E15" s="1349"/>
      <c r="F15" s="1349"/>
      <c r="R15" s="1349"/>
    </row>
    <row r="16" spans="1:18" x14ac:dyDescent="0.2">
      <c r="A16" s="1348"/>
      <c r="B16" s="1349"/>
      <c r="C16" s="1349"/>
      <c r="D16" s="1349"/>
      <c r="E16" s="1349"/>
      <c r="F16" s="1349"/>
      <c r="R16" s="1349"/>
    </row>
    <row r="17" spans="1:18" x14ac:dyDescent="0.2">
      <c r="A17" s="1348"/>
      <c r="B17" s="1349"/>
      <c r="C17" s="1349"/>
      <c r="D17" s="1349"/>
      <c r="E17" s="1349"/>
      <c r="F17" s="1349"/>
      <c r="R17" s="1349"/>
    </row>
    <row r="18" spans="1:18" x14ac:dyDescent="0.2">
      <c r="A18" s="1348"/>
      <c r="B18" s="1349"/>
      <c r="C18" s="1349"/>
      <c r="D18" s="1349"/>
      <c r="E18" s="1349"/>
      <c r="F18" s="1349"/>
      <c r="R18" s="1349"/>
    </row>
    <row r="19" spans="1:18" x14ac:dyDescent="0.2">
      <c r="A19" s="1348"/>
      <c r="B19" s="1349"/>
      <c r="C19" s="1349"/>
      <c r="D19" s="1349"/>
      <c r="E19" s="1349"/>
      <c r="F19" s="1349"/>
      <c r="R19" s="1349"/>
    </row>
    <row r="20" spans="1:18" x14ac:dyDescent="0.2">
      <c r="A20" s="1348"/>
      <c r="B20" s="1349"/>
      <c r="C20" s="1349"/>
      <c r="D20" s="1349"/>
      <c r="E20" s="1349"/>
      <c r="F20" s="1349"/>
      <c r="R20" s="1349"/>
    </row>
    <row r="21" spans="1:18" x14ac:dyDescent="0.2">
      <c r="A21" s="1348"/>
      <c r="B21" s="1349"/>
      <c r="C21" s="1349"/>
      <c r="D21" s="1349"/>
      <c r="E21" s="1349"/>
      <c r="F21" s="1349"/>
      <c r="R21" s="1349"/>
    </row>
    <row r="22" spans="1:18" x14ac:dyDescent="0.2">
      <c r="A22" s="1348"/>
      <c r="B22" s="1349"/>
      <c r="C22" s="1349"/>
      <c r="D22" s="1349"/>
      <c r="E22" s="1349"/>
      <c r="F22" s="1349"/>
      <c r="R22" s="1349"/>
    </row>
    <row r="23" spans="1:18" x14ac:dyDescent="0.2">
      <c r="A23" s="1348"/>
      <c r="B23" s="1349"/>
      <c r="C23" s="1349"/>
      <c r="D23" s="1349"/>
      <c r="E23" s="1349"/>
      <c r="F23" s="1349"/>
      <c r="R23" s="1349"/>
    </row>
    <row r="24" spans="1:18" x14ac:dyDescent="0.2">
      <c r="A24" s="1348"/>
      <c r="B24" s="1349"/>
      <c r="C24" s="1349"/>
      <c r="D24" s="1349"/>
      <c r="E24" s="1349"/>
      <c r="F24" s="1349"/>
      <c r="R24" s="1349"/>
    </row>
    <row r="25" spans="1:18" x14ac:dyDescent="0.2">
      <c r="A25" s="1348"/>
      <c r="B25" s="1349"/>
      <c r="C25" s="1349"/>
      <c r="D25" s="1349"/>
      <c r="E25" s="1349"/>
      <c r="F25" s="1349"/>
      <c r="R25" s="1349"/>
    </row>
    <row r="26" spans="1:18" x14ac:dyDescent="0.2">
      <c r="A26" s="1348"/>
      <c r="B26" s="1349"/>
      <c r="C26" s="1349"/>
      <c r="D26" s="1349"/>
      <c r="E26" s="1349"/>
      <c r="F26" s="1349"/>
      <c r="R26" s="1349"/>
    </row>
    <row r="27" spans="1:18" x14ac:dyDescent="0.2">
      <c r="A27" s="1348"/>
      <c r="B27" s="1349"/>
      <c r="C27" s="1349"/>
      <c r="D27" s="1349"/>
      <c r="E27" s="1349"/>
      <c r="F27" s="1349"/>
      <c r="R27" s="1349"/>
    </row>
    <row r="28" spans="1:18" x14ac:dyDescent="0.2">
      <c r="A28" s="1348"/>
      <c r="B28" s="1349"/>
      <c r="C28" s="1349"/>
      <c r="D28" s="1349"/>
      <c r="E28" s="1349"/>
      <c r="F28" s="1349"/>
      <c r="R28" s="1349"/>
    </row>
    <row r="29" spans="1:18" x14ac:dyDescent="0.2">
      <c r="A29" s="1348"/>
      <c r="B29" s="1349"/>
      <c r="C29" s="1349"/>
      <c r="D29" s="1349"/>
      <c r="E29" s="1349"/>
      <c r="F29" s="1349"/>
      <c r="R29" s="1349"/>
    </row>
    <row r="30" spans="1:18" x14ac:dyDescent="0.2">
      <c r="A30" s="1348"/>
      <c r="B30" s="1348"/>
      <c r="C30" s="1348"/>
      <c r="D30" s="1348"/>
      <c r="E30" s="1348"/>
      <c r="F30" s="1349"/>
      <c r="R30" s="1349"/>
    </row>
    <row r="31" spans="1:18" x14ac:dyDescent="0.2">
      <c r="A31" s="1348"/>
      <c r="B31" s="1348"/>
      <c r="C31" s="1348"/>
      <c r="D31" s="1348"/>
      <c r="E31" s="1348"/>
      <c r="F31" s="1349"/>
      <c r="R31" s="1349"/>
    </row>
    <row r="32" spans="1:18" x14ac:dyDescent="0.2">
      <c r="A32" s="1348"/>
      <c r="B32" s="1348"/>
      <c r="C32" s="1348"/>
      <c r="D32" s="1348"/>
      <c r="E32" s="1348"/>
      <c r="F32" s="1349"/>
      <c r="R32" s="1349"/>
    </row>
    <row r="33" spans="1:18" x14ac:dyDescent="0.2">
      <c r="A33" s="1348"/>
      <c r="B33" s="1348"/>
      <c r="C33" s="1348"/>
      <c r="D33" s="1348"/>
      <c r="E33" s="1348"/>
      <c r="F33" s="1349"/>
      <c r="R33" s="1349"/>
    </row>
    <row r="34" spans="1:18" x14ac:dyDescent="0.2">
      <c r="A34" s="1348"/>
      <c r="B34" s="1348"/>
      <c r="C34" s="1348"/>
      <c r="D34" s="1348"/>
      <c r="E34" s="1348"/>
      <c r="F34" s="1349"/>
      <c r="R34" s="1349"/>
    </row>
    <row r="35" spans="1:18" x14ac:dyDescent="0.2">
      <c r="A35" s="1348"/>
      <c r="B35" s="1348"/>
      <c r="C35" s="1348"/>
      <c r="D35" s="1348"/>
      <c r="E35" s="1348"/>
      <c r="F35" s="1349"/>
      <c r="R35" s="1349"/>
    </row>
    <row r="36" spans="1:18" x14ac:dyDescent="0.2">
      <c r="A36" s="1348"/>
      <c r="B36" s="1348"/>
      <c r="C36" s="1348"/>
      <c r="D36" s="1348"/>
      <c r="E36" s="1348"/>
      <c r="F36" s="1349"/>
      <c r="R36" s="1349"/>
    </row>
    <row r="37" spans="1:18" x14ac:dyDescent="0.2">
      <c r="A37" s="1348"/>
      <c r="B37" s="1348"/>
      <c r="C37" s="1348"/>
      <c r="D37" s="1348"/>
      <c r="E37" s="1348"/>
      <c r="F37" s="1349"/>
      <c r="R37" s="1349"/>
    </row>
    <row r="38" spans="1:18" x14ac:dyDescent="0.2">
      <c r="A38" s="1348"/>
      <c r="B38" s="1348"/>
      <c r="C38" s="1348"/>
      <c r="D38" s="1348"/>
      <c r="E38" s="1348"/>
      <c r="F38" s="1349"/>
      <c r="R38" s="1349"/>
    </row>
    <row r="39" spans="1:18" x14ac:dyDescent="0.2">
      <c r="A39" s="1348"/>
      <c r="B39" s="1348"/>
      <c r="C39" s="1348"/>
      <c r="D39" s="1348"/>
      <c r="E39" s="1348"/>
      <c r="F39" s="1349"/>
      <c r="R39" s="1349"/>
    </row>
    <row r="40" spans="1:18" x14ac:dyDescent="0.2">
      <c r="A40" s="1348"/>
      <c r="B40" s="1348"/>
      <c r="C40" s="1348"/>
      <c r="D40" s="1348"/>
      <c r="E40" s="1348"/>
      <c r="F40" s="1349"/>
      <c r="R40" s="1349"/>
    </row>
    <row r="41" spans="1:18" x14ac:dyDescent="0.2">
      <c r="A41" s="1348"/>
      <c r="B41" s="1348"/>
      <c r="C41" s="1348"/>
      <c r="D41" s="1348"/>
      <c r="E41" s="1348"/>
      <c r="F41" s="1349"/>
      <c r="R41" s="1349"/>
    </row>
    <row r="42" spans="1:18" x14ac:dyDescent="0.2">
      <c r="A42" s="1348"/>
      <c r="B42" s="1348"/>
      <c r="C42" s="1348"/>
      <c r="D42" s="1348"/>
      <c r="E42" s="1348"/>
      <c r="F42" s="1349"/>
      <c r="R42" s="1349"/>
    </row>
    <row r="43" spans="1:18" x14ac:dyDescent="0.2">
      <c r="A43" s="1348"/>
      <c r="B43" s="1348"/>
      <c r="C43" s="1348"/>
      <c r="D43" s="1348"/>
      <c r="E43" s="1348"/>
      <c r="F43" s="1349"/>
      <c r="R43" s="1349"/>
    </row>
    <row r="44" spans="1:18" x14ac:dyDescent="0.2">
      <c r="A44" s="1348"/>
      <c r="B44" s="1348"/>
      <c r="C44" s="1348"/>
      <c r="D44" s="1348"/>
      <c r="E44" s="1348"/>
      <c r="F44" s="1349"/>
      <c r="R44" s="1349"/>
    </row>
    <row r="45" spans="1:18" x14ac:dyDescent="0.2">
      <c r="A45" s="1348"/>
      <c r="B45" s="1348"/>
      <c r="C45" s="1348"/>
      <c r="D45" s="1348"/>
      <c r="E45" s="1348"/>
      <c r="F45" s="1349"/>
      <c r="R45" s="1349"/>
    </row>
    <row r="46" spans="1:18" x14ac:dyDescent="0.2">
      <c r="A46" s="1348"/>
      <c r="B46" s="1348"/>
      <c r="C46" s="1348"/>
      <c r="D46" s="1348"/>
      <c r="E46" s="1348"/>
      <c r="F46" s="1349"/>
      <c r="R46" s="1349"/>
    </row>
    <row r="47" spans="1:18" x14ac:dyDescent="0.2">
      <c r="A47" s="1348"/>
      <c r="B47" s="1348"/>
      <c r="C47" s="1348"/>
      <c r="D47" s="1348"/>
      <c r="E47" s="1348"/>
      <c r="F47" s="1349"/>
      <c r="R47" s="1349"/>
    </row>
    <row r="48" spans="1:18" x14ac:dyDescent="0.2">
      <c r="A48" s="1348"/>
      <c r="B48" s="1348"/>
      <c r="C48" s="1348"/>
      <c r="D48" s="1348"/>
      <c r="E48" s="1348"/>
      <c r="F48" s="1349"/>
      <c r="R48" s="1349"/>
    </row>
    <row r="49" spans="1:18" x14ac:dyDescent="0.2">
      <c r="A49" s="1348"/>
      <c r="B49" s="1348"/>
      <c r="C49" s="1348"/>
      <c r="D49" s="1348"/>
      <c r="E49" s="1348"/>
      <c r="F49" s="1349"/>
      <c r="R49" s="1349"/>
    </row>
    <row r="50" spans="1:18" x14ac:dyDescent="0.2">
      <c r="A50" s="1348"/>
      <c r="B50" s="1348"/>
      <c r="C50" s="1348"/>
      <c r="D50" s="1348"/>
      <c r="E50" s="1348"/>
      <c r="F50" s="1349"/>
      <c r="R50" s="1349"/>
    </row>
    <row r="51" spans="1:18" x14ac:dyDescent="0.2">
      <c r="A51" s="1348"/>
      <c r="B51" s="1348"/>
      <c r="C51" s="1348"/>
      <c r="D51" s="1348"/>
      <c r="E51" s="1348"/>
      <c r="F51" s="1349"/>
      <c r="R51" s="1349"/>
    </row>
    <row r="52" spans="1:18" x14ac:dyDescent="0.2">
      <c r="A52" s="1348"/>
      <c r="B52" s="1348"/>
      <c r="C52" s="1348"/>
      <c r="D52" s="1348"/>
      <c r="E52" s="1348"/>
      <c r="F52" s="1349"/>
      <c r="R52" s="1349"/>
    </row>
    <row r="53" spans="1:18" x14ac:dyDescent="0.2">
      <c r="A53" s="1348"/>
      <c r="B53" s="1348"/>
      <c r="C53" s="1348"/>
      <c r="D53" s="1348"/>
      <c r="E53" s="1348"/>
      <c r="F53" s="1349"/>
      <c r="R53" s="1349"/>
    </row>
    <row r="54" spans="1:18" x14ac:dyDescent="0.2">
      <c r="A54" s="1348"/>
      <c r="B54" s="1348"/>
      <c r="C54" s="1348"/>
      <c r="D54" s="1348"/>
      <c r="E54" s="1348"/>
      <c r="F54" s="1349"/>
      <c r="R54" s="1349"/>
    </row>
    <row r="55" spans="1:18" x14ac:dyDescent="0.2">
      <c r="A55" s="1348"/>
      <c r="B55" s="1348"/>
      <c r="C55" s="1348"/>
      <c r="D55" s="1348"/>
      <c r="E55" s="1348"/>
      <c r="F55" s="1349"/>
      <c r="R55" s="1349"/>
    </row>
    <row r="56" spans="1:18" x14ac:dyDescent="0.2">
      <c r="A56" s="1348"/>
      <c r="B56" s="1348"/>
      <c r="C56" s="1348"/>
      <c r="D56" s="1348"/>
      <c r="E56" s="1348"/>
      <c r="F56" s="1349"/>
      <c r="R56" s="1349"/>
    </row>
    <row r="57" spans="1:18" x14ac:dyDescent="0.2">
      <c r="A57" s="1348"/>
      <c r="B57" s="1348"/>
      <c r="C57" s="1348"/>
      <c r="D57" s="1348"/>
      <c r="E57" s="1348"/>
      <c r="F57" s="1349"/>
      <c r="R57" s="1349"/>
    </row>
    <row r="58" spans="1:18" x14ac:dyDescent="0.2">
      <c r="A58" s="1348"/>
      <c r="B58" s="1348"/>
      <c r="C58" s="1348"/>
      <c r="D58" s="1348"/>
      <c r="E58" s="1348"/>
      <c r="F58" s="1349"/>
      <c r="R58" s="1349"/>
    </row>
    <row r="59" spans="1:18" x14ac:dyDescent="0.2">
      <c r="A59" s="1348"/>
      <c r="B59" s="1348"/>
      <c r="C59" s="1348"/>
      <c r="D59" s="1348"/>
      <c r="E59" s="1348"/>
      <c r="F59" s="1349"/>
      <c r="R59" s="1349"/>
    </row>
    <row r="60" spans="1:18" x14ac:dyDescent="0.2">
      <c r="A60" s="1348"/>
      <c r="B60" s="1348"/>
      <c r="C60" s="1348"/>
      <c r="D60" s="1348"/>
      <c r="E60" s="1348"/>
      <c r="F60" s="1349"/>
      <c r="R60" s="1349"/>
    </row>
    <row r="61" spans="1:18" x14ac:dyDescent="0.2">
      <c r="A61" s="1348"/>
      <c r="B61" s="1348"/>
      <c r="C61" s="1348"/>
      <c r="D61" s="1348"/>
      <c r="E61" s="1348"/>
      <c r="F61" s="1349"/>
      <c r="R61" s="1349"/>
    </row>
    <row r="62" spans="1:18" x14ac:dyDescent="0.2">
      <c r="A62" s="1348"/>
      <c r="B62" s="1348"/>
      <c r="C62" s="1348"/>
      <c r="D62" s="1348"/>
      <c r="E62" s="1348"/>
      <c r="F62" s="1349"/>
      <c r="R62" s="1349"/>
    </row>
    <row r="63" spans="1:18" x14ac:dyDescent="0.2">
      <c r="A63" s="1348"/>
      <c r="B63" s="1348"/>
      <c r="C63" s="1348"/>
      <c r="D63" s="1348"/>
      <c r="E63" s="1348"/>
      <c r="F63" s="1349"/>
      <c r="R63" s="1349"/>
    </row>
    <row r="64" spans="1:18" x14ac:dyDescent="0.2">
      <c r="A64" s="1348"/>
      <c r="B64" s="1348"/>
      <c r="C64" s="1348"/>
      <c r="D64" s="1348"/>
      <c r="E64" s="1348"/>
      <c r="F64" s="1349"/>
      <c r="R64" s="1349"/>
    </row>
    <row r="65" spans="1:18" x14ac:dyDescent="0.2">
      <c r="A65" s="1348"/>
      <c r="B65" s="1348"/>
      <c r="C65" s="1348"/>
      <c r="D65" s="1348"/>
      <c r="E65" s="1348"/>
      <c r="F65" s="1349"/>
      <c r="R65" s="1349"/>
    </row>
    <row r="66" spans="1:18" x14ac:dyDescent="0.2">
      <c r="A66" s="1348"/>
      <c r="B66" s="1348"/>
      <c r="C66" s="1348"/>
      <c r="D66" s="1348"/>
      <c r="E66" s="1348"/>
      <c r="F66" s="1349"/>
      <c r="R66" s="1349"/>
    </row>
    <row r="67" spans="1:18" x14ac:dyDescent="0.2">
      <c r="A67" s="1348"/>
      <c r="B67" s="1348"/>
      <c r="C67" s="1348"/>
      <c r="D67" s="1348"/>
      <c r="E67" s="1348"/>
      <c r="F67" s="1349"/>
    </row>
    <row r="68" spans="1:18" x14ac:dyDescent="0.2">
      <c r="A68" s="1348"/>
      <c r="B68" s="1348"/>
      <c r="C68" s="1348"/>
      <c r="D68" s="1348"/>
      <c r="E68" s="1348"/>
      <c r="F68" s="1349"/>
    </row>
    <row r="69" spans="1:18" x14ac:dyDescent="0.2">
      <c r="A69" s="1348"/>
      <c r="B69" s="1348"/>
      <c r="C69" s="1348"/>
      <c r="D69" s="1348"/>
      <c r="E69" s="1348"/>
      <c r="F69" s="1349"/>
    </row>
    <row r="70" spans="1:18" x14ac:dyDescent="0.2">
      <c r="A70" s="7"/>
      <c r="B70" s="7"/>
      <c r="C70" s="7"/>
      <c r="D70" s="7"/>
      <c r="E70" s="7"/>
    </row>
    <row r="71" spans="1:18" x14ac:dyDescent="0.2">
      <c r="A71" s="7"/>
      <c r="B71" s="7"/>
      <c r="C71" s="7"/>
      <c r="D71" s="7"/>
      <c r="E71" s="7"/>
    </row>
    <row r="72" spans="1:18" x14ac:dyDescent="0.2">
      <c r="A72" s="7"/>
      <c r="B72" s="7"/>
      <c r="C72" s="7"/>
      <c r="D72" s="7"/>
      <c r="E72" s="7"/>
    </row>
    <row r="73" spans="1:18" x14ac:dyDescent="0.2">
      <c r="A73" s="7"/>
      <c r="B73" s="7"/>
      <c r="C73" s="7"/>
      <c r="D73" s="7"/>
      <c r="E73" s="7"/>
    </row>
    <row r="74" spans="1:18" x14ac:dyDescent="0.2">
      <c r="A74" s="7"/>
      <c r="B74" s="7"/>
      <c r="C74" s="7"/>
      <c r="D74" s="7"/>
      <c r="E74" s="7"/>
    </row>
    <row r="75" spans="1:18" x14ac:dyDescent="0.2">
      <c r="A75" s="7"/>
      <c r="B75" s="7"/>
      <c r="C75" s="7"/>
      <c r="D75" s="7"/>
      <c r="E75" s="7"/>
    </row>
    <row r="76" spans="1:18" x14ac:dyDescent="0.2">
      <c r="A76" s="7"/>
      <c r="B76" s="7"/>
      <c r="C76" s="7"/>
      <c r="D76" s="7"/>
      <c r="E76" s="7"/>
    </row>
    <row r="77" spans="1:18" x14ac:dyDescent="0.2">
      <c r="A77" s="7"/>
      <c r="B77" s="7"/>
      <c r="C77" s="7"/>
      <c r="D77" s="7"/>
      <c r="E77" s="7"/>
    </row>
    <row r="78" spans="1:18" x14ac:dyDescent="0.2">
      <c r="A78" s="7"/>
      <c r="B78" s="7"/>
      <c r="C78" s="7"/>
      <c r="D78" s="7"/>
      <c r="E78" s="7"/>
    </row>
    <row r="79" spans="1:18" x14ac:dyDescent="0.2">
      <c r="A79" s="7"/>
      <c r="B79" s="7"/>
      <c r="C79" s="7"/>
      <c r="D79" s="7"/>
      <c r="E79" s="7"/>
    </row>
    <row r="80" spans="1:18" x14ac:dyDescent="0.2">
      <c r="A80" s="7"/>
      <c r="B80" s="7"/>
      <c r="C80" s="7"/>
      <c r="D80" s="7"/>
      <c r="E80" s="7"/>
    </row>
    <row r="81" spans="1:5" x14ac:dyDescent="0.2">
      <c r="A81" s="7"/>
      <c r="B81" s="7"/>
      <c r="C81" s="7"/>
      <c r="D81" s="7"/>
      <c r="E81" s="7"/>
    </row>
  </sheetData>
  <sheetProtection algorithmName="SHA-512" hashValue="6QUc3IUweRn/CmR42oWUeY3blCaqs4cnotRaLGctv6BUczzeIucJ4zHYHGAnCyF4dcvPtWal0zHDJnWG8I0rLQ==" saltValue="HeFflB43Zn9mzWohXtBJBA=="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137A-DCC1-4E9D-9D5F-F0F162269F2E}">
  <sheetPr codeName="Sheet25">
    <tabColor theme="0" tint="-0.14999847407452621"/>
  </sheetPr>
  <dimension ref="A1:P79"/>
  <sheetViews>
    <sheetView workbookViewId="0">
      <selection activeCell="E67" sqref="E67"/>
    </sheetView>
  </sheetViews>
  <sheetFormatPr defaultColWidth="9.28515625" defaultRowHeight="12.75" x14ac:dyDescent="0.2"/>
  <cols>
    <col min="1" max="1" width="9.28515625" style="6"/>
    <col min="2" max="2" width="2.28515625" style="6" customWidth="1"/>
    <col min="3" max="3" width="19.5703125" style="6" customWidth="1"/>
    <col min="4" max="8" width="11.7109375" style="6" customWidth="1"/>
    <col min="9" max="16384" width="9.28515625" style="6"/>
  </cols>
  <sheetData>
    <row r="1" spans="1:16" ht="15.75" x14ac:dyDescent="0.25">
      <c r="A1" s="308"/>
      <c r="B1" s="308"/>
      <c r="C1" s="308"/>
    </row>
    <row r="2" spans="1:16" ht="15.75" x14ac:dyDescent="0.25">
      <c r="A2" s="25"/>
      <c r="B2" s="27"/>
      <c r="C2" s="27"/>
    </row>
    <row r="3" spans="1:16" x14ac:dyDescent="0.2">
      <c r="A3" s="10" t="s">
        <v>448</v>
      </c>
    </row>
    <row r="4" spans="1:16" x14ac:dyDescent="0.2">
      <c r="A4" s="9" t="s">
        <v>80</v>
      </c>
    </row>
    <row r="5" spans="1:16" x14ac:dyDescent="0.2">
      <c r="A5" s="8" t="str">
        <f ca="1">CELL("filename")</f>
        <v>\\lvraiders\users\sguthrie\Documents\Charter\Change of Sponsorship\[240126-SPCSA-Odyssey Charter School Application Workbook-AS-IS-Original Version.xlsx]Instructions</v>
      </c>
    </row>
    <row r="6" spans="1:16" x14ac:dyDescent="0.2">
      <c r="A6" s="7"/>
      <c r="B6" s="7"/>
      <c r="C6" s="7"/>
      <c r="D6" s="7"/>
      <c r="E6" s="7"/>
      <c r="F6" s="7"/>
      <c r="G6" s="7"/>
      <c r="H6" s="7"/>
      <c r="I6" s="7"/>
      <c r="J6" s="7"/>
      <c r="K6" s="7"/>
      <c r="L6" s="7"/>
      <c r="M6" s="7"/>
      <c r="N6" s="7"/>
      <c r="O6" s="7"/>
      <c r="P6" s="7"/>
    </row>
    <row r="7" spans="1:16" x14ac:dyDescent="0.2">
      <c r="A7" s="7"/>
      <c r="B7" s="7"/>
      <c r="C7" s="7"/>
      <c r="D7" s="7"/>
      <c r="E7" s="7"/>
      <c r="F7" s="7"/>
      <c r="G7" s="7"/>
      <c r="H7" s="7"/>
      <c r="I7" s="7"/>
      <c r="J7" s="7"/>
      <c r="K7" s="7"/>
      <c r="L7" s="7"/>
      <c r="M7" s="7"/>
      <c r="N7" s="7"/>
      <c r="O7" s="7"/>
      <c r="P7" s="7"/>
    </row>
    <row r="8" spans="1:16" x14ac:dyDescent="0.2">
      <c r="A8" s="7"/>
      <c r="B8" s="7"/>
      <c r="I8" s="7"/>
      <c r="J8" s="7"/>
      <c r="K8" s="7"/>
      <c r="L8" s="7"/>
      <c r="M8" s="7"/>
      <c r="N8" s="7"/>
      <c r="O8" s="7"/>
      <c r="P8" s="7"/>
    </row>
    <row r="9" spans="1:16" x14ac:dyDescent="0.2">
      <c r="A9" s="7"/>
      <c r="B9" s="7"/>
      <c r="C9" s="6" t="s">
        <v>1458</v>
      </c>
      <c r="I9" s="7"/>
      <c r="J9" s="7"/>
      <c r="K9" s="7"/>
      <c r="L9" s="7"/>
      <c r="M9" s="7"/>
      <c r="N9" s="7"/>
      <c r="O9" s="7"/>
      <c r="P9" s="7"/>
    </row>
    <row r="10" spans="1:16" x14ac:dyDescent="0.2">
      <c r="A10" s="7"/>
      <c r="B10" s="7"/>
      <c r="I10" s="7"/>
      <c r="J10" s="7"/>
      <c r="K10" s="7"/>
      <c r="L10" s="7"/>
      <c r="M10" s="7"/>
      <c r="N10" s="7"/>
      <c r="O10" s="7"/>
      <c r="P10" s="7"/>
    </row>
    <row r="11" spans="1:16" x14ac:dyDescent="0.2">
      <c r="A11" s="7"/>
      <c r="B11" s="7"/>
      <c r="I11" s="7"/>
      <c r="J11" s="7"/>
      <c r="K11" s="7"/>
      <c r="L11" s="7"/>
      <c r="M11" s="7"/>
      <c r="N11" s="7"/>
      <c r="O11" s="7"/>
      <c r="P11" s="7"/>
    </row>
    <row r="12" spans="1:16" x14ac:dyDescent="0.2">
      <c r="A12" s="7"/>
      <c r="B12" s="7"/>
      <c r="I12" s="7"/>
      <c r="J12" s="7"/>
      <c r="K12" s="7"/>
      <c r="L12" s="7"/>
      <c r="M12" s="7"/>
      <c r="N12" s="7"/>
      <c r="O12" s="7"/>
      <c r="P12" s="7"/>
    </row>
    <row r="13" spans="1:16" x14ac:dyDescent="0.2">
      <c r="A13" s="7"/>
      <c r="B13" s="7"/>
      <c r="I13" s="7"/>
      <c r="J13" s="7"/>
      <c r="K13" s="7"/>
      <c r="L13" s="7"/>
      <c r="M13" s="7"/>
      <c r="N13" s="7"/>
      <c r="O13" s="7"/>
      <c r="P13" s="7"/>
    </row>
    <row r="14" spans="1:16" x14ac:dyDescent="0.2">
      <c r="A14" s="7"/>
      <c r="B14" s="7"/>
      <c r="I14" s="7"/>
      <c r="J14" s="7"/>
      <c r="K14" s="7"/>
      <c r="L14" s="7"/>
      <c r="M14" s="7"/>
      <c r="N14" s="7"/>
      <c r="O14" s="7"/>
      <c r="P14" s="7"/>
    </row>
    <row r="15" spans="1:16" x14ac:dyDescent="0.2">
      <c r="A15" s="7"/>
      <c r="B15" s="7"/>
      <c r="I15" s="7"/>
      <c r="J15" s="7"/>
      <c r="K15" s="7"/>
      <c r="L15" s="7"/>
      <c r="M15" s="7"/>
      <c r="N15" s="7"/>
      <c r="O15" s="7"/>
      <c r="P15" s="7"/>
    </row>
    <row r="16" spans="1:16" x14ac:dyDescent="0.2">
      <c r="A16" s="7"/>
      <c r="B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row r="25" spans="1:16" x14ac:dyDescent="0.2">
      <c r="A25" s="7"/>
      <c r="B25" s="7"/>
      <c r="C25" s="7"/>
      <c r="D25" s="7"/>
      <c r="E25" s="7"/>
      <c r="F25" s="7"/>
      <c r="G25" s="7"/>
      <c r="H25" s="7"/>
      <c r="I25" s="7"/>
      <c r="J25" s="7"/>
      <c r="K25" s="7"/>
      <c r="L25" s="7"/>
      <c r="M25" s="7"/>
      <c r="N25" s="7"/>
      <c r="O25" s="7"/>
      <c r="P25" s="7"/>
    </row>
    <row r="26" spans="1:16" x14ac:dyDescent="0.2">
      <c r="A26" s="7"/>
      <c r="B26" s="7"/>
      <c r="C26" s="7"/>
      <c r="D26" s="7"/>
      <c r="E26" s="7"/>
      <c r="F26" s="7"/>
      <c r="G26" s="7"/>
      <c r="H26" s="7"/>
      <c r="I26" s="7"/>
      <c r="J26" s="7"/>
      <c r="K26" s="7"/>
      <c r="L26" s="7"/>
      <c r="M26" s="7"/>
      <c r="N26" s="7"/>
      <c r="O26" s="7"/>
      <c r="P26" s="7"/>
    </row>
    <row r="27" spans="1:16" x14ac:dyDescent="0.2">
      <c r="A27" s="7"/>
      <c r="B27" s="7"/>
      <c r="C27" s="7"/>
      <c r="D27" s="7"/>
      <c r="E27" s="7"/>
      <c r="F27" s="7"/>
      <c r="G27" s="7"/>
      <c r="H27" s="7"/>
      <c r="I27" s="7"/>
      <c r="J27" s="7"/>
      <c r="K27" s="7"/>
      <c r="L27" s="7"/>
      <c r="M27" s="7"/>
      <c r="N27" s="7"/>
      <c r="O27" s="7"/>
      <c r="P27" s="7"/>
    </row>
    <row r="28" spans="1:16" x14ac:dyDescent="0.2">
      <c r="A28" s="7"/>
      <c r="B28" s="7"/>
      <c r="C28" s="7"/>
      <c r="D28" s="7"/>
      <c r="E28" s="7"/>
      <c r="F28" s="7"/>
      <c r="G28" s="7"/>
      <c r="H28" s="7"/>
      <c r="I28" s="7"/>
      <c r="J28" s="7"/>
      <c r="K28" s="7"/>
      <c r="L28" s="7"/>
      <c r="M28" s="7"/>
      <c r="N28" s="7"/>
      <c r="O28" s="7"/>
      <c r="P28" s="7"/>
    </row>
    <row r="29" spans="1:16" x14ac:dyDescent="0.2">
      <c r="A29" s="7"/>
      <c r="B29" s="7"/>
      <c r="C29" s="7"/>
      <c r="D29" s="7"/>
      <c r="E29" s="7"/>
      <c r="F29" s="7"/>
      <c r="G29" s="7"/>
      <c r="H29" s="7"/>
      <c r="I29" s="7"/>
      <c r="J29" s="7"/>
      <c r="K29" s="7"/>
      <c r="L29" s="7"/>
      <c r="M29" s="7"/>
      <c r="N29" s="7"/>
      <c r="O29" s="7"/>
      <c r="P29" s="7"/>
    </row>
    <row r="30" spans="1:16" x14ac:dyDescent="0.2">
      <c r="A30" s="7"/>
      <c r="B30" s="7"/>
      <c r="C30" s="7"/>
      <c r="D30" s="7"/>
      <c r="E30" s="7"/>
      <c r="F30" s="7"/>
      <c r="G30" s="7"/>
      <c r="H30" s="7"/>
      <c r="I30" s="7"/>
      <c r="J30" s="7"/>
      <c r="K30" s="7"/>
      <c r="L30" s="7"/>
      <c r="M30" s="7"/>
      <c r="N30" s="7"/>
      <c r="O30" s="7"/>
      <c r="P30" s="7"/>
    </row>
    <row r="31" spans="1:16" x14ac:dyDescent="0.2">
      <c r="A31" s="7"/>
      <c r="B31" s="7"/>
      <c r="C31" s="7"/>
      <c r="D31" s="7"/>
      <c r="E31" s="7"/>
      <c r="F31" s="7"/>
      <c r="G31" s="7"/>
      <c r="H31" s="7"/>
      <c r="I31" s="7"/>
      <c r="J31" s="7"/>
      <c r="K31" s="7"/>
      <c r="L31" s="7"/>
      <c r="M31" s="7"/>
      <c r="N31" s="7"/>
      <c r="O31" s="7"/>
      <c r="P31" s="7"/>
    </row>
    <row r="32" spans="1:16" x14ac:dyDescent="0.2">
      <c r="A32" s="7"/>
      <c r="B32" s="7"/>
      <c r="C32" s="7"/>
      <c r="D32" s="7"/>
      <c r="E32" s="7"/>
      <c r="F32" s="7"/>
      <c r="G32" s="7"/>
      <c r="H32" s="7"/>
      <c r="I32" s="7"/>
      <c r="J32" s="7"/>
      <c r="K32" s="7"/>
      <c r="L32" s="7"/>
      <c r="M32" s="7"/>
      <c r="N32" s="7"/>
      <c r="O32" s="7"/>
      <c r="P32" s="7"/>
    </row>
    <row r="33" spans="1:16" x14ac:dyDescent="0.2">
      <c r="A33" s="7"/>
      <c r="B33" s="7"/>
      <c r="C33" s="7"/>
      <c r="D33" s="7"/>
      <c r="E33" s="7"/>
      <c r="F33" s="7"/>
      <c r="G33" s="7"/>
      <c r="H33" s="7"/>
      <c r="I33" s="7"/>
      <c r="J33" s="7"/>
      <c r="K33" s="7"/>
      <c r="L33" s="7"/>
      <c r="M33" s="7"/>
      <c r="N33" s="7"/>
      <c r="O33" s="7"/>
      <c r="P33" s="7"/>
    </row>
    <row r="34" spans="1:16" x14ac:dyDescent="0.2">
      <c r="A34" s="7"/>
      <c r="B34" s="7"/>
      <c r="C34" s="7"/>
      <c r="D34" s="7"/>
      <c r="E34" s="7"/>
      <c r="F34" s="7"/>
      <c r="G34" s="7"/>
      <c r="H34" s="7"/>
      <c r="I34" s="7"/>
      <c r="J34" s="7"/>
      <c r="K34" s="7"/>
      <c r="L34" s="7"/>
      <c r="M34" s="7"/>
      <c r="N34" s="7"/>
      <c r="O34" s="7"/>
      <c r="P34" s="7"/>
    </row>
    <row r="35" spans="1:16" x14ac:dyDescent="0.2">
      <c r="A35" s="7"/>
      <c r="B35" s="7"/>
      <c r="C35" s="7"/>
      <c r="D35" s="7"/>
      <c r="E35" s="7"/>
      <c r="F35" s="7"/>
      <c r="G35" s="7"/>
      <c r="H35" s="7"/>
      <c r="I35" s="7"/>
      <c r="J35" s="7"/>
      <c r="K35" s="7"/>
      <c r="L35" s="7"/>
      <c r="M35" s="7"/>
      <c r="N35" s="7"/>
      <c r="O35" s="7"/>
      <c r="P35" s="7"/>
    </row>
    <row r="36" spans="1:16" x14ac:dyDescent="0.2">
      <c r="A36" s="7"/>
      <c r="B36" s="7"/>
      <c r="C36" s="7"/>
      <c r="D36" s="7"/>
      <c r="E36" s="7"/>
      <c r="F36" s="7"/>
      <c r="G36" s="7"/>
      <c r="H36" s="7"/>
      <c r="I36" s="7"/>
      <c r="J36" s="7"/>
      <c r="K36" s="7"/>
      <c r="L36" s="7"/>
      <c r="M36" s="7"/>
      <c r="N36" s="7"/>
      <c r="O36" s="7"/>
      <c r="P36" s="7"/>
    </row>
    <row r="37" spans="1:16" x14ac:dyDescent="0.2">
      <c r="A37" s="7"/>
      <c r="B37" s="7"/>
      <c r="C37" s="7"/>
      <c r="D37" s="7"/>
      <c r="E37" s="7"/>
      <c r="F37" s="7"/>
      <c r="G37" s="7"/>
      <c r="H37" s="7"/>
      <c r="I37" s="7"/>
      <c r="J37" s="7"/>
      <c r="K37" s="7"/>
      <c r="L37" s="7"/>
      <c r="M37" s="7"/>
      <c r="N37" s="7"/>
      <c r="O37" s="7"/>
      <c r="P37" s="7"/>
    </row>
    <row r="38" spans="1:16" x14ac:dyDescent="0.2">
      <c r="A38" s="7"/>
      <c r="B38" s="7"/>
      <c r="C38" s="7"/>
      <c r="D38" s="7"/>
      <c r="E38" s="7"/>
      <c r="F38" s="7"/>
      <c r="G38" s="7"/>
      <c r="H38" s="7"/>
      <c r="I38" s="7"/>
      <c r="J38" s="7"/>
      <c r="K38" s="7"/>
      <c r="L38" s="7"/>
      <c r="M38" s="7"/>
      <c r="N38" s="7"/>
      <c r="O38" s="7"/>
      <c r="P38" s="7"/>
    </row>
    <row r="39" spans="1:16" x14ac:dyDescent="0.2">
      <c r="A39" s="7"/>
      <c r="B39" s="7"/>
      <c r="C39" s="7"/>
      <c r="D39" s="7"/>
      <c r="E39" s="7"/>
      <c r="F39" s="7"/>
      <c r="G39" s="7"/>
      <c r="H39" s="7"/>
      <c r="I39" s="7"/>
      <c r="J39" s="7"/>
      <c r="K39" s="7"/>
      <c r="L39" s="7"/>
      <c r="M39" s="7"/>
      <c r="N39" s="7"/>
      <c r="O39" s="7"/>
      <c r="P39" s="7"/>
    </row>
    <row r="40" spans="1:16" x14ac:dyDescent="0.2">
      <c r="A40" s="7"/>
      <c r="B40" s="7"/>
      <c r="C40" s="7"/>
      <c r="D40" s="7"/>
      <c r="E40" s="7"/>
      <c r="F40" s="7"/>
      <c r="G40" s="7"/>
      <c r="H40" s="7"/>
      <c r="I40" s="7"/>
      <c r="J40" s="7"/>
      <c r="K40" s="7"/>
      <c r="L40" s="7"/>
      <c r="M40" s="7"/>
      <c r="N40" s="7"/>
      <c r="O40" s="7"/>
      <c r="P40" s="7"/>
    </row>
    <row r="41" spans="1:16" x14ac:dyDescent="0.2">
      <c r="A41" s="7"/>
      <c r="B41" s="7"/>
      <c r="C41" s="7"/>
      <c r="D41" s="7"/>
      <c r="E41" s="7"/>
      <c r="F41" s="7"/>
      <c r="G41" s="7"/>
      <c r="H41" s="7"/>
      <c r="I41" s="7"/>
      <c r="J41" s="7"/>
      <c r="K41" s="7"/>
      <c r="L41" s="7"/>
      <c r="M41" s="7"/>
      <c r="N41" s="7"/>
      <c r="O41" s="7"/>
      <c r="P41" s="7"/>
    </row>
    <row r="42" spans="1:16" x14ac:dyDescent="0.2">
      <c r="A42" s="7"/>
      <c r="B42" s="7"/>
      <c r="C42" s="7"/>
      <c r="D42" s="7"/>
      <c r="E42" s="7"/>
      <c r="F42" s="7"/>
      <c r="G42" s="7"/>
      <c r="H42" s="7"/>
      <c r="I42" s="7"/>
      <c r="J42" s="7"/>
      <c r="K42" s="7"/>
      <c r="L42" s="7"/>
      <c r="M42" s="7"/>
      <c r="N42" s="7"/>
      <c r="O42" s="7"/>
      <c r="P42" s="7"/>
    </row>
    <row r="43" spans="1:16" x14ac:dyDescent="0.2">
      <c r="A43" s="7"/>
      <c r="B43" s="7"/>
      <c r="C43" s="7"/>
      <c r="D43" s="7"/>
      <c r="E43" s="7"/>
      <c r="F43" s="7"/>
      <c r="G43" s="7"/>
      <c r="H43" s="7"/>
      <c r="I43" s="7"/>
      <c r="J43" s="7"/>
      <c r="K43" s="7"/>
      <c r="L43" s="7"/>
      <c r="M43" s="7"/>
      <c r="N43" s="7"/>
      <c r="O43" s="7"/>
      <c r="P43" s="7"/>
    </row>
    <row r="44" spans="1:16" x14ac:dyDescent="0.2">
      <c r="A44" s="7"/>
      <c r="B44" s="7"/>
      <c r="C44" s="7"/>
      <c r="D44" s="7"/>
      <c r="E44" s="7"/>
      <c r="F44" s="7"/>
      <c r="G44" s="7"/>
      <c r="H44" s="7"/>
      <c r="I44" s="7"/>
      <c r="J44" s="7"/>
      <c r="K44" s="7"/>
      <c r="L44" s="7"/>
      <c r="M44" s="7"/>
      <c r="N44" s="7"/>
      <c r="O44" s="7"/>
      <c r="P44" s="7"/>
    </row>
    <row r="45" spans="1:16" x14ac:dyDescent="0.2">
      <c r="A45" s="7"/>
      <c r="B45" s="7"/>
      <c r="C45" s="7"/>
      <c r="D45" s="7"/>
      <c r="E45" s="7"/>
      <c r="F45" s="7"/>
      <c r="G45" s="7"/>
      <c r="H45" s="7"/>
      <c r="I45" s="7"/>
      <c r="J45" s="7"/>
      <c r="K45" s="7"/>
      <c r="L45" s="7"/>
      <c r="M45" s="7"/>
      <c r="N45" s="7"/>
      <c r="O45" s="7"/>
      <c r="P45" s="7"/>
    </row>
    <row r="46" spans="1:16" x14ac:dyDescent="0.2">
      <c r="A46" s="7"/>
      <c r="B46" s="7"/>
      <c r="C46" s="7"/>
      <c r="D46" s="7"/>
      <c r="E46" s="7"/>
      <c r="F46" s="7"/>
      <c r="G46" s="7"/>
      <c r="H46" s="7"/>
      <c r="I46" s="7"/>
      <c r="J46" s="7"/>
      <c r="K46" s="7"/>
      <c r="L46" s="7"/>
      <c r="M46" s="7"/>
      <c r="N46" s="7"/>
      <c r="O46" s="7"/>
      <c r="P46" s="7"/>
    </row>
    <row r="47" spans="1:16" x14ac:dyDescent="0.2">
      <c r="A47" s="7"/>
      <c r="B47" s="7"/>
      <c r="C47" s="7"/>
      <c r="D47" s="7"/>
      <c r="E47" s="7"/>
      <c r="F47" s="7"/>
      <c r="G47" s="7"/>
      <c r="H47" s="7"/>
      <c r="I47" s="7"/>
      <c r="J47" s="7"/>
      <c r="K47" s="7"/>
      <c r="L47" s="7"/>
      <c r="M47" s="7"/>
      <c r="N47" s="7"/>
      <c r="O47" s="7"/>
      <c r="P47" s="7"/>
    </row>
    <row r="48" spans="1:16" x14ac:dyDescent="0.2">
      <c r="A48" s="7"/>
      <c r="B48" s="7"/>
      <c r="C48" s="7"/>
      <c r="D48" s="7"/>
      <c r="E48" s="7"/>
      <c r="F48" s="7"/>
      <c r="G48" s="7"/>
      <c r="H48" s="7"/>
      <c r="I48" s="7"/>
      <c r="J48" s="7"/>
      <c r="K48" s="7"/>
      <c r="L48" s="7"/>
      <c r="M48" s="7"/>
      <c r="N48" s="7"/>
      <c r="O48" s="7"/>
      <c r="P48" s="7"/>
    </row>
    <row r="49" spans="1:16" x14ac:dyDescent="0.2">
      <c r="A49" s="7"/>
      <c r="B49" s="7"/>
      <c r="C49" s="7"/>
      <c r="D49" s="7"/>
      <c r="E49" s="7"/>
      <c r="F49" s="7"/>
      <c r="G49" s="7"/>
      <c r="H49" s="7"/>
      <c r="I49" s="7"/>
      <c r="J49" s="7"/>
      <c r="K49" s="7"/>
      <c r="L49" s="7"/>
      <c r="M49" s="7"/>
      <c r="N49" s="7"/>
      <c r="O49" s="7"/>
      <c r="P49" s="7"/>
    </row>
    <row r="50" spans="1:16" x14ac:dyDescent="0.2">
      <c r="A50" s="7"/>
      <c r="B50" s="7"/>
      <c r="C50" s="7"/>
      <c r="D50" s="7"/>
      <c r="E50" s="7"/>
      <c r="F50" s="7"/>
      <c r="G50" s="7"/>
      <c r="H50" s="7"/>
      <c r="I50" s="7"/>
      <c r="J50" s="7"/>
      <c r="K50" s="7"/>
      <c r="L50" s="7"/>
      <c r="M50" s="7"/>
      <c r="N50" s="7"/>
      <c r="O50" s="7"/>
      <c r="P50" s="7"/>
    </row>
    <row r="51" spans="1:16" x14ac:dyDescent="0.2">
      <c r="A51" s="7"/>
      <c r="B51" s="7"/>
      <c r="C51" s="7"/>
      <c r="D51" s="7"/>
      <c r="E51" s="7"/>
      <c r="F51" s="7"/>
      <c r="G51" s="7"/>
      <c r="H51" s="7"/>
      <c r="I51" s="7"/>
      <c r="J51" s="7"/>
      <c r="K51" s="7"/>
      <c r="L51" s="7"/>
      <c r="M51" s="7"/>
      <c r="N51" s="7"/>
      <c r="O51" s="7"/>
      <c r="P51" s="7"/>
    </row>
    <row r="52" spans="1:16" x14ac:dyDescent="0.2">
      <c r="A52" s="7"/>
      <c r="B52" s="7"/>
      <c r="C52" s="7"/>
      <c r="D52" s="7"/>
      <c r="E52" s="7"/>
      <c r="F52" s="7"/>
      <c r="G52" s="7"/>
      <c r="H52" s="7"/>
      <c r="I52" s="7"/>
      <c r="J52" s="7"/>
      <c r="K52" s="7"/>
      <c r="L52" s="7"/>
      <c r="M52" s="7"/>
      <c r="N52" s="7"/>
      <c r="O52" s="7"/>
      <c r="P52" s="7"/>
    </row>
    <row r="53" spans="1:16" x14ac:dyDescent="0.2">
      <c r="A53" s="7"/>
      <c r="B53" s="7"/>
      <c r="C53" s="7"/>
      <c r="D53" s="7"/>
      <c r="E53" s="7"/>
      <c r="F53" s="7"/>
      <c r="G53" s="7"/>
      <c r="H53" s="7"/>
      <c r="I53" s="7"/>
      <c r="J53" s="7"/>
      <c r="K53" s="7"/>
      <c r="L53" s="7"/>
      <c r="M53" s="7"/>
      <c r="N53" s="7"/>
      <c r="O53" s="7"/>
      <c r="P53" s="7"/>
    </row>
    <row r="54" spans="1:16" x14ac:dyDescent="0.2">
      <c r="A54" s="7"/>
      <c r="B54" s="7"/>
      <c r="C54" s="7"/>
      <c r="D54" s="7"/>
      <c r="E54" s="7"/>
      <c r="F54" s="7"/>
      <c r="G54" s="7"/>
      <c r="H54" s="7"/>
      <c r="I54" s="7"/>
      <c r="J54" s="7"/>
      <c r="K54" s="7"/>
      <c r="L54" s="7"/>
      <c r="M54" s="7"/>
      <c r="N54" s="7"/>
      <c r="O54" s="7"/>
      <c r="P54" s="7"/>
    </row>
    <row r="55" spans="1:16" x14ac:dyDescent="0.2">
      <c r="A55" s="7"/>
      <c r="B55" s="7"/>
      <c r="C55" s="7"/>
      <c r="D55" s="7"/>
      <c r="E55" s="7"/>
      <c r="F55" s="7"/>
      <c r="G55" s="7"/>
      <c r="H55" s="7"/>
      <c r="I55" s="7"/>
      <c r="J55" s="7"/>
      <c r="K55" s="7"/>
      <c r="L55" s="7"/>
      <c r="M55" s="7"/>
      <c r="N55" s="7"/>
      <c r="O55" s="7"/>
      <c r="P55" s="7"/>
    </row>
    <row r="56" spans="1:16" x14ac:dyDescent="0.2">
      <c r="A56" s="7"/>
      <c r="B56" s="7"/>
      <c r="C56" s="7"/>
      <c r="D56" s="7"/>
      <c r="E56" s="7"/>
      <c r="F56" s="7"/>
      <c r="G56" s="7"/>
      <c r="H56" s="7"/>
      <c r="I56" s="7"/>
      <c r="J56" s="7"/>
      <c r="K56" s="7"/>
      <c r="L56" s="7"/>
      <c r="M56" s="7"/>
      <c r="N56" s="7"/>
      <c r="O56" s="7"/>
      <c r="P56" s="7"/>
    </row>
    <row r="57" spans="1:16" x14ac:dyDescent="0.2">
      <c r="A57" s="7"/>
      <c r="B57" s="7"/>
      <c r="C57" s="7"/>
      <c r="D57" s="7"/>
      <c r="E57" s="7"/>
      <c r="F57" s="7"/>
      <c r="G57" s="7"/>
      <c r="H57" s="7"/>
      <c r="I57" s="7"/>
      <c r="J57" s="7"/>
      <c r="K57" s="7"/>
      <c r="L57" s="7"/>
      <c r="M57" s="7"/>
      <c r="N57" s="7"/>
      <c r="O57" s="7"/>
      <c r="P57" s="7"/>
    </row>
    <row r="58" spans="1:16" x14ac:dyDescent="0.2">
      <c r="A58" s="7"/>
      <c r="B58" s="7"/>
      <c r="C58" s="7"/>
      <c r="D58" s="7"/>
      <c r="E58" s="7"/>
      <c r="F58" s="7"/>
      <c r="G58" s="7"/>
      <c r="H58" s="7"/>
      <c r="I58" s="7"/>
      <c r="J58" s="7"/>
      <c r="K58" s="7"/>
      <c r="L58" s="7"/>
      <c r="M58" s="7"/>
      <c r="N58" s="7"/>
      <c r="O58" s="7"/>
      <c r="P58" s="7"/>
    </row>
    <row r="59" spans="1:16" x14ac:dyDescent="0.2">
      <c r="A59" s="7"/>
      <c r="B59" s="7"/>
      <c r="C59" s="7"/>
      <c r="D59" s="7"/>
      <c r="E59" s="7"/>
      <c r="F59" s="7"/>
      <c r="G59" s="7"/>
      <c r="H59" s="7"/>
      <c r="I59" s="7"/>
      <c r="J59" s="7"/>
      <c r="K59" s="7"/>
      <c r="L59" s="7"/>
      <c r="M59" s="7"/>
      <c r="N59" s="7"/>
      <c r="O59" s="7"/>
      <c r="P59" s="7"/>
    </row>
    <row r="60" spans="1:16" x14ac:dyDescent="0.2">
      <c r="A60" s="7"/>
      <c r="B60" s="7"/>
      <c r="C60" s="7"/>
      <c r="D60" s="7"/>
      <c r="E60" s="7"/>
      <c r="F60" s="7"/>
      <c r="G60" s="7"/>
      <c r="H60" s="7"/>
      <c r="I60" s="7"/>
      <c r="J60" s="7"/>
      <c r="K60" s="7"/>
      <c r="L60" s="7"/>
      <c r="M60" s="7"/>
      <c r="N60" s="7"/>
      <c r="O60" s="7"/>
      <c r="P60" s="7"/>
    </row>
    <row r="61" spans="1:16" x14ac:dyDescent="0.2">
      <c r="A61" s="7"/>
      <c r="B61" s="7"/>
      <c r="C61" s="7"/>
      <c r="D61" s="7"/>
      <c r="E61" s="7"/>
      <c r="F61" s="7"/>
      <c r="G61" s="7"/>
      <c r="H61" s="7"/>
      <c r="I61" s="7"/>
      <c r="J61" s="7"/>
      <c r="K61" s="7"/>
      <c r="L61" s="7"/>
      <c r="M61" s="7"/>
      <c r="N61" s="7"/>
      <c r="O61" s="7"/>
      <c r="P61" s="7"/>
    </row>
    <row r="62" spans="1:16" x14ac:dyDescent="0.2">
      <c r="A62" s="7"/>
      <c r="B62" s="7"/>
      <c r="C62" s="7"/>
      <c r="D62" s="7"/>
      <c r="E62" s="7"/>
      <c r="F62" s="7"/>
      <c r="G62" s="7"/>
      <c r="H62" s="7"/>
      <c r="I62" s="7"/>
      <c r="J62" s="7"/>
      <c r="K62" s="7"/>
      <c r="L62" s="7"/>
      <c r="M62" s="7"/>
      <c r="N62" s="7"/>
      <c r="O62" s="7"/>
      <c r="P62" s="7"/>
    </row>
    <row r="63" spans="1:16" x14ac:dyDescent="0.2">
      <c r="A63" s="7"/>
      <c r="B63" s="7"/>
      <c r="C63" s="7"/>
      <c r="D63" s="7"/>
      <c r="E63" s="7"/>
      <c r="F63" s="7"/>
      <c r="G63" s="7"/>
      <c r="H63" s="7"/>
      <c r="I63" s="7"/>
      <c r="J63" s="7"/>
      <c r="K63" s="7"/>
      <c r="L63" s="7"/>
      <c r="M63" s="7"/>
      <c r="N63" s="7"/>
      <c r="O63" s="7"/>
      <c r="P63" s="7"/>
    </row>
    <row r="64" spans="1:16" x14ac:dyDescent="0.2">
      <c r="A64" s="7"/>
      <c r="B64" s="7"/>
      <c r="C64" s="7"/>
      <c r="D64" s="7"/>
      <c r="E64" s="7"/>
      <c r="F64" s="7"/>
      <c r="G64" s="7"/>
      <c r="H64" s="7"/>
      <c r="I64" s="7"/>
      <c r="J64" s="7"/>
      <c r="K64" s="7"/>
      <c r="L64" s="7"/>
      <c r="M64" s="7"/>
      <c r="N64" s="7"/>
      <c r="O64" s="7"/>
      <c r="P64" s="7"/>
    </row>
    <row r="65" spans="1:16" x14ac:dyDescent="0.2">
      <c r="A65" s="7"/>
      <c r="B65" s="7"/>
      <c r="C65" s="7"/>
      <c r="D65" s="7"/>
      <c r="E65" s="7"/>
      <c r="F65" s="7"/>
      <c r="G65" s="7"/>
      <c r="H65" s="7"/>
      <c r="I65" s="7"/>
      <c r="J65" s="7"/>
      <c r="K65" s="7"/>
      <c r="L65" s="7"/>
      <c r="M65" s="7"/>
      <c r="N65" s="7"/>
      <c r="O65" s="7"/>
      <c r="P65" s="7"/>
    </row>
    <row r="66" spans="1:16" x14ac:dyDescent="0.2">
      <c r="A66" s="7"/>
      <c r="B66" s="7"/>
      <c r="C66" s="7"/>
      <c r="D66" s="7"/>
      <c r="E66" s="7"/>
      <c r="F66" s="7"/>
      <c r="G66" s="7"/>
      <c r="H66" s="7"/>
      <c r="I66" s="7"/>
      <c r="J66" s="7"/>
      <c r="K66" s="7"/>
      <c r="L66" s="7"/>
      <c r="M66" s="7"/>
      <c r="N66" s="7"/>
      <c r="O66" s="7"/>
      <c r="P66" s="7"/>
    </row>
    <row r="67" spans="1:16" x14ac:dyDescent="0.2">
      <c r="A67" s="7"/>
      <c r="B67" s="7"/>
      <c r="C67" s="7"/>
      <c r="D67" s="7"/>
      <c r="E67" s="7"/>
      <c r="F67" s="7"/>
      <c r="G67" s="7"/>
      <c r="H67" s="7"/>
      <c r="I67" s="7"/>
      <c r="J67" s="7"/>
      <c r="K67" s="7"/>
      <c r="L67" s="7"/>
      <c r="M67" s="7"/>
      <c r="N67" s="7"/>
      <c r="O67" s="7"/>
      <c r="P67" s="7"/>
    </row>
    <row r="68" spans="1:16" x14ac:dyDescent="0.2">
      <c r="A68" s="7"/>
      <c r="B68" s="7"/>
      <c r="C68" s="7"/>
      <c r="D68" s="7"/>
      <c r="E68" s="7"/>
      <c r="F68" s="7"/>
      <c r="G68" s="7"/>
      <c r="H68" s="7"/>
      <c r="I68" s="7"/>
      <c r="J68" s="7"/>
      <c r="K68" s="7"/>
      <c r="L68" s="7"/>
      <c r="M68" s="7"/>
      <c r="N68" s="7"/>
      <c r="O68" s="7"/>
      <c r="P68" s="7"/>
    </row>
    <row r="69" spans="1:16" x14ac:dyDescent="0.2">
      <c r="A69" s="7"/>
      <c r="B69" s="7"/>
      <c r="C69" s="7"/>
      <c r="D69" s="7"/>
      <c r="E69" s="7"/>
      <c r="F69" s="7"/>
      <c r="G69" s="7"/>
      <c r="H69" s="7"/>
      <c r="I69" s="7"/>
      <c r="J69" s="7"/>
      <c r="K69" s="7"/>
      <c r="L69" s="7"/>
      <c r="M69" s="7"/>
      <c r="N69" s="7"/>
      <c r="O69" s="7"/>
      <c r="P69" s="7"/>
    </row>
    <row r="70" spans="1:16" x14ac:dyDescent="0.2">
      <c r="A70" s="7"/>
      <c r="B70" s="7"/>
      <c r="C70" s="7"/>
      <c r="D70" s="7"/>
      <c r="E70" s="7"/>
      <c r="F70" s="7"/>
      <c r="G70" s="7"/>
      <c r="H70" s="7"/>
      <c r="I70" s="7"/>
      <c r="J70" s="7"/>
      <c r="K70" s="7"/>
      <c r="L70" s="7"/>
      <c r="M70" s="7"/>
      <c r="N70" s="7"/>
      <c r="O70" s="7"/>
      <c r="P70" s="7"/>
    </row>
    <row r="71" spans="1:16" x14ac:dyDescent="0.2">
      <c r="A71" s="7"/>
      <c r="B71" s="7"/>
      <c r="C71" s="7"/>
      <c r="D71" s="7"/>
      <c r="E71" s="7"/>
      <c r="F71" s="7"/>
      <c r="G71" s="7"/>
      <c r="H71" s="7"/>
      <c r="I71" s="7"/>
      <c r="J71" s="7"/>
      <c r="K71" s="7"/>
      <c r="L71" s="7"/>
      <c r="M71" s="7"/>
      <c r="N71" s="7"/>
      <c r="O71" s="7"/>
      <c r="P71" s="7"/>
    </row>
    <row r="72" spans="1:16" x14ac:dyDescent="0.2">
      <c r="A72" s="7"/>
      <c r="B72" s="7"/>
      <c r="C72" s="7"/>
      <c r="D72" s="7"/>
      <c r="E72" s="7"/>
      <c r="F72" s="7"/>
      <c r="G72" s="7"/>
      <c r="H72" s="7"/>
      <c r="I72" s="7"/>
      <c r="J72" s="7"/>
      <c r="K72" s="7"/>
      <c r="L72" s="7"/>
      <c r="M72" s="7"/>
      <c r="N72" s="7"/>
      <c r="O72" s="7"/>
      <c r="P72" s="7"/>
    </row>
    <row r="73" spans="1:16" x14ac:dyDescent="0.2">
      <c r="A73" s="7"/>
      <c r="B73" s="7"/>
      <c r="C73" s="7"/>
      <c r="D73" s="7"/>
      <c r="E73" s="7"/>
      <c r="F73" s="7"/>
      <c r="G73" s="7"/>
      <c r="H73" s="7"/>
      <c r="I73" s="7"/>
      <c r="J73" s="7"/>
      <c r="K73" s="7"/>
      <c r="L73" s="7"/>
      <c r="M73" s="7"/>
      <c r="N73" s="7"/>
      <c r="O73" s="7"/>
      <c r="P73" s="7"/>
    </row>
    <row r="74" spans="1:16" x14ac:dyDescent="0.2">
      <c r="A74" s="7"/>
      <c r="B74" s="7"/>
      <c r="C74" s="7"/>
      <c r="D74" s="7"/>
      <c r="E74" s="7"/>
      <c r="F74" s="7"/>
      <c r="G74" s="7"/>
      <c r="H74" s="7"/>
      <c r="I74" s="7"/>
      <c r="J74" s="7"/>
      <c r="K74" s="7"/>
      <c r="L74" s="7"/>
      <c r="M74" s="7"/>
      <c r="N74" s="7"/>
      <c r="O74" s="7"/>
      <c r="P74" s="7"/>
    </row>
    <row r="75" spans="1:16" x14ac:dyDescent="0.2">
      <c r="A75" s="7"/>
      <c r="B75" s="7"/>
      <c r="C75" s="7"/>
      <c r="D75" s="7"/>
      <c r="E75" s="7"/>
      <c r="F75" s="7"/>
      <c r="G75" s="7"/>
      <c r="H75" s="7"/>
      <c r="I75" s="7"/>
      <c r="J75" s="7"/>
      <c r="K75" s="7"/>
      <c r="L75" s="7"/>
      <c r="M75" s="7"/>
      <c r="N75" s="7"/>
      <c r="O75" s="7"/>
      <c r="P75" s="7"/>
    </row>
    <row r="76" spans="1:16" x14ac:dyDescent="0.2">
      <c r="A76" s="7"/>
      <c r="B76" s="7"/>
      <c r="C76" s="7"/>
      <c r="D76" s="7"/>
      <c r="E76" s="7"/>
      <c r="F76" s="7"/>
      <c r="G76" s="7"/>
      <c r="H76" s="7"/>
      <c r="I76" s="7"/>
      <c r="J76" s="7"/>
      <c r="K76" s="7"/>
      <c r="L76" s="7"/>
      <c r="M76" s="7"/>
      <c r="N76" s="7"/>
      <c r="O76" s="7"/>
      <c r="P76" s="7"/>
    </row>
    <row r="77" spans="1:16" x14ac:dyDescent="0.2">
      <c r="A77" s="7"/>
      <c r="B77" s="7"/>
      <c r="C77" s="7"/>
      <c r="D77" s="7"/>
      <c r="E77" s="7"/>
      <c r="F77" s="7"/>
      <c r="G77" s="7"/>
      <c r="H77" s="7"/>
      <c r="I77" s="7"/>
      <c r="J77" s="7"/>
      <c r="K77" s="7"/>
      <c r="L77" s="7"/>
      <c r="M77" s="7"/>
      <c r="N77" s="7"/>
      <c r="O77" s="7"/>
      <c r="P77" s="7"/>
    </row>
    <row r="78" spans="1:16" x14ac:dyDescent="0.2">
      <c r="A78" s="7"/>
      <c r="B78" s="7"/>
      <c r="C78" s="7"/>
      <c r="D78" s="7"/>
      <c r="E78" s="7"/>
      <c r="F78" s="7"/>
      <c r="G78" s="7"/>
      <c r="H78" s="7"/>
      <c r="I78" s="7"/>
      <c r="J78" s="7"/>
      <c r="K78" s="7"/>
      <c r="L78" s="7"/>
      <c r="M78" s="7"/>
      <c r="N78" s="7"/>
      <c r="O78" s="7"/>
      <c r="P78" s="7"/>
    </row>
    <row r="79" spans="1:16" x14ac:dyDescent="0.2">
      <c r="A79" s="7"/>
      <c r="B79" s="7"/>
      <c r="C79" s="7"/>
      <c r="D79" s="7"/>
      <c r="E79" s="7"/>
      <c r="F79" s="7"/>
      <c r="G79" s="7"/>
      <c r="H79" s="7"/>
      <c r="I79" s="7"/>
      <c r="J79" s="7"/>
      <c r="K79" s="7"/>
      <c r="L79" s="7"/>
      <c r="M79" s="7"/>
      <c r="N79" s="7"/>
      <c r="O79" s="7"/>
      <c r="P79" s="7"/>
    </row>
  </sheetData>
  <sheetProtection algorithmName="SHA-512" hashValue="bB/SwBpLAH1slXjNra8RZqexBD6zGqj5ed1RKcaTyUZxFqlxu/g5UabjTQF9bg+SQTlzHgL5o4yCyUJAg0vlsQ==" saltValue="vPByv0PpCRyYz/lfMpvbd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1B86-EC82-4FED-9467-ABD09240B2A5}">
  <sheetPr codeName="Sheet27">
    <tabColor theme="0" tint="-0.249977111117893"/>
  </sheetPr>
  <dimension ref="A1:P80"/>
  <sheetViews>
    <sheetView topLeftCell="A9" workbookViewId="0">
      <selection activeCell="E67" sqref="E67"/>
    </sheetView>
  </sheetViews>
  <sheetFormatPr defaultColWidth="9.28515625" defaultRowHeight="12.75" x14ac:dyDescent="0.2"/>
  <cols>
    <col min="1" max="16384" width="9.28515625" style="6"/>
  </cols>
  <sheetData>
    <row r="1" spans="1:16" ht="15.75" x14ac:dyDescent="0.25">
      <c r="A1" s="308"/>
      <c r="B1" s="308"/>
      <c r="C1" s="308"/>
    </row>
    <row r="2" spans="1:16" ht="15.75" x14ac:dyDescent="0.25">
      <c r="A2" s="25"/>
      <c r="B2" s="27"/>
      <c r="C2" s="27"/>
    </row>
    <row r="3" spans="1:16" x14ac:dyDescent="0.2">
      <c r="A3" s="10" t="s">
        <v>448</v>
      </c>
    </row>
    <row r="4" spans="1:16" x14ac:dyDescent="0.2">
      <c r="A4" s="9" t="s">
        <v>80</v>
      </c>
    </row>
    <row r="5" spans="1:16" x14ac:dyDescent="0.2">
      <c r="A5" s="8" t="str">
        <f ca="1">CELL("filename")</f>
        <v>\\lvraiders\users\sguthrie\Documents\Charter\Change of Sponsorship\[240126-SPCSA-Odyssey Charter School Application Workbook-AS-IS-Original Version.xlsx]Instructions</v>
      </c>
    </row>
    <row r="6" spans="1:16" x14ac:dyDescent="0.2">
      <c r="A6" s="7"/>
      <c r="B6" s="7"/>
      <c r="C6" s="7"/>
      <c r="D6" s="7"/>
      <c r="E6" s="7"/>
      <c r="F6" s="7"/>
      <c r="G6" s="7"/>
      <c r="H6" s="7"/>
      <c r="I6" s="7"/>
      <c r="J6" s="7"/>
      <c r="K6" s="7"/>
      <c r="L6" s="7"/>
      <c r="M6" s="7"/>
      <c r="N6" s="7"/>
      <c r="O6" s="7"/>
      <c r="P6" s="7"/>
    </row>
    <row r="7" spans="1:16" x14ac:dyDescent="0.2">
      <c r="A7" s="7"/>
      <c r="B7" s="7"/>
      <c r="C7" s="7"/>
      <c r="D7" s="7"/>
      <c r="E7" s="7"/>
      <c r="F7" s="7"/>
      <c r="G7" s="7"/>
      <c r="H7" s="7"/>
      <c r="I7" s="7"/>
      <c r="J7" s="7"/>
      <c r="K7" s="7"/>
      <c r="L7" s="7"/>
      <c r="M7" s="7"/>
      <c r="N7" s="7"/>
      <c r="O7" s="7"/>
      <c r="P7" s="7"/>
    </row>
    <row r="8" spans="1:16" x14ac:dyDescent="0.2">
      <c r="A8" s="7"/>
      <c r="B8" s="7" t="s">
        <v>1458</v>
      </c>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row r="25" spans="1:16" x14ac:dyDescent="0.2">
      <c r="A25" s="7"/>
      <c r="B25" s="7"/>
      <c r="C25" s="7"/>
      <c r="D25" s="7"/>
      <c r="E25" s="7"/>
      <c r="F25" s="7"/>
      <c r="G25" s="7"/>
      <c r="H25" s="7"/>
      <c r="I25" s="7"/>
      <c r="J25" s="7"/>
      <c r="K25" s="7"/>
      <c r="L25" s="7"/>
      <c r="M25" s="7"/>
      <c r="N25" s="7"/>
      <c r="O25" s="7"/>
      <c r="P25" s="7"/>
    </row>
    <row r="26" spans="1:16" x14ac:dyDescent="0.2">
      <c r="A26" s="7"/>
      <c r="B26" s="7"/>
      <c r="C26" s="7"/>
      <c r="D26" s="7"/>
      <c r="E26" s="7"/>
      <c r="F26" s="7"/>
      <c r="G26" s="7"/>
      <c r="H26" s="7"/>
      <c r="I26" s="7"/>
      <c r="J26" s="7"/>
      <c r="K26" s="7"/>
      <c r="L26" s="7"/>
      <c r="M26" s="7"/>
      <c r="N26" s="7"/>
      <c r="O26" s="7"/>
      <c r="P26" s="7"/>
    </row>
    <row r="27" spans="1:16" x14ac:dyDescent="0.2">
      <c r="A27" s="7"/>
      <c r="B27" s="7"/>
      <c r="C27" s="7"/>
      <c r="D27" s="7"/>
      <c r="E27" s="7"/>
      <c r="F27" s="7"/>
      <c r="G27" s="7"/>
      <c r="H27" s="7"/>
      <c r="I27" s="7"/>
      <c r="J27" s="7"/>
      <c r="K27" s="7"/>
      <c r="L27" s="7"/>
      <c r="M27" s="7"/>
      <c r="N27" s="7"/>
      <c r="O27" s="7"/>
      <c r="P27" s="7"/>
    </row>
    <row r="28" spans="1:16" x14ac:dyDescent="0.2">
      <c r="A28" s="7"/>
      <c r="B28" s="7"/>
      <c r="C28" s="7"/>
      <c r="D28" s="7"/>
      <c r="E28" s="7"/>
      <c r="F28" s="7"/>
      <c r="G28" s="7"/>
      <c r="H28" s="7"/>
      <c r="I28" s="7"/>
      <c r="J28" s="7"/>
      <c r="K28" s="7"/>
      <c r="L28" s="7"/>
      <c r="M28" s="7"/>
      <c r="N28" s="7"/>
      <c r="O28" s="7"/>
      <c r="P28" s="7"/>
    </row>
    <row r="29" spans="1:16" x14ac:dyDescent="0.2">
      <c r="A29" s="7"/>
      <c r="B29" s="7"/>
      <c r="C29" s="7"/>
      <c r="D29" s="7"/>
      <c r="E29" s="7"/>
      <c r="F29" s="7"/>
      <c r="G29" s="7"/>
      <c r="H29" s="7"/>
      <c r="I29" s="7"/>
      <c r="J29" s="7"/>
      <c r="K29" s="7"/>
      <c r="L29" s="7"/>
      <c r="M29" s="7"/>
      <c r="N29" s="7"/>
      <c r="O29" s="7"/>
      <c r="P29" s="7"/>
    </row>
    <row r="30" spans="1:16" x14ac:dyDescent="0.2">
      <c r="A30" s="7"/>
      <c r="B30" s="7"/>
      <c r="C30" s="7"/>
      <c r="D30" s="7"/>
      <c r="E30" s="7"/>
      <c r="F30" s="7"/>
      <c r="G30" s="7"/>
      <c r="H30" s="7"/>
      <c r="I30" s="7"/>
      <c r="J30" s="7"/>
      <c r="K30" s="7"/>
      <c r="L30" s="7"/>
      <c r="M30" s="7"/>
      <c r="N30" s="7"/>
      <c r="O30" s="7"/>
      <c r="P30" s="7"/>
    </row>
    <row r="31" spans="1:16" x14ac:dyDescent="0.2">
      <c r="A31" s="7"/>
      <c r="B31" s="7"/>
      <c r="C31" s="7"/>
      <c r="D31" s="7"/>
      <c r="E31" s="7"/>
      <c r="F31" s="7"/>
      <c r="G31" s="7"/>
      <c r="H31" s="7"/>
      <c r="I31" s="7"/>
      <c r="J31" s="7"/>
      <c r="K31" s="7"/>
      <c r="L31" s="7"/>
      <c r="M31" s="7"/>
      <c r="N31" s="7"/>
      <c r="O31" s="7"/>
      <c r="P31" s="7"/>
    </row>
    <row r="32" spans="1:16" x14ac:dyDescent="0.2">
      <c r="A32" s="7"/>
      <c r="B32" s="7"/>
      <c r="C32" s="7"/>
      <c r="D32" s="7"/>
      <c r="E32" s="7"/>
      <c r="F32" s="7"/>
      <c r="G32" s="7"/>
      <c r="H32" s="7"/>
      <c r="I32" s="7"/>
      <c r="J32" s="7"/>
      <c r="K32" s="7"/>
      <c r="L32" s="7"/>
      <c r="M32" s="7"/>
      <c r="N32" s="7"/>
      <c r="O32" s="7"/>
      <c r="P32" s="7"/>
    </row>
    <row r="33" spans="1:16" x14ac:dyDescent="0.2">
      <c r="A33" s="7"/>
      <c r="B33" s="7"/>
      <c r="C33" s="7"/>
      <c r="D33" s="7"/>
      <c r="E33" s="7"/>
      <c r="F33" s="7"/>
      <c r="G33" s="7"/>
      <c r="H33" s="7"/>
      <c r="I33" s="7"/>
      <c r="J33" s="7"/>
      <c r="K33" s="7"/>
      <c r="L33" s="7"/>
      <c r="M33" s="7"/>
      <c r="N33" s="7"/>
      <c r="O33" s="7"/>
      <c r="P33" s="7"/>
    </row>
    <row r="34" spans="1:16" x14ac:dyDescent="0.2">
      <c r="A34" s="7"/>
      <c r="B34" s="7"/>
      <c r="C34" s="7"/>
      <c r="D34" s="7"/>
      <c r="E34" s="7"/>
      <c r="F34" s="7"/>
      <c r="G34" s="7"/>
      <c r="H34" s="7"/>
      <c r="I34" s="7"/>
      <c r="J34" s="7"/>
      <c r="K34" s="7"/>
      <c r="L34" s="7"/>
      <c r="M34" s="7"/>
      <c r="N34" s="7"/>
      <c r="O34" s="7"/>
      <c r="P34" s="7"/>
    </row>
    <row r="35" spans="1:16" x14ac:dyDescent="0.2">
      <c r="A35" s="7"/>
      <c r="B35" s="7"/>
      <c r="C35" s="7"/>
      <c r="D35" s="7"/>
      <c r="E35" s="7"/>
      <c r="F35" s="7"/>
      <c r="G35" s="7"/>
      <c r="H35" s="7"/>
      <c r="I35" s="7"/>
      <c r="J35" s="7"/>
      <c r="K35" s="7"/>
      <c r="L35" s="7"/>
      <c r="M35" s="7"/>
      <c r="N35" s="7"/>
      <c r="O35" s="7"/>
      <c r="P35" s="7"/>
    </row>
    <row r="36" spans="1:16" x14ac:dyDescent="0.2">
      <c r="A36" s="7"/>
      <c r="B36" s="7"/>
      <c r="C36" s="7"/>
      <c r="D36" s="7"/>
      <c r="E36" s="7"/>
      <c r="F36" s="7"/>
      <c r="G36" s="7"/>
      <c r="H36" s="7"/>
      <c r="I36" s="7"/>
      <c r="J36" s="7"/>
      <c r="K36" s="7"/>
      <c r="L36" s="7"/>
      <c r="M36" s="7"/>
      <c r="N36" s="7"/>
      <c r="O36" s="7"/>
      <c r="P36" s="7"/>
    </row>
    <row r="37" spans="1:16" x14ac:dyDescent="0.2">
      <c r="A37" s="7"/>
      <c r="B37" s="7"/>
      <c r="C37" s="7"/>
      <c r="D37" s="7"/>
      <c r="E37" s="7"/>
      <c r="F37" s="7"/>
      <c r="G37" s="7"/>
      <c r="H37" s="7"/>
      <c r="I37" s="7"/>
      <c r="J37" s="7"/>
      <c r="K37" s="7"/>
      <c r="L37" s="7"/>
      <c r="M37" s="7"/>
      <c r="N37" s="7"/>
      <c r="O37" s="7"/>
      <c r="P37" s="7"/>
    </row>
    <row r="38" spans="1:16" x14ac:dyDescent="0.2">
      <c r="A38" s="7"/>
      <c r="B38" s="7"/>
      <c r="C38" s="7"/>
      <c r="D38" s="7"/>
      <c r="E38" s="7"/>
      <c r="F38" s="7"/>
      <c r="G38" s="7"/>
      <c r="H38" s="7"/>
      <c r="I38" s="7"/>
      <c r="J38" s="7"/>
      <c r="K38" s="7"/>
      <c r="L38" s="7"/>
      <c r="M38" s="7"/>
      <c r="N38" s="7"/>
      <c r="O38" s="7"/>
      <c r="P38" s="7"/>
    </row>
    <row r="39" spans="1:16" x14ac:dyDescent="0.2">
      <c r="A39" s="7"/>
      <c r="B39" s="7"/>
      <c r="C39" s="7"/>
      <c r="D39" s="7"/>
      <c r="E39" s="7"/>
      <c r="F39" s="7"/>
      <c r="G39" s="7"/>
      <c r="H39" s="7"/>
      <c r="I39" s="7"/>
      <c r="J39" s="7"/>
      <c r="K39" s="7"/>
      <c r="L39" s="7"/>
      <c r="M39" s="7"/>
      <c r="N39" s="7"/>
      <c r="O39" s="7"/>
      <c r="P39" s="7"/>
    </row>
    <row r="40" spans="1:16" x14ac:dyDescent="0.2">
      <c r="A40" s="7"/>
      <c r="B40" s="7"/>
      <c r="C40" s="7"/>
      <c r="D40" s="7"/>
      <c r="E40" s="7"/>
      <c r="F40" s="7"/>
      <c r="G40" s="7"/>
      <c r="H40" s="7"/>
      <c r="I40" s="7"/>
      <c r="J40" s="7"/>
      <c r="K40" s="7"/>
      <c r="L40" s="7"/>
      <c r="M40" s="7"/>
      <c r="N40" s="7"/>
      <c r="O40" s="7"/>
      <c r="P40" s="7"/>
    </row>
    <row r="41" spans="1:16" x14ac:dyDescent="0.2">
      <c r="A41" s="7"/>
      <c r="B41" s="7"/>
      <c r="C41" s="7"/>
      <c r="D41" s="7"/>
      <c r="E41" s="7"/>
      <c r="F41" s="7"/>
      <c r="G41" s="7"/>
      <c r="H41" s="7"/>
      <c r="I41" s="7"/>
      <c r="J41" s="7"/>
      <c r="K41" s="7"/>
      <c r="L41" s="7"/>
      <c r="M41" s="7"/>
      <c r="N41" s="7"/>
      <c r="O41" s="7"/>
      <c r="P41" s="7"/>
    </row>
    <row r="42" spans="1:16" x14ac:dyDescent="0.2">
      <c r="A42" s="7"/>
      <c r="B42" s="7"/>
      <c r="C42" s="7"/>
      <c r="D42" s="7"/>
      <c r="E42" s="7"/>
      <c r="F42" s="7"/>
      <c r="G42" s="7"/>
      <c r="H42" s="7"/>
      <c r="I42" s="7"/>
      <c r="J42" s="7"/>
      <c r="K42" s="7"/>
      <c r="L42" s="7"/>
      <c r="M42" s="7"/>
      <c r="N42" s="7"/>
      <c r="O42" s="7"/>
      <c r="P42" s="7"/>
    </row>
    <row r="43" spans="1:16" x14ac:dyDescent="0.2">
      <c r="A43" s="7"/>
      <c r="B43" s="7"/>
      <c r="C43" s="7"/>
      <c r="D43" s="7"/>
      <c r="E43" s="7"/>
      <c r="F43" s="7"/>
      <c r="G43" s="7"/>
      <c r="H43" s="7"/>
      <c r="I43" s="7"/>
      <c r="J43" s="7"/>
      <c r="K43" s="7"/>
      <c r="L43" s="7"/>
      <c r="M43" s="7"/>
      <c r="N43" s="7"/>
      <c r="O43" s="7"/>
      <c r="P43" s="7"/>
    </row>
    <row r="44" spans="1:16" x14ac:dyDescent="0.2">
      <c r="A44" s="7"/>
      <c r="B44" s="7"/>
      <c r="C44" s="7"/>
      <c r="D44" s="7"/>
      <c r="E44" s="7"/>
      <c r="F44" s="7"/>
      <c r="G44" s="7"/>
      <c r="H44" s="7"/>
      <c r="I44" s="7"/>
      <c r="J44" s="7"/>
      <c r="K44" s="7"/>
      <c r="L44" s="7"/>
      <c r="M44" s="7"/>
      <c r="N44" s="7"/>
      <c r="O44" s="7"/>
      <c r="P44" s="7"/>
    </row>
    <row r="45" spans="1:16" x14ac:dyDescent="0.2">
      <c r="A45" s="7"/>
      <c r="B45" s="7"/>
      <c r="C45" s="7"/>
      <c r="D45" s="7"/>
      <c r="E45" s="7"/>
      <c r="F45" s="7"/>
      <c r="G45" s="7"/>
      <c r="H45" s="7"/>
      <c r="I45" s="7"/>
      <c r="J45" s="7"/>
      <c r="K45" s="7"/>
      <c r="L45" s="7"/>
      <c r="M45" s="7"/>
      <c r="N45" s="7"/>
      <c r="O45" s="7"/>
      <c r="P45" s="7"/>
    </row>
    <row r="46" spans="1:16" x14ac:dyDescent="0.2">
      <c r="A46" s="7"/>
      <c r="B46" s="7"/>
      <c r="C46" s="7"/>
      <c r="D46" s="7"/>
      <c r="E46" s="7"/>
      <c r="F46" s="7"/>
      <c r="G46" s="7"/>
      <c r="H46" s="7"/>
      <c r="I46" s="7"/>
      <c r="J46" s="7"/>
      <c r="K46" s="7"/>
      <c r="L46" s="7"/>
      <c r="M46" s="7"/>
      <c r="N46" s="7"/>
      <c r="O46" s="7"/>
      <c r="P46" s="7"/>
    </row>
    <row r="47" spans="1:16" x14ac:dyDescent="0.2">
      <c r="A47" s="7"/>
      <c r="B47" s="7"/>
      <c r="C47" s="7"/>
      <c r="D47" s="7"/>
      <c r="E47" s="7"/>
      <c r="F47" s="7"/>
      <c r="G47" s="7"/>
      <c r="H47" s="7"/>
      <c r="I47" s="7"/>
      <c r="J47" s="7"/>
      <c r="K47" s="7"/>
      <c r="L47" s="7"/>
      <c r="M47" s="7"/>
      <c r="N47" s="7"/>
      <c r="O47" s="7"/>
      <c r="P47" s="7"/>
    </row>
    <row r="48" spans="1:16" x14ac:dyDescent="0.2">
      <c r="A48" s="7"/>
      <c r="B48" s="7"/>
      <c r="C48" s="7"/>
      <c r="D48" s="7"/>
      <c r="E48" s="7"/>
      <c r="F48" s="7"/>
      <c r="G48" s="7"/>
      <c r="H48" s="7"/>
      <c r="I48" s="7"/>
      <c r="J48" s="7"/>
      <c r="K48" s="7"/>
      <c r="L48" s="7"/>
      <c r="M48" s="7"/>
      <c r="N48" s="7"/>
      <c r="O48" s="7"/>
      <c r="P48" s="7"/>
    </row>
    <row r="49" spans="1:16" x14ac:dyDescent="0.2">
      <c r="A49" s="7"/>
      <c r="B49" s="7"/>
      <c r="C49" s="7"/>
      <c r="D49" s="7"/>
      <c r="E49" s="7"/>
      <c r="F49" s="7"/>
      <c r="G49" s="7"/>
      <c r="H49" s="7"/>
      <c r="I49" s="7"/>
      <c r="J49" s="7"/>
      <c r="K49" s="7"/>
      <c r="L49" s="7"/>
      <c r="M49" s="7"/>
      <c r="N49" s="7"/>
      <c r="O49" s="7"/>
      <c r="P49" s="7"/>
    </row>
    <row r="50" spans="1:16" x14ac:dyDescent="0.2">
      <c r="A50" s="7"/>
      <c r="B50" s="7"/>
      <c r="C50" s="7"/>
      <c r="D50" s="7"/>
      <c r="E50" s="7"/>
      <c r="F50" s="7"/>
      <c r="G50" s="7"/>
      <c r="H50" s="7"/>
      <c r="I50" s="7"/>
      <c r="J50" s="7"/>
      <c r="K50" s="7"/>
      <c r="L50" s="7"/>
      <c r="M50" s="7"/>
      <c r="N50" s="7"/>
      <c r="O50" s="7"/>
      <c r="P50" s="7"/>
    </row>
    <row r="51" spans="1:16" x14ac:dyDescent="0.2">
      <c r="A51" s="7"/>
      <c r="B51" s="7"/>
      <c r="C51" s="7"/>
      <c r="D51" s="7"/>
      <c r="E51" s="7"/>
      <c r="F51" s="7"/>
      <c r="G51" s="7"/>
      <c r="H51" s="7"/>
      <c r="I51" s="7"/>
      <c r="J51" s="7"/>
      <c r="K51" s="7"/>
      <c r="L51" s="7"/>
      <c r="M51" s="7"/>
      <c r="N51" s="7"/>
      <c r="O51" s="7"/>
      <c r="P51" s="7"/>
    </row>
    <row r="52" spans="1:16" x14ac:dyDescent="0.2">
      <c r="A52" s="7"/>
      <c r="B52" s="7"/>
      <c r="C52" s="7"/>
      <c r="D52" s="7"/>
      <c r="E52" s="7"/>
      <c r="F52" s="7"/>
      <c r="G52" s="7"/>
      <c r="H52" s="7"/>
      <c r="I52" s="7"/>
      <c r="J52" s="7"/>
      <c r="K52" s="7"/>
      <c r="L52" s="7"/>
      <c r="M52" s="7"/>
      <c r="N52" s="7"/>
      <c r="O52" s="7"/>
      <c r="P52" s="7"/>
    </row>
    <row r="53" spans="1:16" x14ac:dyDescent="0.2">
      <c r="A53" s="7"/>
      <c r="B53" s="7"/>
      <c r="C53" s="7"/>
      <c r="D53" s="7"/>
      <c r="E53" s="7"/>
      <c r="F53" s="7"/>
      <c r="G53" s="7"/>
      <c r="H53" s="7"/>
      <c r="I53" s="7"/>
      <c r="J53" s="7"/>
      <c r="K53" s="7"/>
      <c r="L53" s="7"/>
      <c r="M53" s="7"/>
      <c r="N53" s="7"/>
      <c r="O53" s="7"/>
      <c r="P53" s="7"/>
    </row>
    <row r="54" spans="1:16" x14ac:dyDescent="0.2">
      <c r="A54" s="7"/>
      <c r="B54" s="7"/>
      <c r="C54" s="7"/>
      <c r="D54" s="7"/>
      <c r="E54" s="7"/>
      <c r="F54" s="7"/>
      <c r="G54" s="7"/>
      <c r="H54" s="7"/>
      <c r="I54" s="7"/>
      <c r="J54" s="7"/>
      <c r="K54" s="7"/>
      <c r="L54" s="7"/>
      <c r="M54" s="7"/>
      <c r="N54" s="7"/>
      <c r="O54" s="7"/>
      <c r="P54" s="7"/>
    </row>
    <row r="55" spans="1:16" x14ac:dyDescent="0.2">
      <c r="A55" s="7"/>
      <c r="B55" s="7"/>
      <c r="C55" s="7"/>
      <c r="D55" s="7"/>
      <c r="E55" s="7"/>
      <c r="F55" s="7"/>
      <c r="G55" s="7"/>
      <c r="H55" s="7"/>
      <c r="I55" s="7"/>
      <c r="J55" s="7"/>
      <c r="K55" s="7"/>
      <c r="L55" s="7"/>
      <c r="M55" s="7"/>
      <c r="N55" s="7"/>
      <c r="O55" s="7"/>
      <c r="P55" s="7"/>
    </row>
    <row r="56" spans="1:16" x14ac:dyDescent="0.2">
      <c r="A56" s="7"/>
      <c r="B56" s="7"/>
      <c r="C56" s="7"/>
      <c r="D56" s="7"/>
      <c r="E56" s="7"/>
      <c r="F56" s="7"/>
      <c r="G56" s="7"/>
      <c r="H56" s="7"/>
      <c r="I56" s="7"/>
      <c r="J56" s="7"/>
      <c r="K56" s="7"/>
      <c r="L56" s="7"/>
      <c r="M56" s="7"/>
      <c r="N56" s="7"/>
      <c r="O56" s="7"/>
      <c r="P56" s="7"/>
    </row>
    <row r="57" spans="1:16" x14ac:dyDescent="0.2">
      <c r="A57" s="7"/>
      <c r="B57" s="7"/>
      <c r="C57" s="7"/>
      <c r="D57" s="7"/>
      <c r="E57" s="7"/>
      <c r="F57" s="7"/>
      <c r="G57" s="7"/>
      <c r="H57" s="7"/>
      <c r="I57" s="7"/>
      <c r="J57" s="7"/>
      <c r="K57" s="7"/>
      <c r="L57" s="7"/>
      <c r="M57" s="7"/>
      <c r="N57" s="7"/>
      <c r="O57" s="7"/>
      <c r="P57" s="7"/>
    </row>
    <row r="58" spans="1:16" x14ac:dyDescent="0.2">
      <c r="A58" s="7"/>
      <c r="B58" s="7"/>
      <c r="C58" s="7"/>
      <c r="D58" s="7"/>
      <c r="E58" s="7"/>
      <c r="F58" s="7"/>
      <c r="G58" s="7"/>
      <c r="H58" s="7"/>
      <c r="I58" s="7"/>
      <c r="J58" s="7"/>
      <c r="K58" s="7"/>
      <c r="L58" s="7"/>
      <c r="M58" s="7"/>
      <c r="N58" s="7"/>
      <c r="O58" s="7"/>
      <c r="P58" s="7"/>
    </row>
    <row r="59" spans="1:16" x14ac:dyDescent="0.2">
      <c r="A59" s="7"/>
      <c r="B59" s="7"/>
      <c r="C59" s="7"/>
      <c r="D59" s="7"/>
      <c r="E59" s="7"/>
      <c r="F59" s="7"/>
      <c r="G59" s="7"/>
      <c r="H59" s="7"/>
      <c r="I59" s="7"/>
      <c r="J59" s="7"/>
      <c r="K59" s="7"/>
      <c r="L59" s="7"/>
      <c r="M59" s="7"/>
      <c r="N59" s="7"/>
      <c r="O59" s="7"/>
      <c r="P59" s="7"/>
    </row>
    <row r="60" spans="1:16" x14ac:dyDescent="0.2">
      <c r="A60" s="7"/>
      <c r="B60" s="7"/>
      <c r="C60" s="7"/>
      <c r="D60" s="7"/>
      <c r="E60" s="7"/>
      <c r="F60" s="7"/>
      <c r="G60" s="7"/>
      <c r="H60" s="7"/>
      <c r="I60" s="7"/>
      <c r="J60" s="7"/>
      <c r="K60" s="7"/>
      <c r="L60" s="7"/>
      <c r="M60" s="7"/>
      <c r="N60" s="7"/>
      <c r="O60" s="7"/>
      <c r="P60" s="7"/>
    </row>
    <row r="61" spans="1:16" x14ac:dyDescent="0.2">
      <c r="A61" s="7"/>
      <c r="B61" s="7"/>
      <c r="C61" s="7"/>
      <c r="D61" s="7"/>
      <c r="E61" s="7"/>
      <c r="F61" s="7"/>
      <c r="G61" s="7"/>
      <c r="H61" s="7"/>
      <c r="I61" s="7"/>
      <c r="J61" s="7"/>
      <c r="K61" s="7"/>
      <c r="L61" s="7"/>
      <c r="M61" s="7"/>
      <c r="N61" s="7"/>
      <c r="O61" s="7"/>
      <c r="P61" s="7"/>
    </row>
    <row r="62" spans="1:16" x14ac:dyDescent="0.2">
      <c r="A62" s="7"/>
      <c r="B62" s="7"/>
      <c r="C62" s="7"/>
      <c r="D62" s="7"/>
      <c r="E62" s="7"/>
      <c r="F62" s="7"/>
      <c r="G62" s="7"/>
      <c r="H62" s="7"/>
      <c r="I62" s="7"/>
      <c r="J62" s="7"/>
      <c r="K62" s="7"/>
      <c r="L62" s="7"/>
      <c r="M62" s="7"/>
      <c r="N62" s="7"/>
      <c r="O62" s="7"/>
      <c r="P62" s="7"/>
    </row>
    <row r="63" spans="1:16" x14ac:dyDescent="0.2">
      <c r="A63" s="7"/>
      <c r="B63" s="7"/>
      <c r="C63" s="7"/>
      <c r="D63" s="7"/>
      <c r="E63" s="7"/>
      <c r="F63" s="7"/>
      <c r="G63" s="7"/>
      <c r="H63" s="7"/>
      <c r="I63" s="7"/>
      <c r="J63" s="7"/>
      <c r="K63" s="7"/>
      <c r="L63" s="7"/>
      <c r="M63" s="7"/>
      <c r="N63" s="7"/>
      <c r="O63" s="7"/>
      <c r="P63" s="7"/>
    </row>
    <row r="64" spans="1:16" x14ac:dyDescent="0.2">
      <c r="A64" s="7"/>
      <c r="B64" s="7"/>
      <c r="C64" s="7"/>
      <c r="D64" s="7"/>
      <c r="E64" s="7"/>
      <c r="F64" s="7"/>
      <c r="G64" s="7"/>
      <c r="H64" s="7"/>
      <c r="I64" s="7"/>
      <c r="J64" s="7"/>
      <c r="K64" s="7"/>
      <c r="L64" s="7"/>
      <c r="M64" s="7"/>
      <c r="N64" s="7"/>
      <c r="O64" s="7"/>
      <c r="P64" s="7"/>
    </row>
    <row r="65" spans="1:16" x14ac:dyDescent="0.2">
      <c r="A65" s="7"/>
      <c r="B65" s="7"/>
      <c r="C65" s="7"/>
      <c r="D65" s="7"/>
      <c r="E65" s="7"/>
      <c r="F65" s="7"/>
      <c r="G65" s="7"/>
      <c r="H65" s="7"/>
      <c r="I65" s="7"/>
      <c r="J65" s="7"/>
      <c r="K65" s="7"/>
      <c r="L65" s="7"/>
      <c r="M65" s="7"/>
      <c r="N65" s="7"/>
      <c r="O65" s="7"/>
      <c r="P65" s="7"/>
    </row>
    <row r="66" spans="1:16" x14ac:dyDescent="0.2">
      <c r="A66" s="7"/>
      <c r="B66" s="7"/>
      <c r="C66" s="7"/>
      <c r="D66" s="7"/>
      <c r="E66" s="7"/>
      <c r="F66" s="7"/>
      <c r="G66" s="7"/>
      <c r="H66" s="7"/>
      <c r="I66" s="7"/>
      <c r="J66" s="7"/>
      <c r="K66" s="7"/>
      <c r="L66" s="7"/>
      <c r="M66" s="7"/>
      <c r="N66" s="7"/>
      <c r="O66" s="7"/>
      <c r="P66" s="7"/>
    </row>
    <row r="67" spans="1:16" x14ac:dyDescent="0.2">
      <c r="A67" s="7"/>
      <c r="B67" s="7"/>
      <c r="C67" s="7"/>
      <c r="D67" s="7"/>
      <c r="E67" s="7"/>
      <c r="F67" s="7"/>
      <c r="G67" s="7"/>
      <c r="H67" s="7"/>
      <c r="I67" s="7"/>
      <c r="J67" s="7"/>
      <c r="K67" s="7"/>
      <c r="L67" s="7"/>
      <c r="M67" s="7"/>
      <c r="N67" s="7"/>
      <c r="O67" s="7"/>
      <c r="P67" s="7"/>
    </row>
    <row r="68" spans="1:16" x14ac:dyDescent="0.2">
      <c r="A68" s="7"/>
      <c r="B68" s="7"/>
      <c r="C68" s="7"/>
      <c r="D68" s="7"/>
      <c r="E68" s="7"/>
      <c r="F68" s="7"/>
      <c r="G68" s="7"/>
      <c r="H68" s="7"/>
      <c r="I68" s="7"/>
      <c r="J68" s="7"/>
      <c r="K68" s="7"/>
      <c r="L68" s="7"/>
      <c r="M68" s="7"/>
      <c r="N68" s="7"/>
      <c r="O68" s="7"/>
      <c r="P68" s="7"/>
    </row>
    <row r="69" spans="1:16" x14ac:dyDescent="0.2">
      <c r="A69" s="7"/>
      <c r="B69" s="7"/>
      <c r="C69" s="7"/>
      <c r="D69" s="7"/>
      <c r="E69" s="7"/>
      <c r="F69" s="7"/>
      <c r="G69" s="7"/>
      <c r="H69" s="7"/>
      <c r="I69" s="7"/>
      <c r="J69" s="7"/>
      <c r="K69" s="7"/>
      <c r="L69" s="7"/>
      <c r="M69" s="7"/>
      <c r="N69" s="7"/>
      <c r="O69" s="7"/>
      <c r="P69" s="7"/>
    </row>
    <row r="70" spans="1:16" x14ac:dyDescent="0.2">
      <c r="A70" s="7"/>
      <c r="B70" s="7"/>
      <c r="C70" s="7"/>
      <c r="D70" s="7"/>
      <c r="E70" s="7"/>
      <c r="F70" s="7"/>
      <c r="G70" s="7"/>
      <c r="H70" s="7"/>
      <c r="I70" s="7"/>
      <c r="J70" s="7"/>
      <c r="K70" s="7"/>
      <c r="L70" s="7"/>
      <c r="M70" s="7"/>
      <c r="N70" s="7"/>
      <c r="O70" s="7"/>
      <c r="P70" s="7"/>
    </row>
    <row r="71" spans="1:16" x14ac:dyDescent="0.2">
      <c r="A71" s="7"/>
      <c r="B71" s="7"/>
      <c r="C71" s="7"/>
      <c r="D71" s="7"/>
      <c r="E71" s="7"/>
      <c r="F71" s="7"/>
      <c r="G71" s="7"/>
      <c r="H71" s="7"/>
      <c r="I71" s="7"/>
      <c r="J71" s="7"/>
      <c r="K71" s="7"/>
      <c r="L71" s="7"/>
      <c r="M71" s="7"/>
      <c r="N71" s="7"/>
      <c r="O71" s="7"/>
      <c r="P71" s="7"/>
    </row>
    <row r="72" spans="1:16" x14ac:dyDescent="0.2">
      <c r="A72" s="7"/>
      <c r="B72" s="7"/>
      <c r="C72" s="7"/>
      <c r="D72" s="7"/>
      <c r="E72" s="7"/>
      <c r="F72" s="7"/>
      <c r="G72" s="7"/>
      <c r="H72" s="7"/>
      <c r="I72" s="7"/>
      <c r="J72" s="7"/>
      <c r="K72" s="7"/>
      <c r="L72" s="7"/>
      <c r="M72" s="7"/>
      <c r="N72" s="7"/>
      <c r="O72" s="7"/>
      <c r="P72" s="7"/>
    </row>
    <row r="73" spans="1:16" x14ac:dyDescent="0.2">
      <c r="A73" s="7"/>
      <c r="B73" s="7"/>
      <c r="C73" s="7"/>
      <c r="D73" s="7"/>
      <c r="E73" s="7"/>
      <c r="F73" s="7"/>
      <c r="G73" s="7"/>
      <c r="H73" s="7"/>
      <c r="I73" s="7"/>
      <c r="J73" s="7"/>
      <c r="K73" s="7"/>
      <c r="L73" s="7"/>
      <c r="M73" s="7"/>
      <c r="N73" s="7"/>
      <c r="O73" s="7"/>
      <c r="P73" s="7"/>
    </row>
    <row r="74" spans="1:16" x14ac:dyDescent="0.2">
      <c r="A74" s="7"/>
      <c r="B74" s="7"/>
      <c r="C74" s="7"/>
      <c r="D74" s="7"/>
      <c r="E74" s="7"/>
      <c r="F74" s="7"/>
      <c r="G74" s="7"/>
      <c r="H74" s="7"/>
      <c r="I74" s="7"/>
      <c r="J74" s="7"/>
      <c r="K74" s="7"/>
      <c r="L74" s="7"/>
      <c r="M74" s="7"/>
      <c r="N74" s="7"/>
      <c r="O74" s="7"/>
      <c r="P74" s="7"/>
    </row>
    <row r="75" spans="1:16" x14ac:dyDescent="0.2">
      <c r="A75" s="7"/>
      <c r="B75" s="7"/>
      <c r="C75" s="7"/>
      <c r="D75" s="7"/>
      <c r="E75" s="7"/>
      <c r="F75" s="7"/>
      <c r="G75" s="7"/>
      <c r="H75" s="7"/>
      <c r="I75" s="7"/>
      <c r="J75" s="7"/>
      <c r="K75" s="7"/>
      <c r="L75" s="7"/>
      <c r="M75" s="7"/>
      <c r="N75" s="7"/>
      <c r="O75" s="7"/>
      <c r="P75" s="7"/>
    </row>
    <row r="76" spans="1:16" x14ac:dyDescent="0.2">
      <c r="A76" s="7"/>
      <c r="B76" s="7"/>
      <c r="C76" s="7"/>
      <c r="D76" s="7"/>
      <c r="E76" s="7"/>
      <c r="F76" s="7"/>
      <c r="G76" s="7"/>
      <c r="H76" s="7"/>
      <c r="I76" s="7"/>
      <c r="J76" s="7"/>
      <c r="K76" s="7"/>
      <c r="L76" s="7"/>
      <c r="M76" s="7"/>
      <c r="N76" s="7"/>
      <c r="O76" s="7"/>
      <c r="P76" s="7"/>
    </row>
    <row r="77" spans="1:16" x14ac:dyDescent="0.2">
      <c r="A77" s="7"/>
      <c r="B77" s="7"/>
      <c r="C77" s="7"/>
      <c r="D77" s="7"/>
      <c r="E77" s="7"/>
      <c r="F77" s="7"/>
      <c r="G77" s="7"/>
      <c r="H77" s="7"/>
      <c r="I77" s="7"/>
      <c r="J77" s="7"/>
      <c r="K77" s="7"/>
      <c r="L77" s="7"/>
      <c r="M77" s="7"/>
      <c r="N77" s="7"/>
      <c r="O77" s="7"/>
      <c r="P77" s="7"/>
    </row>
    <row r="78" spans="1:16" x14ac:dyDescent="0.2">
      <c r="A78" s="7"/>
      <c r="B78" s="7"/>
      <c r="C78" s="7"/>
      <c r="D78" s="7"/>
      <c r="E78" s="7"/>
      <c r="F78" s="7"/>
      <c r="G78" s="7"/>
      <c r="H78" s="7"/>
      <c r="I78" s="7"/>
      <c r="J78" s="7"/>
      <c r="K78" s="7"/>
      <c r="L78" s="7"/>
      <c r="M78" s="7"/>
      <c r="N78" s="7"/>
      <c r="O78" s="7"/>
      <c r="P78" s="7"/>
    </row>
    <row r="79" spans="1:16" x14ac:dyDescent="0.2">
      <c r="A79" s="7"/>
      <c r="B79" s="7"/>
      <c r="C79" s="7"/>
      <c r="D79" s="7"/>
      <c r="E79" s="7"/>
      <c r="F79" s="7"/>
      <c r="G79" s="7"/>
      <c r="H79" s="7"/>
      <c r="I79" s="7"/>
      <c r="J79" s="7"/>
      <c r="K79" s="7"/>
      <c r="L79" s="7"/>
      <c r="M79" s="7"/>
      <c r="N79" s="7"/>
      <c r="O79" s="7"/>
      <c r="P79" s="7"/>
    </row>
    <row r="80" spans="1:16" x14ac:dyDescent="0.2">
      <c r="A80" s="7"/>
      <c r="B80" s="7"/>
      <c r="C80" s="7"/>
      <c r="D80" s="7"/>
      <c r="E80" s="7"/>
      <c r="F80" s="7"/>
      <c r="G80" s="7"/>
      <c r="H80" s="7"/>
      <c r="I80" s="7"/>
      <c r="J80" s="7"/>
      <c r="K80" s="7"/>
      <c r="L80" s="7"/>
      <c r="M80" s="7"/>
      <c r="N80" s="7"/>
      <c r="O80" s="7"/>
      <c r="P80" s="7"/>
    </row>
  </sheetData>
  <sheetProtection algorithmName="SHA-512" hashValue="AqPC546tTP1xfr2fv45fVKq/AexAnK/clMfPinnuvOIgRXpSN8hSgTU9VfFxfTLQN9T0UNHU08LFRnQqjPkRFA==" saltValue="CucexEYLI/dleukGDuOLWw=="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7" ma:contentTypeDescription="Create a new document." ma:contentTypeScope="" ma:versionID="a461ea5d2484736acc45bfcb9cf30d18">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8247d748e6d79b0805e49deee670f41f"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NOC_x002d_FIP"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Time"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C_x002d_FIP" ma:index="29" nillable="true" ma:displayName="NOC-FIP" ma:description="School received or is continuing under a Notice Of Concern (NOC) or is required to submit a Financial Improvement Plan (FIP)" ma:format="Dropdown" ma:internalName="NOC_x002d_FIP">
      <xsd:simpleType>
        <xsd:restriction base="dms:Text">
          <xsd:maxLength value="255"/>
        </xsd:restriction>
      </xsd:simpleType>
    </xsd:element>
    <xsd:element name="DateTimeMod" ma:index="30" nillable="true" ma:displayName="Date &amp; Time Mod" ma:format="DateTime" ma:internalName="DateTimeMo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TaxCatchAll xmlns="9224003f-e6e7-470a-941a-44de56618887" xsi:nil="true"/>
    <lcf76f155ced4ddcb4097134ff3c332f xmlns="edb173ee-3fb8-4f75-bf43-79a22ca96f2e">
      <Terms xmlns="http://schemas.microsoft.com/office/infopath/2007/PartnerControls"/>
    </lcf76f155ced4ddcb4097134ff3c332f>
    <DateTimeMod xmlns="edb173ee-3fb8-4f75-bf43-79a22ca96f2e" xsi:nil="true"/>
    <NOC_x002d_FIP xmlns="edb173ee-3fb8-4f75-bf43-79a22ca96f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7CCC78-2948-4491-8434-9BFB18FDB44E}"/>
</file>

<file path=customXml/itemProps2.xml><?xml version="1.0" encoding="utf-8"?>
<ds:datastoreItem xmlns:ds="http://schemas.openxmlformats.org/officeDocument/2006/customXml" ds:itemID="{43D409FB-C47F-4DBF-9CFF-B7D64C5F0F2A}">
  <ds:schemaRefs>
    <ds:schemaRef ds:uri="http://purl.org/dc/elements/1.1/"/>
    <ds:schemaRef ds:uri="http://purl.org/dc/terms/"/>
    <ds:schemaRef ds:uri="http://schemas.openxmlformats.org/package/2006/metadata/core-properties"/>
    <ds:schemaRef ds:uri="http://www.w3.org/XML/1998/namespace"/>
    <ds:schemaRef ds:uri="http://schemas.microsoft.com/sharepoint/v3"/>
    <ds:schemaRef ds:uri="http://purl.org/dc/dcmitype/"/>
    <ds:schemaRef ds:uri="http://schemas.microsoft.com/office/infopath/2007/PartnerControls"/>
    <ds:schemaRef ds:uri="http://schemas.microsoft.com/office/2006/documentManagement/types"/>
    <ds:schemaRef ds:uri="9224003f-e6e7-470a-941a-44de56618887"/>
    <ds:schemaRef ds:uri="edb173ee-3fb8-4f75-bf43-79a22ca96f2e"/>
    <ds:schemaRef ds:uri="http://schemas.microsoft.com/office/2006/metadata/properties"/>
  </ds:schemaRefs>
</ds:datastoreItem>
</file>

<file path=customXml/itemProps3.xml><?xml version="1.0" encoding="utf-8"?>
<ds:datastoreItem xmlns:ds="http://schemas.openxmlformats.org/officeDocument/2006/customXml" ds:itemID="{55D3422B-E249-4494-9C4D-065E790082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69</vt:i4>
      </vt:variant>
    </vt:vector>
  </HeadingPairs>
  <TitlesOfParts>
    <vt:vector size="97" baseType="lpstr">
      <vt:lpstr>Instructions</vt:lpstr>
      <vt:lpstr>Cover</vt:lpstr>
      <vt:lpstr>Checklist &amp; TOC</vt:lpstr>
      <vt:lpstr>Summary</vt:lpstr>
      <vt:lpstr>Statistics</vt:lpstr>
      <vt:lpstr>Mkt Res</vt:lpstr>
      <vt:lpstr> Enrol &amp; Rev</vt:lpstr>
      <vt:lpstr>Pre Y1 (Incubation)</vt:lpstr>
      <vt:lpstr>CF Y1 Mo</vt:lpstr>
      <vt:lpstr>Staff</vt:lpstr>
      <vt:lpstr>Facilities</vt:lpstr>
      <vt:lpstr>Gen Optg</vt:lpstr>
      <vt:lpstr>FFE&amp;T</vt:lpstr>
      <vt:lpstr>Ins</vt:lpstr>
      <vt:lpstr>Marketing</vt:lpstr>
      <vt:lpstr>EMO-CMO-BOSP</vt:lpstr>
      <vt:lpstr>Info--&gt;</vt:lpstr>
      <vt:lpstr>Demographics</vt:lpstr>
      <vt:lpstr>PCFP Rates</vt:lpstr>
      <vt:lpstr>Facilities wkst</vt:lpstr>
      <vt:lpstr>Dev Notes</vt:lpstr>
      <vt:lpstr>Note FFE</vt:lpstr>
      <vt:lpstr>Eq wip</vt:lpstr>
      <vt:lpstr>Scratchpad (2)</vt:lpstr>
      <vt:lpstr>Levers</vt:lpstr>
      <vt:lpstr>Scratchpad</vt:lpstr>
      <vt:lpstr>Transp</vt:lpstr>
      <vt:lpstr>Star Ratings</vt:lpstr>
      <vt:lpstr>Counties</vt:lpstr>
      <vt:lpstr>County</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'Checklist &amp; TOC'!Print_Area</vt:lpstr>
      <vt:lpstr>Cover!Print_Area</vt:lpstr>
      <vt:lpstr>Demographics!Print_Area</vt:lpstr>
      <vt:lpstr>'Dev Notes'!Print_Area</vt:lpstr>
      <vt:lpstr>'EMO-CMO-BOSP'!Print_Area</vt:lpstr>
      <vt:lpstr>'Eq wip'!Print_Area</vt:lpstr>
      <vt:lpstr>Facilities!Print_Area</vt:lpstr>
      <vt:lpstr>'FFE&amp;T'!Print_Area</vt:lpstr>
      <vt:lpstr>'Gen Optg'!Print_Area</vt:lpstr>
      <vt:lpstr>Ins!Print_Area</vt:lpstr>
      <vt:lpstr>Instructions!Print_Area</vt:lpstr>
      <vt:lpstr>Levers!Print_Area</vt:lpstr>
      <vt:lpstr>Marketing!Print_Area</vt:lpstr>
      <vt:lpstr>'Mkt Res'!Print_Area</vt:lpstr>
      <vt:lpstr>'Note FFE'!Print_Area</vt:lpstr>
      <vt:lpstr>'PCFP Rates'!Print_Area</vt:lpstr>
      <vt:lpstr>'Pre Y1 (Incubation)'!Print_Area</vt:lpstr>
      <vt:lpstr>Scratchpad!Print_Area</vt:lpstr>
      <vt:lpstr>'Scratchpad (2)'!Print_Area</vt:lpstr>
      <vt:lpstr>Staff!Print_Area</vt:lpstr>
      <vt:lpstr>'Star Ratings'!Print_Area</vt:lpstr>
      <vt:lpstr>Statistics!Print_Area</vt:lpstr>
      <vt:lpstr>Summary!Print_Area</vt:lpstr>
      <vt:lpstr>Transp!Print_Area</vt:lpstr>
      <vt:lpstr>' Enrol &amp; Rev'!Print_Titles</vt:lpstr>
      <vt:lpstr>'CF Y1 Mo'!Print_Titles</vt:lpstr>
      <vt:lpstr>'EMO-CMO-BOSP'!Print_Titles</vt:lpstr>
      <vt:lpstr>Facilities!Print_Titles</vt:lpstr>
      <vt:lpstr>'Facilities wkst'!Print_Titles</vt:lpstr>
      <vt:lpstr>'FFE&amp;T'!Print_Titles</vt:lpstr>
      <vt:lpstr>'Gen Optg'!Print_Titles</vt:lpstr>
      <vt:lpstr>Levers!Print_Titles</vt:lpstr>
      <vt:lpstr>Marketing!Print_Titles</vt:lpstr>
      <vt:lpstr>'Mkt Res'!Print_Titles</vt:lpstr>
      <vt:lpstr>Staff!Print_Titles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Shelli Guthrie</cp:lastModifiedBy>
  <cp:revision/>
  <cp:lastPrinted>2024-11-19T13:56:54Z</cp:lastPrinted>
  <dcterms:created xsi:type="dcterms:W3CDTF">2009-03-05T15:43:16Z</dcterms:created>
  <dcterms:modified xsi:type="dcterms:W3CDTF">2024-11-20T23:27:48Z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