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6.xml" ContentType="application/vnd.openxmlformats-officedocument.spreadsheetml.comments+xml"/>
  <Override PartName="/xl/comments7.xml" ContentType="application/vnd.openxmlformats-officedocument.spreadsheetml.comments+xml"/>
  <Override PartName="/xl/threadedComments/threadedComment7.xml" ContentType="application/vnd.ms-excel.threadedcomments+xml"/>
  <Override PartName="/xl/threadedComments/threadedComment6.xml" ContentType="application/vnd.ms-excel.threadedcomments+xml"/>
  <Override PartName="/xl/comments8.xml" ContentType="application/vnd.openxmlformats-officedocument.spreadsheetml.comments+xml"/>
  <Override PartName="/xl/threadedComments/threadedComment8.xml" ContentType="application/vnd.ms-excel.threadedcomments+xml"/>
  <Override PartName="/xl/comments9.xml" ContentType="application/vnd.openxmlformats-officedocument.spreadsheetml.comments+xml"/>
  <Override PartName="/xl/threadedComments/threadedComment9.xml" ContentType="application/vnd.ms-excel.threaded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threadedComments/threadedComment5.xml" ContentType="application/vnd.ms-excel.threadedcomments+xml"/>
  <Override PartName="/xl/comments5.xml" ContentType="application/vnd.openxmlformats-officedocument.spreadsheetml.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202300"/>
  <mc:AlternateContent xmlns:mc="http://schemas.openxmlformats.org/markup-compatibility/2006">
    <mc:Choice Requires="x15">
      <x15ac:absPath xmlns:x15ac="http://schemas.microsoft.com/office/spreadsheetml/2010/11/ac" url="\\lvraiders\users\sguthrie\Documents\Charter\Change of Sponsorship\"/>
    </mc:Choice>
  </mc:AlternateContent>
  <xr:revisionPtr revIDLastSave="0" documentId="8_{E41D2EBD-D240-4F6F-8E07-34DFF96E47A3}" xr6:coauthVersionLast="47" xr6:coauthVersionMax="47" xr10:uidLastSave="{00000000-0000-0000-0000-000000000000}"/>
  <bookViews>
    <workbookView xWindow="-120" yWindow="-120" windowWidth="29040" windowHeight="15840" xr2:uid="{8EF61FEF-8E8F-4A6F-ACBE-0BB30EA17241}"/>
  </bookViews>
  <sheets>
    <sheet name="Instructions" sheetId="1" r:id="rId1"/>
    <sheet name="Cover" sheetId="2" r:id="rId2"/>
    <sheet name="Checklist &amp; TOC" sheetId="3" r:id="rId3"/>
    <sheet name="Summary" sheetId="4" r:id="rId4"/>
    <sheet name="Statistics" sheetId="5" r:id="rId5"/>
    <sheet name="Mkt Res" sheetId="6" r:id="rId6"/>
    <sheet name=" Enrol &amp; Rev" sheetId="7" r:id="rId7"/>
    <sheet name="Staff" sheetId="9" r:id="rId8"/>
    <sheet name="Facilities" sheetId="10" r:id="rId9"/>
    <sheet name="Gen Optg" sheetId="11" r:id="rId10"/>
    <sheet name="FFE&amp;T" sheetId="12" r:id="rId11"/>
    <sheet name="Ins" sheetId="13" r:id="rId12"/>
    <sheet name="Marketing" sheetId="14" r:id="rId13"/>
    <sheet name="EMO-CMO-BOSP" sheetId="15" r:id="rId14"/>
    <sheet name="Demographics" sheetId="16" r:id="rId15"/>
    <sheet name="PCFP Rates" sheetId="17" r:id="rId16"/>
    <sheet name="Facilities wkst" sheetId="18" r:id="rId17"/>
    <sheet name="Dev Notes" sheetId="19" r:id="rId18"/>
    <sheet name="Levers" sheetId="20" r:id="rId19"/>
  </sheets>
  <definedNames>
    <definedName name="DSA">'PCFP Rates'!#REF!</definedName>
    <definedName name="HypLink1">#REF!</definedName>
    <definedName name="HypLink8">#REF!</definedName>
    <definedName name="_xlnm.Print_Area" localSheetId="6">' Enrol &amp; Rev'!$A$1:$N$45,' Enrol &amp; Rev'!$A$47:$N$88,' Enrol &amp; Rev'!$A$91:$N$148</definedName>
    <definedName name="_xlnm.Print_Area" localSheetId="8">Facilities!$A$1:$M$101</definedName>
    <definedName name="_xlnm.Print_Area" localSheetId="10">'FFE&amp;T'!$A$1:$N$70</definedName>
    <definedName name="_xlnm.Print_Area" localSheetId="9">'Gen Optg'!$A$1:$R$200</definedName>
    <definedName name="_xlnm.Print_Area" localSheetId="11">Ins!$A$1:$N$54</definedName>
    <definedName name="_xlnm.Print_Area" localSheetId="12">Marketing!$A$1:$N$46</definedName>
    <definedName name="_xlnm.Print_Area" localSheetId="5">'Mkt Res'!$A$1:$P$88</definedName>
    <definedName name="_xlnm.Print_Area" localSheetId="7">Staff!$A$1:$N$477</definedName>
    <definedName name="_xlnm.Print_Area" localSheetId="4">Statistics!$A$1:$AA$49,Statistics!$A$51:$L$89,Statistics!$A$91:$L$127</definedName>
    <definedName name="_xlnm.Print_Area" localSheetId="3">Summary!$A$1:$Q$82,Summary!$A$84:$L$132</definedName>
    <definedName name="SchoolName" localSheetId="1">Cover!$C$9</definedName>
    <definedName name="SchoolName">Cover!$C$9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2" i="4" l="1"/>
  <c r="H32" i="4" s="1"/>
  <c r="I32" i="4" s="1"/>
  <c r="J32" i="4" s="1"/>
  <c r="K32" i="4" s="1"/>
  <c r="L32" i="4" s="1"/>
  <c r="C68" i="9"/>
  <c r="A103" i="4"/>
  <c r="A104" i="4"/>
  <c r="A105" i="4"/>
  <c r="A106" i="4"/>
  <c r="C9" i="20" l="1"/>
  <c r="C17" i="20" s="1"/>
  <c r="F105" i="5"/>
  <c r="B99" i="5"/>
  <c r="F121" i="5"/>
  <c r="F46" i="5"/>
  <c r="F39" i="5"/>
  <c r="F38" i="5"/>
  <c r="F37" i="5"/>
  <c r="F36" i="5"/>
  <c r="F34" i="5"/>
  <c r="F29" i="5"/>
  <c r="F11" i="5"/>
  <c r="F12" i="5" s="1"/>
  <c r="F9" i="5"/>
  <c r="C11" i="20" l="1"/>
  <c r="F47" i="5"/>
  <c r="F33" i="5"/>
  <c r="G33" i="5"/>
  <c r="H33" i="5"/>
  <c r="H34" i="5" s="1"/>
  <c r="I33" i="5"/>
  <c r="I34" i="5" s="1"/>
  <c r="G34" i="5"/>
  <c r="G36" i="5"/>
  <c r="H36" i="5"/>
  <c r="I36" i="5"/>
  <c r="G37" i="5"/>
  <c r="H37" i="5"/>
  <c r="I37" i="5"/>
  <c r="G38" i="5"/>
  <c r="H38" i="5"/>
  <c r="I38" i="5"/>
  <c r="G39" i="5"/>
  <c r="H39" i="5"/>
  <c r="I39" i="5"/>
  <c r="L134" i="11" l="1"/>
  <c r="K134" i="11"/>
  <c r="J134" i="11"/>
  <c r="I134" i="11"/>
  <c r="H134" i="11"/>
  <c r="G134" i="11"/>
  <c r="F134" i="11"/>
  <c r="F100" i="11"/>
  <c r="F99" i="11"/>
  <c r="F96" i="11"/>
  <c r="F89" i="11"/>
  <c r="F84" i="11"/>
  <c r="F81" i="11"/>
  <c r="F80" i="11"/>
  <c r="F78" i="11"/>
  <c r="F75" i="11"/>
  <c r="F74" i="11"/>
  <c r="F73" i="11"/>
  <c r="F72" i="11"/>
  <c r="F67" i="11"/>
  <c r="F169" i="11"/>
  <c r="I23" i="10"/>
  <c r="J23" i="10" s="1"/>
  <c r="K23" i="10" s="1"/>
  <c r="L23" i="10" s="1"/>
  <c r="H23" i="10"/>
  <c r="G23" i="10"/>
  <c r="G6" i="10"/>
  <c r="F48" i="10"/>
  <c r="F47" i="10"/>
  <c r="F46" i="10"/>
  <c r="F45" i="10"/>
  <c r="F146" i="7"/>
  <c r="F39" i="4" s="1"/>
  <c r="F31" i="4"/>
  <c r="F104" i="5" s="1"/>
  <c r="F30" i="4"/>
  <c r="F103" i="5" s="1"/>
  <c r="F29" i="4"/>
  <c r="F102" i="5" s="1"/>
  <c r="F28" i="4"/>
  <c r="F101" i="5" s="1"/>
  <c r="F27" i="4"/>
  <c r="F100" i="5" s="1"/>
  <c r="F26" i="4"/>
  <c r="F99" i="5" s="1"/>
  <c r="F25" i="4"/>
  <c r="F98" i="5" s="1"/>
  <c r="F24" i="4"/>
  <c r="F95" i="5" s="1"/>
  <c r="F23" i="4"/>
  <c r="F96" i="5" s="1"/>
  <c r="F22" i="4"/>
  <c r="F21" i="4"/>
  <c r="F20" i="4"/>
  <c r="F19" i="4"/>
  <c r="F17" i="4"/>
  <c r="F16" i="4"/>
  <c r="F94" i="5" s="1"/>
  <c r="F15" i="4"/>
  <c r="F93" i="5" s="1"/>
  <c r="F132" i="7"/>
  <c r="F121" i="7"/>
  <c r="F122" i="7" s="1"/>
  <c r="F120" i="7"/>
  <c r="F119" i="7"/>
  <c r="F118" i="7"/>
  <c r="F117" i="7"/>
  <c r="F116" i="7"/>
  <c r="F115" i="7"/>
  <c r="F114" i="7"/>
  <c r="L140" i="7"/>
  <c r="K140" i="7"/>
  <c r="J140" i="7"/>
  <c r="I140" i="7"/>
  <c r="H140" i="7"/>
  <c r="G140" i="7"/>
  <c r="F110" i="5" l="1"/>
  <c r="F59" i="5"/>
  <c r="G15" i="4"/>
  <c r="F36" i="7"/>
  <c r="G84" i="11" s="1"/>
  <c r="F19" i="7"/>
  <c r="F16" i="11" s="1"/>
  <c r="F17" i="7"/>
  <c r="F15" i="11" s="1"/>
  <c r="L19" i="7"/>
  <c r="L26" i="12" s="1"/>
  <c r="K19" i="7"/>
  <c r="K16" i="11" s="1"/>
  <c r="J19" i="7"/>
  <c r="K5" i="18" s="1"/>
  <c r="I19" i="7"/>
  <c r="G12" i="6" s="1"/>
  <c r="H19" i="7"/>
  <c r="J16" i="14" s="1"/>
  <c r="G19" i="7"/>
  <c r="G26" i="12" s="1"/>
  <c r="B88" i="10"/>
  <c r="B87" i="10"/>
  <c r="B86" i="10"/>
  <c r="B85" i="10"/>
  <c r="B84" i="10"/>
  <c r="B83" i="10"/>
  <c r="B82" i="10"/>
  <c r="F82" i="10"/>
  <c r="E81" i="10"/>
  <c r="B72" i="5"/>
  <c r="B71" i="5"/>
  <c r="B70" i="5"/>
  <c r="B69" i="5"/>
  <c r="B68" i="5"/>
  <c r="B67" i="5"/>
  <c r="B66" i="5"/>
  <c r="B65" i="5"/>
  <c r="B63" i="5"/>
  <c r="B62" i="5"/>
  <c r="B61" i="5"/>
  <c r="B60" i="5"/>
  <c r="B59" i="5"/>
  <c r="B58" i="5"/>
  <c r="B57" i="5"/>
  <c r="B56" i="5"/>
  <c r="B55" i="5"/>
  <c r="B54" i="5"/>
  <c r="B94" i="5" s="1"/>
  <c r="B53" i="5"/>
  <c r="B93" i="5" s="1"/>
  <c r="I30" i="20"/>
  <c r="H30" i="20"/>
  <c r="G30" i="20"/>
  <c r="F30" i="20"/>
  <c r="E30" i="20"/>
  <c r="D30" i="20"/>
  <c r="L51" i="4"/>
  <c r="K51" i="4"/>
  <c r="K120" i="5" s="1"/>
  <c r="J51" i="4"/>
  <c r="I51" i="4"/>
  <c r="H51" i="4"/>
  <c r="G51" i="4"/>
  <c r="C24" i="20"/>
  <c r="F64" i="12" s="1"/>
  <c r="F49" i="4"/>
  <c r="F118" i="5" s="1"/>
  <c r="I32" i="20"/>
  <c r="H32" i="20"/>
  <c r="G32" i="20"/>
  <c r="F32" i="20"/>
  <c r="E32" i="20"/>
  <c r="D32" i="20"/>
  <c r="C32" i="20"/>
  <c r="L48" i="4"/>
  <c r="K48" i="4"/>
  <c r="J48" i="4"/>
  <c r="I48" i="4"/>
  <c r="H48" i="4"/>
  <c r="G48" i="4"/>
  <c r="F48" i="4"/>
  <c r="F117" i="5" s="1"/>
  <c r="L47" i="4"/>
  <c r="K47" i="4"/>
  <c r="J47" i="4"/>
  <c r="I47" i="4"/>
  <c r="H47" i="4"/>
  <c r="G47" i="4"/>
  <c r="F47" i="4"/>
  <c r="F116" i="5" s="1"/>
  <c r="C28" i="20"/>
  <c r="F50" i="4"/>
  <c r="F119" i="5" s="1"/>
  <c r="L103" i="11"/>
  <c r="K103" i="11"/>
  <c r="J103" i="11"/>
  <c r="I103" i="11"/>
  <c r="H103" i="11"/>
  <c r="L131" i="7"/>
  <c r="K131" i="7"/>
  <c r="J131" i="7"/>
  <c r="I131" i="7"/>
  <c r="H131" i="7"/>
  <c r="G131" i="7"/>
  <c r="L130" i="7"/>
  <c r="K130" i="7"/>
  <c r="J130" i="7"/>
  <c r="I130" i="7"/>
  <c r="H130" i="7"/>
  <c r="G130" i="7"/>
  <c r="C20" i="20"/>
  <c r="F85" i="10" s="1"/>
  <c r="L46" i="5"/>
  <c r="K46" i="5"/>
  <c r="J46" i="5"/>
  <c r="I46" i="5"/>
  <c r="H46" i="5"/>
  <c r="G46" i="5"/>
  <c r="L11" i="5"/>
  <c r="K11" i="5"/>
  <c r="J11" i="5"/>
  <c r="I11" i="5"/>
  <c r="H11" i="5"/>
  <c r="G11" i="5"/>
  <c r="F45" i="4"/>
  <c r="F114" i="5" s="1"/>
  <c r="L11" i="4"/>
  <c r="K11" i="4"/>
  <c r="J11" i="4"/>
  <c r="I11" i="4"/>
  <c r="H11" i="4"/>
  <c r="G11" i="4"/>
  <c r="F11" i="4"/>
  <c r="I9" i="20"/>
  <c r="H9" i="20"/>
  <c r="G9" i="20"/>
  <c r="F9" i="20"/>
  <c r="E9" i="20"/>
  <c r="D9" i="20"/>
  <c r="I6" i="20"/>
  <c r="L79" i="10" s="1"/>
  <c r="H6" i="20"/>
  <c r="K79" i="10" s="1"/>
  <c r="G6" i="20"/>
  <c r="J79" i="10" s="1"/>
  <c r="F6" i="20"/>
  <c r="I79" i="10" s="1"/>
  <c r="E6" i="20"/>
  <c r="H79" i="10" s="1"/>
  <c r="D6" i="20"/>
  <c r="G79" i="10" s="1"/>
  <c r="C6" i="20"/>
  <c r="F79" i="10" s="1"/>
  <c r="M4" i="18"/>
  <c r="L4" i="18"/>
  <c r="K4" i="18"/>
  <c r="J4" i="18"/>
  <c r="I4" i="18"/>
  <c r="H4" i="18"/>
  <c r="H2" i="18"/>
  <c r="L41" i="12"/>
  <c r="K41" i="12"/>
  <c r="J41" i="12"/>
  <c r="I41" i="12"/>
  <c r="H41" i="12"/>
  <c r="G41" i="12"/>
  <c r="L11" i="12"/>
  <c r="K11" i="12"/>
  <c r="J11" i="12"/>
  <c r="I11" i="12"/>
  <c r="H11" i="12"/>
  <c r="G11" i="12"/>
  <c r="L6" i="12"/>
  <c r="K6" i="12"/>
  <c r="J6" i="12"/>
  <c r="I6" i="12"/>
  <c r="H6" i="12"/>
  <c r="G6" i="12"/>
  <c r="F6" i="12"/>
  <c r="L169" i="11"/>
  <c r="K169" i="11"/>
  <c r="J169" i="11"/>
  <c r="I169" i="11"/>
  <c r="H169" i="11"/>
  <c r="G169" i="11"/>
  <c r="L149" i="11"/>
  <c r="K149" i="11"/>
  <c r="J149" i="11"/>
  <c r="I149" i="11"/>
  <c r="H149" i="11"/>
  <c r="G149" i="11"/>
  <c r="L148" i="11"/>
  <c r="K148" i="11"/>
  <c r="J148" i="11"/>
  <c r="I148" i="11"/>
  <c r="H148" i="11"/>
  <c r="G148" i="11"/>
  <c r="L147" i="11"/>
  <c r="K147" i="11"/>
  <c r="J147" i="11"/>
  <c r="I147" i="11"/>
  <c r="H147" i="11"/>
  <c r="G147" i="11"/>
  <c r="L146" i="11"/>
  <c r="K146" i="11"/>
  <c r="J146" i="11"/>
  <c r="I146" i="11"/>
  <c r="H146" i="11"/>
  <c r="G146" i="11"/>
  <c r="L98" i="11"/>
  <c r="K98" i="11"/>
  <c r="J98" i="11"/>
  <c r="I98" i="11"/>
  <c r="H98" i="11"/>
  <c r="L84" i="11"/>
  <c r="K84" i="11"/>
  <c r="J84" i="11"/>
  <c r="I84" i="11"/>
  <c r="H84" i="11"/>
  <c r="L81" i="11"/>
  <c r="K81" i="11"/>
  <c r="J81" i="11"/>
  <c r="I81" i="11"/>
  <c r="H81" i="11"/>
  <c r="G81" i="11"/>
  <c r="L80" i="11"/>
  <c r="K80" i="11"/>
  <c r="J80" i="11"/>
  <c r="I80" i="11"/>
  <c r="H80" i="11"/>
  <c r="G80" i="11"/>
  <c r="L78" i="11"/>
  <c r="K78" i="11"/>
  <c r="J78" i="11"/>
  <c r="I78" i="11"/>
  <c r="H78" i="11"/>
  <c r="G78" i="11"/>
  <c r="L73" i="11"/>
  <c r="K73" i="11"/>
  <c r="J73" i="11"/>
  <c r="I73" i="11"/>
  <c r="H73" i="11"/>
  <c r="G73" i="11"/>
  <c r="L72" i="11"/>
  <c r="K72" i="11"/>
  <c r="J72" i="11"/>
  <c r="I72" i="11"/>
  <c r="H72" i="11"/>
  <c r="G72" i="11"/>
  <c r="L69" i="11"/>
  <c r="K69" i="11"/>
  <c r="J69" i="11"/>
  <c r="I69" i="11"/>
  <c r="L40" i="11"/>
  <c r="K40" i="11"/>
  <c r="J40" i="11"/>
  <c r="I40" i="11"/>
  <c r="H40" i="11"/>
  <c r="G40" i="11"/>
  <c r="F40" i="11"/>
  <c r="L38" i="11"/>
  <c r="K38" i="11"/>
  <c r="J38" i="11"/>
  <c r="I38" i="11"/>
  <c r="H38" i="11"/>
  <c r="G38" i="11"/>
  <c r="F38" i="11"/>
  <c r="L36" i="11"/>
  <c r="K36" i="11"/>
  <c r="J36" i="11"/>
  <c r="I36" i="11"/>
  <c r="H36" i="11"/>
  <c r="G36" i="11"/>
  <c r="F36" i="11"/>
  <c r="L33" i="11"/>
  <c r="K33" i="11"/>
  <c r="J33" i="11"/>
  <c r="I33" i="11"/>
  <c r="H33" i="11"/>
  <c r="G33" i="11"/>
  <c r="F33" i="11"/>
  <c r="L30" i="11"/>
  <c r="K30" i="11"/>
  <c r="J30" i="11"/>
  <c r="I30" i="11"/>
  <c r="H30" i="11"/>
  <c r="G30" i="11"/>
  <c r="F30" i="11"/>
  <c r="L29" i="11"/>
  <c r="K29" i="11"/>
  <c r="J29" i="11"/>
  <c r="I29" i="11"/>
  <c r="H29" i="11"/>
  <c r="G29" i="11"/>
  <c r="F29" i="11"/>
  <c r="L28" i="11"/>
  <c r="K28" i="11"/>
  <c r="J28" i="11"/>
  <c r="I28" i="11"/>
  <c r="H28" i="11"/>
  <c r="G28" i="11"/>
  <c r="F28" i="11"/>
  <c r="L27" i="11"/>
  <c r="K27" i="11"/>
  <c r="J27" i="11"/>
  <c r="I27" i="11"/>
  <c r="H27" i="11"/>
  <c r="G27" i="11"/>
  <c r="F27" i="11"/>
  <c r="L26" i="11"/>
  <c r="K26" i="11"/>
  <c r="J26" i="11"/>
  <c r="I26" i="11"/>
  <c r="H26" i="11"/>
  <c r="G26" i="11"/>
  <c r="F26" i="11"/>
  <c r="L25" i="11"/>
  <c r="K25" i="11"/>
  <c r="J25" i="11"/>
  <c r="I25" i="11"/>
  <c r="H25" i="11"/>
  <c r="G25" i="11"/>
  <c r="F25" i="11"/>
  <c r="L24" i="11"/>
  <c r="K24" i="11"/>
  <c r="J24" i="11"/>
  <c r="I24" i="11"/>
  <c r="H24" i="11"/>
  <c r="G24" i="11"/>
  <c r="F24" i="11"/>
  <c r="L23" i="11"/>
  <c r="K23" i="11"/>
  <c r="J23" i="11"/>
  <c r="I23" i="11"/>
  <c r="H23" i="11"/>
  <c r="G23" i="11"/>
  <c r="F23" i="11"/>
  <c r="L22" i="11"/>
  <c r="K22" i="11"/>
  <c r="J22" i="11"/>
  <c r="I22" i="11"/>
  <c r="H22" i="11"/>
  <c r="G22" i="11"/>
  <c r="F22" i="11"/>
  <c r="L21" i="11"/>
  <c r="K21" i="11"/>
  <c r="J21" i="11"/>
  <c r="I21" i="11"/>
  <c r="H21" i="11"/>
  <c r="G21" i="11"/>
  <c r="F21" i="11"/>
  <c r="L20" i="11"/>
  <c r="K20" i="11"/>
  <c r="J20" i="11"/>
  <c r="I20" i="11"/>
  <c r="H20" i="11"/>
  <c r="G20" i="11"/>
  <c r="F20" i="11"/>
  <c r="L19" i="11"/>
  <c r="K19" i="11"/>
  <c r="J19" i="11"/>
  <c r="I19" i="11"/>
  <c r="H19" i="11"/>
  <c r="G19" i="11"/>
  <c r="F19" i="11"/>
  <c r="L18" i="11"/>
  <c r="K18" i="11"/>
  <c r="J18" i="11"/>
  <c r="I18" i="11"/>
  <c r="H18" i="11"/>
  <c r="G18" i="11"/>
  <c r="F18" i="11"/>
  <c r="L16" i="11"/>
  <c r="L15" i="11"/>
  <c r="K15" i="11"/>
  <c r="J15" i="11"/>
  <c r="I15" i="11"/>
  <c r="H15" i="11"/>
  <c r="G15" i="11"/>
  <c r="L10" i="10"/>
  <c r="K10" i="10"/>
  <c r="J10" i="10"/>
  <c r="I10" i="10"/>
  <c r="H10" i="10"/>
  <c r="G10" i="10"/>
  <c r="L9" i="10"/>
  <c r="K9" i="10"/>
  <c r="J9" i="10"/>
  <c r="I9" i="10"/>
  <c r="H9" i="10"/>
  <c r="G9" i="10"/>
  <c r="L6" i="10"/>
  <c r="K6" i="10"/>
  <c r="J6" i="10"/>
  <c r="I6" i="10"/>
  <c r="H6" i="10"/>
  <c r="F6" i="10"/>
  <c r="L440" i="9"/>
  <c r="M440" i="9" s="1"/>
  <c r="K440" i="9"/>
  <c r="J440" i="9"/>
  <c r="M107" i="9"/>
  <c r="L107" i="9"/>
  <c r="K107" i="9"/>
  <c r="J107" i="9"/>
  <c r="I107" i="9"/>
  <c r="H107" i="9"/>
  <c r="G107" i="9"/>
  <c r="M8" i="9"/>
  <c r="L8" i="9"/>
  <c r="K8" i="9"/>
  <c r="J8" i="9"/>
  <c r="I8" i="9"/>
  <c r="H8" i="9"/>
  <c r="G8" i="9"/>
  <c r="J26" i="6"/>
  <c r="I26" i="6"/>
  <c r="H26" i="6"/>
  <c r="G26" i="6"/>
  <c r="F26" i="6"/>
  <c r="E26" i="6"/>
  <c r="D26" i="6"/>
  <c r="J25" i="6"/>
  <c r="I25" i="6"/>
  <c r="M29" i="14" s="1"/>
  <c r="H25" i="6"/>
  <c r="G25" i="6"/>
  <c r="F25" i="6"/>
  <c r="E25" i="6"/>
  <c r="D25" i="6"/>
  <c r="J24" i="6"/>
  <c r="I24" i="6"/>
  <c r="H24" i="6"/>
  <c r="G24" i="6"/>
  <c r="F24" i="6"/>
  <c r="E24" i="6"/>
  <c r="D24" i="6"/>
  <c r="J23" i="6"/>
  <c r="I23" i="6"/>
  <c r="M27" i="14" s="1"/>
  <c r="H23" i="6"/>
  <c r="G23" i="6"/>
  <c r="F23" i="6"/>
  <c r="E23" i="6"/>
  <c r="D23" i="6"/>
  <c r="J22" i="6"/>
  <c r="I22" i="6"/>
  <c r="H22" i="6"/>
  <c r="G22" i="6"/>
  <c r="F22" i="6"/>
  <c r="E22" i="6"/>
  <c r="D22" i="6"/>
  <c r="J21" i="6"/>
  <c r="I21" i="6"/>
  <c r="M25" i="14" s="1"/>
  <c r="H21" i="6"/>
  <c r="G21" i="6"/>
  <c r="F21" i="6"/>
  <c r="E21" i="6"/>
  <c r="D21" i="6"/>
  <c r="J20" i="6"/>
  <c r="I20" i="6"/>
  <c r="H20" i="6"/>
  <c r="G20" i="6"/>
  <c r="F20" i="6"/>
  <c r="E20" i="6"/>
  <c r="D20" i="6"/>
  <c r="J19" i="6"/>
  <c r="I19" i="6"/>
  <c r="M23" i="14" s="1"/>
  <c r="H19" i="6"/>
  <c r="G19" i="6"/>
  <c r="F19" i="6"/>
  <c r="E19" i="6"/>
  <c r="D19" i="6"/>
  <c r="J18" i="6"/>
  <c r="I18" i="6"/>
  <c r="H18" i="6"/>
  <c r="G18" i="6"/>
  <c r="F18" i="6"/>
  <c r="E18" i="6"/>
  <c r="D18" i="6"/>
  <c r="J17" i="6"/>
  <c r="I17" i="6"/>
  <c r="H17" i="6"/>
  <c r="G17" i="6"/>
  <c r="F17" i="6"/>
  <c r="E17" i="6"/>
  <c r="D17" i="6"/>
  <c r="J16" i="6"/>
  <c r="I16" i="6"/>
  <c r="H16" i="6"/>
  <c r="G16" i="6"/>
  <c r="F16" i="6"/>
  <c r="E16" i="6"/>
  <c r="D16" i="6"/>
  <c r="J15" i="6"/>
  <c r="I15" i="6"/>
  <c r="H15" i="6"/>
  <c r="G15" i="6"/>
  <c r="F15" i="6"/>
  <c r="E15" i="6"/>
  <c r="D15" i="6"/>
  <c r="J14" i="6"/>
  <c r="I14" i="6"/>
  <c r="H14" i="6"/>
  <c r="G14" i="6"/>
  <c r="F14" i="6"/>
  <c r="E14" i="6"/>
  <c r="D14" i="6"/>
  <c r="J12" i="6"/>
  <c r="I12" i="6"/>
  <c r="H12" i="6"/>
  <c r="E8" i="6"/>
  <c r="L29" i="5"/>
  <c r="K29" i="5"/>
  <c r="J29" i="5"/>
  <c r="I29" i="5"/>
  <c r="H29" i="5"/>
  <c r="G29" i="5"/>
  <c r="L20" i="5"/>
  <c r="K20" i="5"/>
  <c r="J20" i="5"/>
  <c r="I20" i="5"/>
  <c r="H20" i="5"/>
  <c r="H9" i="4" s="1"/>
  <c r="G20" i="5"/>
  <c r="F20" i="5"/>
  <c r="F9" i="4" s="1"/>
  <c r="B26" i="4"/>
  <c r="B64" i="5" s="1"/>
  <c r="L34" i="4"/>
  <c r="L72" i="5" s="1"/>
  <c r="K34" i="4"/>
  <c r="K72" i="5" s="1"/>
  <c r="J34" i="4"/>
  <c r="J72" i="5" s="1"/>
  <c r="I34" i="4"/>
  <c r="I72" i="5" s="1"/>
  <c r="H34" i="4"/>
  <c r="H72" i="5" s="1"/>
  <c r="G34" i="4"/>
  <c r="G72" i="5" s="1"/>
  <c r="F34" i="4"/>
  <c r="F72" i="5" s="1"/>
  <c r="F71" i="5"/>
  <c r="L31" i="4"/>
  <c r="L104" i="5" s="1"/>
  <c r="K31" i="4"/>
  <c r="K104" i="5" s="1"/>
  <c r="J31" i="4"/>
  <c r="J104" i="5" s="1"/>
  <c r="I31" i="4"/>
  <c r="I104" i="5" s="1"/>
  <c r="H31" i="4"/>
  <c r="H104" i="5" s="1"/>
  <c r="G31" i="4"/>
  <c r="G104" i="5" s="1"/>
  <c r="L30" i="4"/>
  <c r="L103" i="5" s="1"/>
  <c r="K30" i="4"/>
  <c r="K103" i="5" s="1"/>
  <c r="J30" i="4"/>
  <c r="J103" i="5" s="1"/>
  <c r="I30" i="4"/>
  <c r="I103" i="5" s="1"/>
  <c r="H30" i="4"/>
  <c r="H103" i="5" s="1"/>
  <c r="G30" i="4"/>
  <c r="G103" i="5" s="1"/>
  <c r="L29" i="4"/>
  <c r="L102" i="5" s="1"/>
  <c r="K29" i="4"/>
  <c r="K102" i="5" s="1"/>
  <c r="J29" i="4"/>
  <c r="J102" i="5" s="1"/>
  <c r="I29" i="4"/>
  <c r="I102" i="5" s="1"/>
  <c r="H29" i="4"/>
  <c r="H102" i="5" s="1"/>
  <c r="G29" i="4"/>
  <c r="G102" i="5" s="1"/>
  <c r="L28" i="4"/>
  <c r="L101" i="5" s="1"/>
  <c r="K28" i="4"/>
  <c r="K101" i="5" s="1"/>
  <c r="J28" i="4"/>
  <c r="J101" i="5" s="1"/>
  <c r="I28" i="4"/>
  <c r="I101" i="5" s="1"/>
  <c r="H28" i="4"/>
  <c r="H101" i="5" s="1"/>
  <c r="G28" i="4"/>
  <c r="G101" i="5" s="1"/>
  <c r="F66" i="5"/>
  <c r="L27" i="4"/>
  <c r="L100" i="5" s="1"/>
  <c r="K27" i="4"/>
  <c r="K100" i="5" s="1"/>
  <c r="J27" i="4"/>
  <c r="J100" i="5" s="1"/>
  <c r="I27" i="4"/>
  <c r="I100" i="5" s="1"/>
  <c r="H27" i="4"/>
  <c r="G27" i="4"/>
  <c r="G100" i="5" s="1"/>
  <c r="F65" i="5"/>
  <c r="L26" i="4"/>
  <c r="K26" i="4"/>
  <c r="J26" i="4"/>
  <c r="I26" i="4"/>
  <c r="H26" i="4"/>
  <c r="G26" i="4"/>
  <c r="F64" i="5"/>
  <c r="L25" i="4"/>
  <c r="L98" i="5" s="1"/>
  <c r="K25" i="4"/>
  <c r="K98" i="5" s="1"/>
  <c r="J25" i="4"/>
  <c r="J98" i="5" s="1"/>
  <c r="I25" i="4"/>
  <c r="I98" i="5" s="1"/>
  <c r="H25" i="4"/>
  <c r="H98" i="5" s="1"/>
  <c r="G25" i="4"/>
  <c r="G98" i="5" s="1"/>
  <c r="F63" i="5"/>
  <c r="L23" i="4"/>
  <c r="L96" i="5" s="1"/>
  <c r="K23" i="4"/>
  <c r="K96" i="5" s="1"/>
  <c r="J23" i="4"/>
  <c r="J96" i="5" s="1"/>
  <c r="I23" i="4"/>
  <c r="I96" i="5" s="1"/>
  <c r="H23" i="4"/>
  <c r="H96" i="5" s="1"/>
  <c r="G23" i="4"/>
  <c r="G96" i="5" s="1"/>
  <c r="L22" i="4"/>
  <c r="K22" i="4"/>
  <c r="J22" i="4"/>
  <c r="I22" i="4"/>
  <c r="H22" i="4"/>
  <c r="H60" i="5" s="1"/>
  <c r="G22" i="4"/>
  <c r="F60" i="5"/>
  <c r="L21" i="4"/>
  <c r="K21" i="4"/>
  <c r="J21" i="4"/>
  <c r="I21" i="4"/>
  <c r="H21" i="4"/>
  <c r="L20" i="4"/>
  <c r="L58" i="5" s="1"/>
  <c r="K20" i="4"/>
  <c r="K58" i="5" s="1"/>
  <c r="J20" i="4"/>
  <c r="J58" i="5" s="1"/>
  <c r="I20" i="4"/>
  <c r="I58" i="5" s="1"/>
  <c r="H20" i="4"/>
  <c r="H58" i="5" s="1"/>
  <c r="G20" i="4"/>
  <c r="G58" i="5" s="1"/>
  <c r="F58" i="5"/>
  <c r="L19" i="4"/>
  <c r="K19" i="4"/>
  <c r="J19" i="4"/>
  <c r="I19" i="4"/>
  <c r="H19" i="4"/>
  <c r="H57" i="5" s="1"/>
  <c r="G19" i="4"/>
  <c r="F57" i="5"/>
  <c r="L17" i="4"/>
  <c r="K17" i="4"/>
  <c r="J17" i="4"/>
  <c r="I17" i="4"/>
  <c r="H17" i="4"/>
  <c r="H55" i="5" s="1"/>
  <c r="G17" i="4"/>
  <c r="F55" i="5"/>
  <c r="G7" i="4"/>
  <c r="G7" i="5" s="1"/>
  <c r="L6" i="4"/>
  <c r="K6" i="4"/>
  <c r="J6" i="4"/>
  <c r="I6" i="4"/>
  <c r="H6" i="4"/>
  <c r="G6" i="4"/>
  <c r="G112" i="5" s="1"/>
  <c r="F6" i="4"/>
  <c r="I12" i="14"/>
  <c r="G6" i="11"/>
  <c r="G3" i="10"/>
  <c r="F3" i="6" s="1"/>
  <c r="G2" i="10"/>
  <c r="F2" i="6" s="1"/>
  <c r="G10" i="7"/>
  <c r="G7" i="10" s="1"/>
  <c r="C89" i="7"/>
  <c r="C88" i="7"/>
  <c r="D84" i="7"/>
  <c r="G64" i="5" l="1"/>
  <c r="G99" i="5"/>
  <c r="H64" i="5"/>
  <c r="H99" i="5"/>
  <c r="I64" i="5"/>
  <c r="I99" i="5"/>
  <c r="J64" i="5"/>
  <c r="J99" i="5"/>
  <c r="K64" i="5"/>
  <c r="K99" i="5"/>
  <c r="L64" i="5"/>
  <c r="L99" i="5"/>
  <c r="H65" i="5"/>
  <c r="H100" i="5"/>
  <c r="D12" i="6"/>
  <c r="K16" i="14"/>
  <c r="L5" i="18"/>
  <c r="I26" i="12"/>
  <c r="L16" i="14"/>
  <c r="M5" i="18"/>
  <c r="M16" i="14"/>
  <c r="K26" i="12"/>
  <c r="J26" i="12"/>
  <c r="H16" i="11"/>
  <c r="N16" i="14"/>
  <c r="I16" i="11"/>
  <c r="F12" i="6"/>
  <c r="J16" i="11"/>
  <c r="H26" i="12"/>
  <c r="E12" i="6"/>
  <c r="I16" i="14"/>
  <c r="G16" i="11"/>
  <c r="K23" i="14"/>
  <c r="H63" i="5"/>
  <c r="J51" i="5"/>
  <c r="J112" i="5"/>
  <c r="J75" i="5"/>
  <c r="J14" i="5"/>
  <c r="J91" i="5"/>
  <c r="K55" i="5"/>
  <c r="I57" i="5"/>
  <c r="G21" i="4"/>
  <c r="L60" i="5"/>
  <c r="L19" i="14"/>
  <c r="J21" i="14"/>
  <c r="M24" i="14"/>
  <c r="K26" i="14"/>
  <c r="I28" i="14"/>
  <c r="N29" i="14"/>
  <c r="H9" i="9"/>
  <c r="G7" i="12"/>
  <c r="G8" i="13" s="1"/>
  <c r="J30" i="9"/>
  <c r="I82" i="10"/>
  <c r="I61" i="12"/>
  <c r="J120" i="5"/>
  <c r="G14" i="5"/>
  <c r="J65" i="5"/>
  <c r="G66" i="5"/>
  <c r="H117" i="5"/>
  <c r="L51" i="5"/>
  <c r="L112" i="5"/>
  <c r="L75" i="5"/>
  <c r="L14" i="5"/>
  <c r="L91" i="5"/>
  <c r="K57" i="5"/>
  <c r="I59" i="5"/>
  <c r="H49" i="5"/>
  <c r="H66" i="5"/>
  <c r="I18" i="14"/>
  <c r="N19" i="14"/>
  <c r="L21" i="14"/>
  <c r="J23" i="14"/>
  <c r="M26" i="14"/>
  <c r="K28" i="14"/>
  <c r="I30" i="14"/>
  <c r="C77" i="9"/>
  <c r="K82" i="10"/>
  <c r="K61" i="12"/>
  <c r="I117" i="5"/>
  <c r="L120" i="5"/>
  <c r="N26" i="14"/>
  <c r="L61" i="12"/>
  <c r="M30" i="9"/>
  <c r="L82" i="10"/>
  <c r="J117" i="5"/>
  <c r="M19" i="14"/>
  <c r="I20" i="14"/>
  <c r="K117" i="5"/>
  <c r="M21" i="14"/>
  <c r="L30" i="9"/>
  <c r="K51" i="5"/>
  <c r="K112" i="5"/>
  <c r="K75" i="5"/>
  <c r="K14" i="5"/>
  <c r="K91" i="5"/>
  <c r="H59" i="5"/>
  <c r="L57" i="5"/>
  <c r="L28" i="14"/>
  <c r="G121" i="5"/>
  <c r="K18" i="14"/>
  <c r="N21" i="14"/>
  <c r="L23" i="14"/>
  <c r="K30" i="14"/>
  <c r="G75" i="5"/>
  <c r="L26" i="14"/>
  <c r="G63" i="5"/>
  <c r="L30" i="14"/>
  <c r="G65" i="5"/>
  <c r="L66" i="5"/>
  <c r="M30" i="14"/>
  <c r="G9" i="4"/>
  <c r="G49" i="5" s="1"/>
  <c r="I116" i="5"/>
  <c r="L55" i="5"/>
  <c r="J30" i="14"/>
  <c r="J25" i="14"/>
  <c r="J20" i="14"/>
  <c r="I63" i="5"/>
  <c r="I121" i="5"/>
  <c r="M18" i="14"/>
  <c r="K20" i="14"/>
  <c r="I22" i="14"/>
  <c r="N23" i="14"/>
  <c r="L25" i="14"/>
  <c r="J27" i="14"/>
  <c r="G60" i="5"/>
  <c r="J63" i="5"/>
  <c r="J121" i="5"/>
  <c r="N18" i="14"/>
  <c r="L20" i="14"/>
  <c r="J22" i="14"/>
  <c r="K27" i="14"/>
  <c r="I29" i="14"/>
  <c r="N30" i="14"/>
  <c r="J28" i="14"/>
  <c r="I66" i="5"/>
  <c r="I25" i="14"/>
  <c r="J66" i="5"/>
  <c r="I27" i="14"/>
  <c r="F91" i="5"/>
  <c r="F51" i="5"/>
  <c r="F112" i="5"/>
  <c r="F75" i="5"/>
  <c r="F14" i="5"/>
  <c r="G55" i="5"/>
  <c r="K63" i="5"/>
  <c r="I65" i="5"/>
  <c r="K121" i="5"/>
  <c r="M20" i="14"/>
  <c r="K22" i="14"/>
  <c r="I24" i="14"/>
  <c r="N25" i="14"/>
  <c r="L27" i="14"/>
  <c r="J29" i="14"/>
  <c r="F10" i="15"/>
  <c r="I9" i="4"/>
  <c r="I49" i="5" s="1"/>
  <c r="J57" i="5"/>
  <c r="K21" i="14"/>
  <c r="N24" i="14"/>
  <c r="M28" i="14"/>
  <c r="L59" i="5"/>
  <c r="K66" i="5"/>
  <c r="K25" i="14"/>
  <c r="G51" i="5"/>
  <c r="G91" i="5"/>
  <c r="L121" i="5"/>
  <c r="I19" i="14"/>
  <c r="N20" i="14"/>
  <c r="L22" i="14"/>
  <c r="J24" i="14"/>
  <c r="K29" i="14"/>
  <c r="D7" i="20"/>
  <c r="G80" i="10" s="1"/>
  <c r="J9" i="4"/>
  <c r="J49" i="5" s="1"/>
  <c r="L116" i="5"/>
  <c r="I60" i="5"/>
  <c r="G116" i="5"/>
  <c r="I23" i="14"/>
  <c r="K59" i="5"/>
  <c r="H121" i="5"/>
  <c r="L18" i="14"/>
  <c r="N28" i="14"/>
  <c r="H51" i="5"/>
  <c r="H112" i="5"/>
  <c r="H75" i="5"/>
  <c r="H14" i="5"/>
  <c r="I55" i="5"/>
  <c r="G57" i="5"/>
  <c r="J60" i="5"/>
  <c r="K65" i="5"/>
  <c r="J19" i="14"/>
  <c r="M22" i="14"/>
  <c r="K24" i="14"/>
  <c r="I26" i="14"/>
  <c r="N27" i="14"/>
  <c r="L29" i="14"/>
  <c r="D141" i="9"/>
  <c r="H30" i="9"/>
  <c r="G82" i="10"/>
  <c r="G61" i="12"/>
  <c r="K9" i="4"/>
  <c r="K49" i="5" s="1"/>
  <c r="H91" i="5"/>
  <c r="J82" i="10"/>
  <c r="J61" i="12"/>
  <c r="K30" i="9"/>
  <c r="J59" i="5"/>
  <c r="J18" i="14"/>
  <c r="I51" i="5"/>
  <c r="I112" i="5"/>
  <c r="I75" i="5"/>
  <c r="I14" i="5"/>
  <c r="I91" i="5"/>
  <c r="J55" i="5"/>
  <c r="K60" i="5"/>
  <c r="L65" i="5"/>
  <c r="K19" i="14"/>
  <c r="I21" i="14"/>
  <c r="N22" i="14"/>
  <c r="L24" i="14"/>
  <c r="J26" i="14"/>
  <c r="I30" i="9"/>
  <c r="H82" i="10"/>
  <c r="H61" i="12"/>
  <c r="L9" i="4"/>
  <c r="L49" i="5" s="1"/>
  <c r="L63" i="5"/>
  <c r="G120" i="5"/>
  <c r="L117" i="5"/>
  <c r="H116" i="5"/>
  <c r="H120" i="5"/>
  <c r="I120" i="5"/>
  <c r="J116" i="5"/>
  <c r="K116" i="5"/>
  <c r="G117" i="5"/>
  <c r="A2" i="20"/>
  <c r="A4" i="20"/>
  <c r="E31" i="20"/>
  <c r="F31" i="20"/>
  <c r="G31" i="20"/>
  <c r="H31" i="20"/>
  <c r="E33" i="20"/>
  <c r="G33" i="20"/>
  <c r="H33" i="20"/>
  <c r="F33" i="20"/>
  <c r="G59" i="5" l="1"/>
  <c r="I31" i="20"/>
  <c r="B32" i="20"/>
  <c r="D33" i="20"/>
  <c r="B9" i="20"/>
  <c r="D31" i="20"/>
  <c r="I33" i="20"/>
  <c r="A5" i="19"/>
  <c r="A2" i="19"/>
  <c r="A2" i="18"/>
  <c r="H3" i="18"/>
  <c r="I2" i="18" s="1"/>
  <c r="I3" i="18" s="1"/>
  <c r="J2" i="18" s="1"/>
  <c r="J3" i="18" s="1"/>
  <c r="K2" i="18" s="1"/>
  <c r="K3" i="18" s="1"/>
  <c r="L2" i="18" s="1"/>
  <c r="L3" i="18" s="1"/>
  <c r="M2" i="18" s="1"/>
  <c r="M3" i="18" s="1"/>
  <c r="A5" i="18"/>
  <c r="G35" i="18"/>
  <c r="G36" i="18" s="1"/>
  <c r="G37" i="18" s="1"/>
  <c r="I35" i="18"/>
  <c r="I36" i="18" s="1"/>
  <c r="K35" i="18"/>
  <c r="K36" i="18" s="1"/>
  <c r="M35" i="18"/>
  <c r="M36" i="18" s="1"/>
  <c r="E82" i="10" l="1"/>
  <c r="D61" i="12"/>
  <c r="B33" i="20"/>
  <c r="G40" i="18"/>
  <c r="G39" i="18"/>
  <c r="G38" i="18"/>
  <c r="M37" i="18"/>
  <c r="K37" i="18"/>
  <c r="I37" i="18"/>
  <c r="A451" i="17"/>
  <c r="A450" i="17"/>
  <c r="A449" i="17"/>
  <c r="G448" i="17"/>
  <c r="A448" i="17"/>
  <c r="A447" i="17"/>
  <c r="A446" i="17"/>
  <c r="A445" i="17"/>
  <c r="A444" i="17"/>
  <c r="A443" i="17"/>
  <c r="A442" i="17"/>
  <c r="A441" i="17"/>
  <c r="A440" i="17"/>
  <c r="A439" i="17"/>
  <c r="A438" i="17"/>
  <c r="J437" i="17"/>
  <c r="A437" i="17"/>
  <c r="A436" i="17"/>
  <c r="A435" i="17"/>
  <c r="G336" i="17"/>
  <c r="B336" i="17"/>
  <c r="D335" i="17"/>
  <c r="B335" i="17"/>
  <c r="B334" i="17"/>
  <c r="D333" i="17"/>
  <c r="B333" i="17"/>
  <c r="A333" i="17"/>
  <c r="A334" i="17" s="1"/>
  <c r="A335" i="17" s="1"/>
  <c r="A336" i="17" s="1"/>
  <c r="D332" i="17"/>
  <c r="B332" i="17"/>
  <c r="A332" i="17"/>
  <c r="D331" i="17"/>
  <c r="B331" i="17"/>
  <c r="D326" i="17"/>
  <c r="B326" i="17"/>
  <c r="B325" i="17"/>
  <c r="B324" i="17"/>
  <c r="D323" i="17"/>
  <c r="B323" i="17"/>
  <c r="D322" i="17"/>
  <c r="B322" i="17"/>
  <c r="A322" i="17"/>
  <c r="A323" i="17" s="1"/>
  <c r="A324" i="17" s="1"/>
  <c r="A325" i="17" s="1"/>
  <c r="A326" i="17" s="1"/>
  <c r="D321" i="17"/>
  <c r="B321" i="17"/>
  <c r="J315" i="17"/>
  <c r="I315" i="17"/>
  <c r="H315" i="17"/>
  <c r="G315" i="17"/>
  <c r="F315" i="17"/>
  <c r="E315" i="17"/>
  <c r="B313" i="17"/>
  <c r="B312" i="17"/>
  <c r="B311" i="17"/>
  <c r="D310" i="17"/>
  <c r="B310" i="17"/>
  <c r="D309" i="17"/>
  <c r="B309" i="17"/>
  <c r="A309" i="17"/>
  <c r="A310" i="17" s="1"/>
  <c r="A311" i="17" s="1"/>
  <c r="A312" i="17" s="1"/>
  <c r="A313" i="17" s="1"/>
  <c r="D308" i="17"/>
  <c r="B308" i="17"/>
  <c r="I297" i="17"/>
  <c r="H297" i="17"/>
  <c r="G297" i="17"/>
  <c r="F297" i="17"/>
  <c r="E297" i="17"/>
  <c r="J297" i="17" s="1"/>
  <c r="B297" i="17"/>
  <c r="J296" i="17"/>
  <c r="I296" i="17"/>
  <c r="H296" i="17"/>
  <c r="G296" i="17"/>
  <c r="F296" i="17"/>
  <c r="E296" i="17"/>
  <c r="B296" i="17"/>
  <c r="I295" i="17"/>
  <c r="I298" i="17" s="1"/>
  <c r="H295" i="17"/>
  <c r="G295" i="17"/>
  <c r="J295" i="17" s="1"/>
  <c r="F295" i="17"/>
  <c r="E295" i="17"/>
  <c r="E298" i="17" s="1"/>
  <c r="B295" i="17"/>
  <c r="J294" i="17"/>
  <c r="I294" i="17"/>
  <c r="H294" i="17"/>
  <c r="G294" i="17"/>
  <c r="F294" i="17"/>
  <c r="E294" i="17"/>
  <c r="B294" i="17"/>
  <c r="A294" i="17"/>
  <c r="A295" i="17" s="1"/>
  <c r="A296" i="17" s="1"/>
  <c r="A297" i="17" s="1"/>
  <c r="I293" i="17"/>
  <c r="H293" i="17"/>
  <c r="G293" i="17"/>
  <c r="G298" i="17" s="1"/>
  <c r="F293" i="17"/>
  <c r="E293" i="17"/>
  <c r="J293" i="17" s="1"/>
  <c r="B293" i="17"/>
  <c r="A293" i="17"/>
  <c r="J292" i="17"/>
  <c r="I292" i="17"/>
  <c r="H292" i="17"/>
  <c r="H298" i="17" s="1"/>
  <c r="G292" i="17"/>
  <c r="F292" i="17"/>
  <c r="F298" i="17" s="1"/>
  <c r="E292" i="17"/>
  <c r="B292" i="17"/>
  <c r="B287" i="17"/>
  <c r="B286" i="17"/>
  <c r="B285" i="17"/>
  <c r="B284" i="17"/>
  <c r="B283" i="17"/>
  <c r="A283" i="17"/>
  <c r="A284" i="17" s="1"/>
  <c r="A285" i="17" s="1"/>
  <c r="A286" i="17" s="1"/>
  <c r="A287" i="17" s="1"/>
  <c r="B282" i="17"/>
  <c r="B276" i="17"/>
  <c r="E275" i="17"/>
  <c r="B275" i="17"/>
  <c r="E274" i="17"/>
  <c r="B274" i="17"/>
  <c r="E273" i="17"/>
  <c r="B273" i="17"/>
  <c r="B272" i="17"/>
  <c r="A272" i="17"/>
  <c r="A273" i="17" s="1"/>
  <c r="A274" i="17" s="1"/>
  <c r="A275" i="17" s="1"/>
  <c r="A276" i="17" s="1"/>
  <c r="E271" i="17"/>
  <c r="B271" i="17"/>
  <c r="G262" i="17"/>
  <c r="B262" i="17"/>
  <c r="D261" i="17"/>
  <c r="B261" i="17"/>
  <c r="B260" i="17"/>
  <c r="B259" i="17"/>
  <c r="A259" i="17"/>
  <c r="A260" i="17" s="1"/>
  <c r="A261" i="17" s="1"/>
  <c r="A262" i="17" s="1"/>
  <c r="B258" i="17"/>
  <c r="A258" i="17"/>
  <c r="D257" i="17"/>
  <c r="F257" i="17" s="1"/>
  <c r="B257" i="17"/>
  <c r="D252" i="17"/>
  <c r="B252" i="17"/>
  <c r="B251" i="17"/>
  <c r="B250" i="17"/>
  <c r="D249" i="17"/>
  <c r="B249" i="17"/>
  <c r="B248" i="17"/>
  <c r="A248" i="17"/>
  <c r="A249" i="17" s="1"/>
  <c r="A250" i="17" s="1"/>
  <c r="A251" i="17" s="1"/>
  <c r="A252" i="17" s="1"/>
  <c r="B247" i="17"/>
  <c r="B239" i="17"/>
  <c r="B238" i="17"/>
  <c r="B237" i="17"/>
  <c r="B236" i="17"/>
  <c r="B235" i="17"/>
  <c r="A235" i="17"/>
  <c r="A236" i="17" s="1"/>
  <c r="A237" i="17" s="1"/>
  <c r="A238" i="17" s="1"/>
  <c r="A239" i="17" s="1"/>
  <c r="B234" i="17"/>
  <c r="I225" i="17"/>
  <c r="H225" i="17"/>
  <c r="G225" i="17"/>
  <c r="F225" i="17"/>
  <c r="E225" i="17"/>
  <c r="J225" i="17" s="1"/>
  <c r="B225" i="17"/>
  <c r="I224" i="17"/>
  <c r="H224" i="17"/>
  <c r="G224" i="17"/>
  <c r="F224" i="17"/>
  <c r="E224" i="17"/>
  <c r="J224" i="17" s="1"/>
  <c r="B224" i="17"/>
  <c r="I223" i="17"/>
  <c r="H223" i="17"/>
  <c r="G223" i="17"/>
  <c r="F223" i="17"/>
  <c r="E223" i="17"/>
  <c r="J223" i="17" s="1"/>
  <c r="B223" i="17"/>
  <c r="I222" i="17"/>
  <c r="H222" i="17"/>
  <c r="G222" i="17"/>
  <c r="F222" i="17"/>
  <c r="E222" i="17"/>
  <c r="E336" i="17" s="1"/>
  <c r="B222" i="17"/>
  <c r="I221" i="17"/>
  <c r="I226" i="17" s="1"/>
  <c r="I228" i="17" s="1"/>
  <c r="H221" i="17"/>
  <c r="G221" i="17"/>
  <c r="F221" i="17"/>
  <c r="E221" i="17"/>
  <c r="J221" i="17" s="1"/>
  <c r="B221" i="17"/>
  <c r="A221" i="17"/>
  <c r="A222" i="17" s="1"/>
  <c r="A223" i="17" s="1"/>
  <c r="A224" i="17" s="1"/>
  <c r="A225" i="17" s="1"/>
  <c r="I220" i="17"/>
  <c r="H220" i="17"/>
  <c r="H226" i="17" s="1"/>
  <c r="G220" i="17"/>
  <c r="G226" i="17" s="1"/>
  <c r="G228" i="17" s="1"/>
  <c r="F220" i="17"/>
  <c r="F226" i="17" s="1"/>
  <c r="E220" i="17"/>
  <c r="B220" i="17"/>
  <c r="I216" i="17"/>
  <c r="H216" i="17"/>
  <c r="H228" i="17" s="1"/>
  <c r="G216" i="17"/>
  <c r="F216" i="17"/>
  <c r="J216" i="17" s="1"/>
  <c r="J215" i="17"/>
  <c r="B215" i="17"/>
  <c r="J214" i="17"/>
  <c r="B214" i="17"/>
  <c r="J213" i="17"/>
  <c r="B213" i="17"/>
  <c r="J212" i="17"/>
  <c r="B212" i="17"/>
  <c r="A212" i="17"/>
  <c r="A213" i="17" s="1"/>
  <c r="A214" i="17" s="1"/>
  <c r="A215" i="17" s="1"/>
  <c r="J211" i="17"/>
  <c r="B211" i="17"/>
  <c r="A211" i="17"/>
  <c r="J210" i="17"/>
  <c r="B210" i="17"/>
  <c r="I205" i="17"/>
  <c r="H205" i="17"/>
  <c r="G205" i="17"/>
  <c r="F205" i="17"/>
  <c r="E205" i="17"/>
  <c r="J205" i="17" s="1"/>
  <c r="D84" i="17" s="1"/>
  <c r="J204" i="17"/>
  <c r="B204" i="17"/>
  <c r="J203" i="17"/>
  <c r="B203" i="17"/>
  <c r="J202" i="17"/>
  <c r="B202" i="17"/>
  <c r="J201" i="17"/>
  <c r="B201" i="17"/>
  <c r="J200" i="17"/>
  <c r="B200" i="17"/>
  <c r="A200" i="17"/>
  <c r="A201" i="17" s="1"/>
  <c r="A202" i="17" s="1"/>
  <c r="A203" i="17" s="1"/>
  <c r="A204" i="17" s="1"/>
  <c r="J199" i="17"/>
  <c r="B199" i="17"/>
  <c r="I190" i="17"/>
  <c r="H190" i="17"/>
  <c r="G190" i="17"/>
  <c r="F190" i="17"/>
  <c r="E190" i="17"/>
  <c r="J190" i="17" s="1"/>
  <c r="B190" i="17"/>
  <c r="I189" i="17"/>
  <c r="H189" i="17"/>
  <c r="G189" i="17"/>
  <c r="F189" i="17"/>
  <c r="E189" i="17"/>
  <c r="J189" i="17" s="1"/>
  <c r="B189" i="17"/>
  <c r="I188" i="17"/>
  <c r="H188" i="17"/>
  <c r="G188" i="17"/>
  <c r="F188" i="17"/>
  <c r="E188" i="17"/>
  <c r="I209" i="17" s="1"/>
  <c r="B188" i="17"/>
  <c r="I187" i="17"/>
  <c r="H187" i="17"/>
  <c r="G187" i="17"/>
  <c r="F187" i="17"/>
  <c r="E187" i="17"/>
  <c r="H209" i="17" s="1"/>
  <c r="B187" i="17"/>
  <c r="I186" i="17"/>
  <c r="I191" i="17" s="1"/>
  <c r="I193" i="17" s="1"/>
  <c r="H186" i="17"/>
  <c r="G186" i="17"/>
  <c r="F186" i="17"/>
  <c r="E186" i="17"/>
  <c r="J186" i="17" s="1"/>
  <c r="B186" i="17"/>
  <c r="A186" i="17"/>
  <c r="A187" i="17" s="1"/>
  <c r="A188" i="17" s="1"/>
  <c r="A189" i="17" s="1"/>
  <c r="A190" i="17" s="1"/>
  <c r="I185" i="17"/>
  <c r="H185" i="17"/>
  <c r="H191" i="17" s="1"/>
  <c r="G185" i="17"/>
  <c r="G191" i="17" s="1"/>
  <c r="G193" i="17" s="1"/>
  <c r="F185" i="17"/>
  <c r="F191" i="17" s="1"/>
  <c r="E185" i="17"/>
  <c r="E191" i="17" s="1"/>
  <c r="B185" i="17"/>
  <c r="I181" i="17"/>
  <c r="H181" i="17"/>
  <c r="G181" i="17"/>
  <c r="F181" i="17"/>
  <c r="J181" i="17" s="1"/>
  <c r="J180" i="17"/>
  <c r="B180" i="17"/>
  <c r="J179" i="17"/>
  <c r="B179" i="17"/>
  <c r="J178" i="17"/>
  <c r="B178" i="17"/>
  <c r="J177" i="17"/>
  <c r="B177" i="17"/>
  <c r="A177" i="17"/>
  <c r="A178" i="17" s="1"/>
  <c r="A179" i="17" s="1"/>
  <c r="A180" i="17" s="1"/>
  <c r="J176" i="17"/>
  <c r="B176" i="17"/>
  <c r="A176" i="17"/>
  <c r="J175" i="17"/>
  <c r="B175" i="17"/>
  <c r="I174" i="17"/>
  <c r="I246" i="17" s="1"/>
  <c r="H174" i="17"/>
  <c r="H246" i="17" s="1"/>
  <c r="G174" i="17"/>
  <c r="G246" i="17" s="1"/>
  <c r="F174" i="17"/>
  <c r="F246" i="17" s="1"/>
  <c r="I170" i="17"/>
  <c r="I241" i="17" s="1"/>
  <c r="I333" i="17" s="1"/>
  <c r="H170" i="17"/>
  <c r="H241" i="17" s="1"/>
  <c r="H333" i="17" s="1"/>
  <c r="G170" i="17"/>
  <c r="G241" i="17" s="1"/>
  <c r="G333" i="17" s="1"/>
  <c r="F170" i="17"/>
  <c r="F241" i="17" s="1"/>
  <c r="F333" i="17" s="1"/>
  <c r="E170" i="17"/>
  <c r="E241" i="17" s="1"/>
  <c r="J169" i="17"/>
  <c r="B169" i="17"/>
  <c r="J168" i="17"/>
  <c r="B168" i="17"/>
  <c r="J167" i="17"/>
  <c r="B167" i="17"/>
  <c r="J166" i="17"/>
  <c r="B166" i="17"/>
  <c r="J165" i="17"/>
  <c r="B165" i="17"/>
  <c r="A165" i="17"/>
  <c r="A166" i="17" s="1"/>
  <c r="A167" i="17" s="1"/>
  <c r="A168" i="17" s="1"/>
  <c r="A169" i="17" s="1"/>
  <c r="J164" i="17"/>
  <c r="B164" i="17"/>
  <c r="D153" i="17"/>
  <c r="D152" i="17"/>
  <c r="J149" i="17"/>
  <c r="I149" i="17"/>
  <c r="H149" i="17"/>
  <c r="G149" i="17"/>
  <c r="F149" i="17"/>
  <c r="E149" i="17"/>
  <c r="B149" i="17"/>
  <c r="I148" i="17"/>
  <c r="H148" i="17"/>
  <c r="G148" i="17"/>
  <c r="F148" i="17"/>
  <c r="E148" i="17"/>
  <c r="J148" i="17" s="1"/>
  <c r="D148" i="17"/>
  <c r="B148" i="17"/>
  <c r="D147" i="17"/>
  <c r="I146" i="17"/>
  <c r="H146" i="17"/>
  <c r="G146" i="17"/>
  <c r="F146" i="17"/>
  <c r="J146" i="17" s="1"/>
  <c r="E146" i="17"/>
  <c r="B146" i="17"/>
  <c r="I145" i="17"/>
  <c r="H145" i="17"/>
  <c r="G145" i="17"/>
  <c r="F145" i="17"/>
  <c r="E145" i="17"/>
  <c r="J145" i="17" s="1"/>
  <c r="B145" i="17"/>
  <c r="I144" i="17"/>
  <c r="H144" i="17"/>
  <c r="G144" i="17"/>
  <c r="F144" i="17"/>
  <c r="E144" i="17"/>
  <c r="J144" i="17" s="1"/>
  <c r="B144" i="17"/>
  <c r="A144" i="17"/>
  <c r="A145" i="17" s="1"/>
  <c r="A146" i="17" s="1"/>
  <c r="A147" i="17" s="1"/>
  <c r="A148" i="17" s="1"/>
  <c r="A149" i="17" s="1"/>
  <c r="I143" i="17"/>
  <c r="H143" i="17"/>
  <c r="G143" i="17"/>
  <c r="F143" i="17"/>
  <c r="E143" i="17"/>
  <c r="B143" i="17"/>
  <c r="D142" i="17"/>
  <c r="C138" i="17"/>
  <c r="I136" i="17"/>
  <c r="H136" i="17"/>
  <c r="G136" i="17"/>
  <c r="F136" i="17"/>
  <c r="H134" i="17"/>
  <c r="F134" i="17"/>
  <c r="C129" i="17"/>
  <c r="I128" i="17"/>
  <c r="H128" i="17"/>
  <c r="G128" i="17"/>
  <c r="F128" i="17"/>
  <c r="E128" i="17"/>
  <c r="J128" i="17" s="1"/>
  <c r="I127" i="17"/>
  <c r="H127" i="17"/>
  <c r="G127" i="17"/>
  <c r="F127" i="17"/>
  <c r="J127" i="17" s="1"/>
  <c r="E127" i="17"/>
  <c r="D127" i="17"/>
  <c r="B127" i="17"/>
  <c r="I126" i="17"/>
  <c r="H126" i="17"/>
  <c r="G126" i="17"/>
  <c r="F126" i="17"/>
  <c r="E126" i="17"/>
  <c r="J126" i="17" s="1"/>
  <c r="B126" i="17"/>
  <c r="I125" i="17"/>
  <c r="H125" i="17"/>
  <c r="G125" i="17"/>
  <c r="F125" i="17"/>
  <c r="E125" i="17"/>
  <c r="J125" i="17" s="1"/>
  <c r="B125" i="17"/>
  <c r="B124" i="17"/>
  <c r="I123" i="17"/>
  <c r="H123" i="17"/>
  <c r="G123" i="17"/>
  <c r="F123" i="17"/>
  <c r="J123" i="17" s="1"/>
  <c r="E123" i="17"/>
  <c r="B123" i="17"/>
  <c r="A123" i="17"/>
  <c r="A124" i="17" s="1"/>
  <c r="A125" i="17" s="1"/>
  <c r="A126" i="17" s="1"/>
  <c r="A127" i="17" s="1"/>
  <c r="I122" i="17"/>
  <c r="H122" i="17"/>
  <c r="G122" i="17"/>
  <c r="F122" i="17"/>
  <c r="E122" i="17"/>
  <c r="B122" i="17"/>
  <c r="I117" i="17"/>
  <c r="H117" i="17"/>
  <c r="G117" i="17"/>
  <c r="F117" i="17"/>
  <c r="I115" i="17"/>
  <c r="I116" i="17" s="1"/>
  <c r="H115" i="17"/>
  <c r="G115" i="17"/>
  <c r="G116" i="17" s="1"/>
  <c r="F115" i="17"/>
  <c r="E115" i="17"/>
  <c r="J115" i="17" s="1"/>
  <c r="C115" i="17"/>
  <c r="K100" i="17"/>
  <c r="K99" i="17"/>
  <c r="K98" i="17"/>
  <c r="K97" i="17"/>
  <c r="K101" i="17" s="1"/>
  <c r="D92" i="17"/>
  <c r="G79" i="17"/>
  <c r="H79" i="17" s="1"/>
  <c r="G78" i="17"/>
  <c r="H78" i="17" s="1"/>
  <c r="G77" i="17"/>
  <c r="H77" i="17" s="1"/>
  <c r="E73" i="17"/>
  <c r="D149" i="17" s="1"/>
  <c r="D73" i="17"/>
  <c r="E262" i="17" s="1"/>
  <c r="F72" i="17"/>
  <c r="E72" i="17"/>
  <c r="D72" i="17"/>
  <c r="I261" i="17" s="1"/>
  <c r="F71" i="17"/>
  <c r="E70" i="17"/>
  <c r="D146" i="17" s="1"/>
  <c r="D70" i="17"/>
  <c r="I260" i="17" s="1"/>
  <c r="E69" i="17"/>
  <c r="F69" i="17" s="1"/>
  <c r="D69" i="17"/>
  <c r="H259" i="17" s="1"/>
  <c r="E68" i="17"/>
  <c r="D144" i="17" s="1"/>
  <c r="D68" i="17"/>
  <c r="E258" i="17" s="1"/>
  <c r="E67" i="17"/>
  <c r="D143" i="17" s="1"/>
  <c r="D67" i="17"/>
  <c r="D247" i="17" s="1"/>
  <c r="F61" i="17"/>
  <c r="F60" i="17"/>
  <c r="F59" i="17"/>
  <c r="F58" i="17"/>
  <c r="F57" i="17"/>
  <c r="F56" i="17"/>
  <c r="F55" i="17"/>
  <c r="E50" i="17"/>
  <c r="D150" i="17" s="1"/>
  <c r="D50" i="17"/>
  <c r="D297" i="17" s="1"/>
  <c r="A13" i="17"/>
  <c r="A14" i="17" s="1"/>
  <c r="A15" i="17" s="1"/>
  <c r="A16" i="17" s="1"/>
  <c r="A17" i="17" s="1"/>
  <c r="A18" i="17" s="1"/>
  <c r="A19" i="17" s="1"/>
  <c r="A20" i="17" s="1"/>
  <c r="A5" i="17"/>
  <c r="A2" i="17"/>
  <c r="K39" i="18" l="1"/>
  <c r="K40" i="18"/>
  <c r="K38" i="18"/>
  <c r="I38" i="18"/>
  <c r="I39" i="18"/>
  <c r="I40" i="18"/>
  <c r="M39" i="18"/>
  <c r="M40" i="18"/>
  <c r="M38" i="18"/>
  <c r="E193" i="17"/>
  <c r="J191" i="17"/>
  <c r="G285" i="17"/>
  <c r="G274" i="17" s="1"/>
  <c r="G247" i="17"/>
  <c r="G286" i="17"/>
  <c r="G275" i="17" s="1"/>
  <c r="G283" i="17"/>
  <c r="G272" i="17" s="1"/>
  <c r="G251" i="17"/>
  <c r="G238" i="17" s="1"/>
  <c r="G281" i="17"/>
  <c r="G326" i="17"/>
  <c r="G313" i="17" s="1"/>
  <c r="G323" i="17"/>
  <c r="G310" i="17" s="1"/>
  <c r="G252" i="17"/>
  <c r="G239" i="17" s="1"/>
  <c r="G331" i="17" s="1"/>
  <c r="G249" i="17"/>
  <c r="J336" i="17"/>
  <c r="E313" i="17"/>
  <c r="J313" i="17" s="1"/>
  <c r="F247" i="17"/>
  <c r="F248" i="17"/>
  <c r="F281" i="17"/>
  <c r="F326" i="17"/>
  <c r="F252" i="17"/>
  <c r="F249" i="17"/>
  <c r="H286" i="17"/>
  <c r="H275" i="17" s="1"/>
  <c r="H283" i="17"/>
  <c r="H272" i="17" s="1"/>
  <c r="H281" i="17"/>
  <c r="H326" i="17"/>
  <c r="H313" i="17" s="1"/>
  <c r="H252" i="17"/>
  <c r="H249" i="17"/>
  <c r="H285" i="17"/>
  <c r="H274" i="17" s="1"/>
  <c r="H247" i="17"/>
  <c r="I283" i="17"/>
  <c r="I272" i="17" s="1"/>
  <c r="I251" i="17"/>
  <c r="I238" i="17" s="1"/>
  <c r="I248" i="17"/>
  <c r="I235" i="17" s="1"/>
  <c r="I281" i="17"/>
  <c r="I326" i="17"/>
  <c r="I287" i="17"/>
  <c r="I276" i="17" s="1"/>
  <c r="I284" i="17"/>
  <c r="I273" i="17" s="1"/>
  <c r="I252" i="17"/>
  <c r="I249" i="17"/>
  <c r="I285" i="17"/>
  <c r="I274" i="17" s="1"/>
  <c r="I282" i="17"/>
  <c r="I247" i="17"/>
  <c r="J116" i="17"/>
  <c r="H116" i="17"/>
  <c r="K115" i="17"/>
  <c r="F116" i="17"/>
  <c r="E116" i="17"/>
  <c r="E121" i="17"/>
  <c r="H151" i="17"/>
  <c r="E277" i="17"/>
  <c r="J262" i="17"/>
  <c r="E239" i="17"/>
  <c r="H150" i="17"/>
  <c r="J258" i="17"/>
  <c r="E235" i="17"/>
  <c r="J241" i="17"/>
  <c r="E333" i="17"/>
  <c r="F124" i="17"/>
  <c r="H193" i="17"/>
  <c r="E300" i="17"/>
  <c r="J298" i="17"/>
  <c r="F67" i="17"/>
  <c r="J122" i="17"/>
  <c r="D124" i="17"/>
  <c r="I124" i="17" s="1"/>
  <c r="I129" i="17" s="1"/>
  <c r="I130" i="17" s="1"/>
  <c r="E134" i="17"/>
  <c r="J185" i="17"/>
  <c r="J188" i="17"/>
  <c r="F193" i="17"/>
  <c r="J220" i="17"/>
  <c r="F228" i="17"/>
  <c r="D236" i="17"/>
  <c r="F258" i="17"/>
  <c r="I259" i="17"/>
  <c r="F262" i="17"/>
  <c r="D273" i="17"/>
  <c r="F336" i="17"/>
  <c r="D284" i="17"/>
  <c r="F284" i="17" s="1"/>
  <c r="D287" i="17"/>
  <c r="F287" i="17" s="1"/>
  <c r="D292" i="17"/>
  <c r="D296" i="17"/>
  <c r="G134" i="17"/>
  <c r="J143" i="17"/>
  <c r="D145" i="17"/>
  <c r="E257" i="17"/>
  <c r="H258" i="17"/>
  <c r="E261" i="17"/>
  <c r="H262" i="17"/>
  <c r="E335" i="17"/>
  <c r="H336" i="17"/>
  <c r="G258" i="17"/>
  <c r="F68" i="17"/>
  <c r="D123" i="17"/>
  <c r="G124" i="17"/>
  <c r="G129" i="17" s="1"/>
  <c r="G130" i="17" s="1"/>
  <c r="J170" i="17"/>
  <c r="D83" i="17" s="1"/>
  <c r="D85" i="17" s="1"/>
  <c r="D235" i="17"/>
  <c r="D239" i="17"/>
  <c r="I258" i="17"/>
  <c r="F261" i="17"/>
  <c r="I262" i="17"/>
  <c r="D272" i="17"/>
  <c r="D276" i="17"/>
  <c r="D313" i="17"/>
  <c r="F335" i="17"/>
  <c r="I336" i="17"/>
  <c r="F73" i="17"/>
  <c r="I134" i="17"/>
  <c r="F150" i="17"/>
  <c r="F151" i="17" s="1"/>
  <c r="J187" i="17"/>
  <c r="F209" i="17"/>
  <c r="J222" i="17"/>
  <c r="G257" i="17"/>
  <c r="D260" i="17"/>
  <c r="G261" i="17"/>
  <c r="E272" i="17"/>
  <c r="E276" i="17"/>
  <c r="D295" i="17"/>
  <c r="D334" i="17"/>
  <c r="G335" i="17"/>
  <c r="G209" i="17"/>
  <c r="E226" i="17"/>
  <c r="D248" i="17"/>
  <c r="G248" i="17" s="1"/>
  <c r="G235" i="17" s="1"/>
  <c r="D251" i="17"/>
  <c r="H251" i="17" s="1"/>
  <c r="H257" i="17"/>
  <c r="E260" i="17"/>
  <c r="H261" i="17"/>
  <c r="D283" i="17"/>
  <c r="F283" i="17" s="1"/>
  <c r="D286" i="17"/>
  <c r="F286" i="17" s="1"/>
  <c r="D325" i="17"/>
  <c r="F325" i="17" s="1"/>
  <c r="H335" i="17"/>
  <c r="D122" i="17"/>
  <c r="D126" i="17"/>
  <c r="D234" i="17"/>
  <c r="D238" i="17"/>
  <c r="I257" i="17"/>
  <c r="F260" i="17"/>
  <c r="D271" i="17"/>
  <c r="D275" i="17"/>
  <c r="D312" i="17"/>
  <c r="I335" i="17"/>
  <c r="F129" i="17"/>
  <c r="F130" i="17" s="1"/>
  <c r="D259" i="17"/>
  <c r="G260" i="17"/>
  <c r="D294" i="17"/>
  <c r="E259" i="17"/>
  <c r="H260" i="17"/>
  <c r="F70" i="17"/>
  <c r="D125" i="17"/>
  <c r="D237" i="17"/>
  <c r="D250" i="17"/>
  <c r="F250" i="17" s="1"/>
  <c r="F259" i="17"/>
  <c r="F263" i="17" s="1"/>
  <c r="D274" i="17"/>
  <c r="D282" i="17"/>
  <c r="H282" i="17" s="1"/>
  <c r="D285" i="17"/>
  <c r="F285" i="17" s="1"/>
  <c r="D311" i="17"/>
  <c r="D324" i="17"/>
  <c r="D128" i="17"/>
  <c r="D258" i="17"/>
  <c r="G259" i="17"/>
  <c r="D262" i="17"/>
  <c r="D293" i="17"/>
  <c r="D336" i="17"/>
  <c r="G80" i="17"/>
  <c r="H80" i="17" s="1"/>
  <c r="F276" i="17" l="1"/>
  <c r="H238" i="17"/>
  <c r="H322" i="17"/>
  <c r="J283" i="17"/>
  <c r="F272" i="17"/>
  <c r="F275" i="17"/>
  <c r="J275" i="17" s="1"/>
  <c r="F273" i="17"/>
  <c r="F274" i="17"/>
  <c r="J274" i="17" s="1"/>
  <c r="J285" i="17"/>
  <c r="F237" i="17"/>
  <c r="F321" i="17"/>
  <c r="H271" i="17"/>
  <c r="H277" i="17" s="1"/>
  <c r="F312" i="17"/>
  <c r="I150" i="17"/>
  <c r="I151" i="17" s="1"/>
  <c r="I271" i="17"/>
  <c r="I277" i="17" s="1"/>
  <c r="J193" i="17"/>
  <c r="J276" i="17"/>
  <c r="H320" i="17"/>
  <c r="H236" i="17"/>
  <c r="G322" i="17"/>
  <c r="J272" i="17"/>
  <c r="J333" i="17"/>
  <c r="E310" i="17"/>
  <c r="J310" i="17" s="1"/>
  <c r="I286" i="17"/>
  <c r="I275" i="17" s="1"/>
  <c r="H239" i="17"/>
  <c r="H331" i="17" s="1"/>
  <c r="G320" i="17"/>
  <c r="G236" i="17"/>
  <c r="G325" i="17"/>
  <c r="G312" i="17" s="1"/>
  <c r="G135" i="17"/>
  <c r="G150" i="17"/>
  <c r="G151" i="17" s="1"/>
  <c r="I234" i="17"/>
  <c r="I253" i="17"/>
  <c r="H325" i="17"/>
  <c r="H312" i="17" s="1"/>
  <c r="I250" i="17"/>
  <c r="I322" i="17"/>
  <c r="H284" i="17"/>
  <c r="H273" i="17" s="1"/>
  <c r="G234" i="17"/>
  <c r="J260" i="17"/>
  <c r="E237" i="17"/>
  <c r="J335" i="17"/>
  <c r="E312" i="17"/>
  <c r="J312" i="17" s="1"/>
  <c r="E135" i="17"/>
  <c r="J134" i="17"/>
  <c r="I135" i="17" s="1"/>
  <c r="H124" i="17"/>
  <c r="H129" i="17" s="1"/>
  <c r="H130" i="17" s="1"/>
  <c r="E124" i="17"/>
  <c r="I320" i="17"/>
  <c r="I236" i="17"/>
  <c r="I325" i="17"/>
  <c r="I312" i="17" s="1"/>
  <c r="H287" i="17"/>
  <c r="H276" i="17" s="1"/>
  <c r="G284" i="17"/>
  <c r="G273" i="17" s="1"/>
  <c r="G250" i="17"/>
  <c r="G253" i="17" s="1"/>
  <c r="F235" i="17"/>
  <c r="F251" i="17"/>
  <c r="E236" i="17"/>
  <c r="J259" i="17"/>
  <c r="I263" i="17"/>
  <c r="H263" i="17"/>
  <c r="G263" i="17"/>
  <c r="I239" i="17"/>
  <c r="I331" i="17" s="1"/>
  <c r="H323" i="17"/>
  <c r="H310" i="17" s="1"/>
  <c r="J249" i="17"/>
  <c r="F320" i="17"/>
  <c r="F236" i="17"/>
  <c r="G287" i="17"/>
  <c r="G276" i="17" s="1"/>
  <c r="G282" i="17"/>
  <c r="E228" i="17"/>
  <c r="J228" i="17" s="1"/>
  <c r="J226" i="17"/>
  <c r="J257" i="17"/>
  <c r="E234" i="17"/>
  <c r="E263" i="17"/>
  <c r="I323" i="17"/>
  <c r="I310" i="17" s="1"/>
  <c r="H250" i="17"/>
  <c r="H248" i="17"/>
  <c r="H235" i="17" s="1"/>
  <c r="J235" i="17" s="1"/>
  <c r="F282" i="17"/>
  <c r="J326" i="17"/>
  <c r="F313" i="17"/>
  <c r="J261" i="17"/>
  <c r="E238" i="17"/>
  <c r="J252" i="17"/>
  <c r="F239" i="17"/>
  <c r="F331" i="17" s="1"/>
  <c r="F234" i="17"/>
  <c r="F253" i="17"/>
  <c r="J247" i="17"/>
  <c r="H234" i="17"/>
  <c r="E331" i="17"/>
  <c r="I313" i="17"/>
  <c r="F323" i="17"/>
  <c r="G265" i="17" l="1"/>
  <c r="G324" i="17"/>
  <c r="H237" i="17"/>
  <c r="H240" i="17" s="1"/>
  <c r="H321" i="17"/>
  <c r="J250" i="17"/>
  <c r="E265" i="17"/>
  <c r="J263" i="17"/>
  <c r="F240" i="17"/>
  <c r="E240" i="17"/>
  <c r="J234" i="17"/>
  <c r="J287" i="17"/>
  <c r="I288" i="17"/>
  <c r="I300" i="17" s="1"/>
  <c r="I265" i="17"/>
  <c r="I324" i="17"/>
  <c r="J273" i="17"/>
  <c r="H253" i="17"/>
  <c r="J253" i="17"/>
  <c r="F265" i="17"/>
  <c r="F324" i="17"/>
  <c r="J323" i="17"/>
  <c r="F310" i="17"/>
  <c r="G271" i="17"/>
  <c r="G277" i="17" s="1"/>
  <c r="G288" i="17"/>
  <c r="G300" i="17" s="1"/>
  <c r="J284" i="17"/>
  <c r="J248" i="17"/>
  <c r="F308" i="17"/>
  <c r="G237" i="17"/>
  <c r="G240" i="17" s="1"/>
  <c r="G321" i="17"/>
  <c r="J321" i="17" s="1"/>
  <c r="J331" i="17"/>
  <c r="E308" i="17"/>
  <c r="J124" i="17"/>
  <c r="E129" i="17"/>
  <c r="I237" i="17"/>
  <c r="I240" i="17" s="1"/>
  <c r="I321" i="17"/>
  <c r="J325" i="17"/>
  <c r="J286" i="17"/>
  <c r="J236" i="17"/>
  <c r="J239" i="17"/>
  <c r="J251" i="17"/>
  <c r="F238" i="17"/>
  <c r="J238" i="17" s="1"/>
  <c r="F322" i="17"/>
  <c r="F327" i="17" s="1"/>
  <c r="F271" i="17"/>
  <c r="F288" i="17"/>
  <c r="J282" i="17"/>
  <c r="J135" i="17"/>
  <c r="H135" i="17"/>
  <c r="E142" i="17"/>
  <c r="E150" i="17"/>
  <c r="F135" i="17"/>
  <c r="H288" i="17"/>
  <c r="H300" i="17" s="1"/>
  <c r="H242" i="17" l="1"/>
  <c r="H334" i="17" s="1"/>
  <c r="H332" i="17"/>
  <c r="G332" i="17"/>
  <c r="G242" i="17"/>
  <c r="G334" i="17" s="1"/>
  <c r="I332" i="17"/>
  <c r="I242" i="17"/>
  <c r="I334" i="17" s="1"/>
  <c r="J327" i="17"/>
  <c r="G311" i="17"/>
  <c r="F311" i="17"/>
  <c r="J324" i="17"/>
  <c r="J237" i="17"/>
  <c r="I308" i="17"/>
  <c r="I327" i="17"/>
  <c r="E332" i="17"/>
  <c r="E242" i="17"/>
  <c r="E334" i="17" s="1"/>
  <c r="J240" i="17"/>
  <c r="J242" i="17" s="1"/>
  <c r="J288" i="17"/>
  <c r="F300" i="17"/>
  <c r="J300" i="17" s="1"/>
  <c r="F242" i="17"/>
  <c r="F334" i="17" s="1"/>
  <c r="F332" i="17"/>
  <c r="F337" i="17" s="1"/>
  <c r="F339" i="17" s="1"/>
  <c r="J150" i="17"/>
  <c r="E151" i="17"/>
  <c r="J151" i="17" s="1"/>
  <c r="F277" i="17"/>
  <c r="J277" i="17" s="1"/>
  <c r="J271" i="17"/>
  <c r="J322" i="17"/>
  <c r="J129" i="17"/>
  <c r="J130" i="17" s="1"/>
  <c r="J131" i="17" s="1"/>
  <c r="E130" i="17"/>
  <c r="H265" i="17"/>
  <c r="J265" i="17" s="1"/>
  <c r="H324" i="17"/>
  <c r="H311" i="17" s="1"/>
  <c r="G308" i="17"/>
  <c r="G327" i="17"/>
  <c r="I311" i="17"/>
  <c r="H308" i="17"/>
  <c r="H327" i="17"/>
  <c r="H314" i="17" l="1"/>
  <c r="H316" i="17" s="1"/>
  <c r="I339" i="17"/>
  <c r="J308" i="17"/>
  <c r="G314" i="17"/>
  <c r="G316" i="17" s="1"/>
  <c r="G337" i="17"/>
  <c r="G309" i="17"/>
  <c r="G339" i="17"/>
  <c r="J332" i="17"/>
  <c r="E309" i="17"/>
  <c r="E337" i="17"/>
  <c r="E131" i="17"/>
  <c r="F131" i="17"/>
  <c r="G131" i="17"/>
  <c r="I131" i="17"/>
  <c r="H131" i="17"/>
  <c r="H337" i="17"/>
  <c r="H339" i="17" s="1"/>
  <c r="H309" i="17"/>
  <c r="I309" i="17"/>
  <c r="I314" i="17" s="1"/>
  <c r="I316" i="17" s="1"/>
  <c r="I337" i="17"/>
  <c r="F309" i="17"/>
  <c r="F314" i="17" s="1"/>
  <c r="F316" i="17" s="1"/>
  <c r="J334" i="17"/>
  <c r="E311" i="17"/>
  <c r="J311" i="17" s="1"/>
  <c r="J309" i="17" l="1"/>
  <c r="E314" i="17"/>
  <c r="E339" i="17"/>
  <c r="J339" i="17" s="1"/>
  <c r="J337" i="17"/>
  <c r="E316" i="17" l="1"/>
  <c r="J314" i="17"/>
  <c r="J316" i="17" s="1"/>
  <c r="A5" i="16"/>
  <c r="A2" i="16"/>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K39" i="15"/>
  <c r="J39" i="15"/>
  <c r="I39" i="15"/>
  <c r="H39" i="15"/>
  <c r="G39" i="15"/>
  <c r="F39" i="15"/>
  <c r="D39" i="15" s="1"/>
  <c r="E39" i="15"/>
  <c r="A39" i="15"/>
  <c r="D38" i="15"/>
  <c r="A38" i="15"/>
  <c r="A37" i="15"/>
  <c r="A36" i="15"/>
  <c r="D35" i="15"/>
  <c r="A35" i="15"/>
  <c r="D34" i="15"/>
  <c r="A34" i="15"/>
  <c r="A33" i="15"/>
  <c r="D32" i="15"/>
  <c r="A32" i="15"/>
  <c r="D31" i="15"/>
  <c r="A31" i="15"/>
  <c r="A30" i="15"/>
  <c r="D29" i="15"/>
  <c r="A29" i="15"/>
  <c r="D28" i="15"/>
  <c r="A28" i="15"/>
  <c r="A27" i="15"/>
  <c r="D26" i="15"/>
  <c r="A26" i="15"/>
  <c r="D25" i="15"/>
  <c r="A25" i="15"/>
  <c r="A24" i="15"/>
  <c r="A23" i="15"/>
  <c r="A22" i="15"/>
  <c r="A21" i="15"/>
  <c r="A20" i="15"/>
  <c r="A19" i="15"/>
  <c r="A18" i="15"/>
  <c r="A17" i="15"/>
  <c r="A16" i="15"/>
  <c r="A15" i="15"/>
  <c r="A14" i="15"/>
  <c r="A13" i="15"/>
  <c r="A12" i="15"/>
  <c r="F11" i="15"/>
  <c r="G10" i="15" s="1"/>
  <c r="G11" i="15" s="1"/>
  <c r="H10" i="15" s="1"/>
  <c r="H11" i="15" s="1"/>
  <c r="I10" i="15" s="1"/>
  <c r="I11" i="15" s="1"/>
  <c r="J10" i="15" s="1"/>
  <c r="J11" i="15" s="1"/>
  <c r="K10" i="15" s="1"/>
  <c r="K11" i="15" s="1"/>
  <c r="E10" i="15"/>
  <c r="A5" i="15"/>
  <c r="A2" i="15"/>
  <c r="E11" i="15" l="1"/>
  <c r="N44" i="14" l="1"/>
  <c r="N45" i="14" s="1"/>
  <c r="M44" i="14"/>
  <c r="L44" i="14"/>
  <c r="L45" i="14" s="1"/>
  <c r="K44" i="14"/>
  <c r="K45" i="14" s="1"/>
  <c r="J44" i="14"/>
  <c r="I44" i="14"/>
  <c r="H44" i="14"/>
  <c r="G44" i="14" s="1"/>
  <c r="A44" i="14"/>
  <c r="G43" i="14"/>
  <c r="A43" i="14"/>
  <c r="G42" i="14"/>
  <c r="A42" i="14"/>
  <c r="G41" i="14"/>
  <c r="A41" i="14"/>
  <c r="G40" i="14"/>
  <c r="A40" i="14"/>
  <c r="G39" i="14"/>
  <c r="A39" i="14"/>
  <c r="G38" i="14"/>
  <c r="A38" i="14"/>
  <c r="G37" i="14"/>
  <c r="A37" i="14"/>
  <c r="G36" i="14"/>
  <c r="A36" i="14"/>
  <c r="A35" i="14"/>
  <c r="N34" i="14"/>
  <c r="M34" i="14"/>
  <c r="L34" i="14"/>
  <c r="K34" i="14"/>
  <c r="J34" i="14"/>
  <c r="I34" i="14"/>
  <c r="H34" i="14"/>
  <c r="A34" i="14"/>
  <c r="A33" i="14"/>
  <c r="A32" i="14"/>
  <c r="A31" i="14"/>
  <c r="A30" i="14"/>
  <c r="A29" i="14"/>
  <c r="A28" i="14"/>
  <c r="A27" i="14"/>
  <c r="A26" i="14"/>
  <c r="A25" i="14"/>
  <c r="J15" i="14"/>
  <c r="A24" i="14"/>
  <c r="A23" i="14"/>
  <c r="A22" i="14"/>
  <c r="A21" i="14"/>
  <c r="A20" i="14"/>
  <c r="I15" i="14"/>
  <c r="A19" i="14"/>
  <c r="A18" i="14"/>
  <c r="A17" i="14"/>
  <c r="A16" i="14"/>
  <c r="A15" i="14"/>
  <c r="A14" i="14"/>
  <c r="I13" i="14"/>
  <c r="A5" i="14"/>
  <c r="A2" i="14"/>
  <c r="H12" i="14" l="1"/>
  <c r="I35" i="14"/>
  <c r="J12" i="14"/>
  <c r="J13" i="14" s="1"/>
  <c r="K15" i="14"/>
  <c r="M15" i="14"/>
  <c r="L15" i="14"/>
  <c r="N15" i="14"/>
  <c r="J31" i="14"/>
  <c r="J32" i="14" s="1"/>
  <c r="K31" i="14"/>
  <c r="K32" i="14" s="1"/>
  <c r="J35" i="14"/>
  <c r="K12" i="14"/>
  <c r="K13" i="14" s="1"/>
  <c r="M45" i="14"/>
  <c r="J45" i="14"/>
  <c r="G45" i="14"/>
  <c r="I45" i="14"/>
  <c r="L31" i="14"/>
  <c r="L32" i="14" s="1"/>
  <c r="M31" i="14"/>
  <c r="M32" i="14" s="1"/>
  <c r="H13" i="14"/>
  <c r="H35" i="14" s="1"/>
  <c r="N31" i="14"/>
  <c r="N32" i="14" s="1"/>
  <c r="H45" i="14"/>
  <c r="I31" i="14"/>
  <c r="I32" i="14" s="1"/>
  <c r="K35" i="14" l="1"/>
  <c r="L12" i="14"/>
  <c r="L13" i="14" s="1"/>
  <c r="M12" i="14" l="1"/>
  <c r="M13" i="14" s="1"/>
  <c r="L35" i="14"/>
  <c r="N12" i="14" l="1"/>
  <c r="N13" i="14" s="1"/>
  <c r="N35" i="14" s="1"/>
  <c r="M35" i="14"/>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4" i="13"/>
  <c r="A63" i="13"/>
  <c r="A62" i="13"/>
  <c r="A61" i="13"/>
  <c r="A60" i="13"/>
  <c r="A59" i="13"/>
  <c r="A58" i="13"/>
  <c r="A57" i="13"/>
  <c r="A56" i="13"/>
  <c r="AJ55" i="13" a="1"/>
  <c r="AJ55" i="13" s="1"/>
  <c r="AI55" i="13" a="1"/>
  <c r="AI55" i="13" s="1"/>
  <c r="AH55" i="13" a="1"/>
  <c r="AH55" i="13" s="1"/>
  <c r="AG55" i="13" a="1"/>
  <c r="AG55" i="13" s="1"/>
  <c r="AF55" i="13" a="1"/>
  <c r="AF55" i="13" s="1"/>
  <c r="AE55" i="13" a="1"/>
  <c r="AE55" i="13" s="1"/>
  <c r="AD55" i="13" a="1"/>
  <c r="AD55" i="13" s="1"/>
  <c r="AC55" i="13" a="1"/>
  <c r="AC55" i="13" s="1"/>
  <c r="AB55" i="13" a="1"/>
  <c r="AB55" i="13" s="1"/>
  <c r="AA55" i="13" a="1"/>
  <c r="AA55" i="13" s="1"/>
  <c r="Z55" i="13" a="1"/>
  <c r="Z55" i="13" s="1"/>
  <c r="Y55" i="13" a="1"/>
  <c r="Y55" i="13" s="1"/>
  <c r="A55" i="13"/>
  <c r="AJ54" i="13" a="1"/>
  <c r="AJ54" i="13" s="1"/>
  <c r="AI54" i="13" a="1"/>
  <c r="AI54" i="13" s="1"/>
  <c r="AH54" i="13" a="1"/>
  <c r="AH54" i="13" s="1"/>
  <c r="AG54" i="13" a="1"/>
  <c r="AG54" i="13" s="1"/>
  <c r="AF54" i="13" a="1"/>
  <c r="AF54" i="13" s="1"/>
  <c r="AE54" i="13" a="1"/>
  <c r="AE54" i="13" s="1"/>
  <c r="AD54" i="13" a="1"/>
  <c r="AD54" i="13" s="1"/>
  <c r="AC54" i="13" a="1"/>
  <c r="AC54" i="13" s="1"/>
  <c r="AB54" i="13" a="1"/>
  <c r="AB54" i="13" s="1"/>
  <c r="AA54" i="13" a="1"/>
  <c r="AA54" i="13" s="1"/>
  <c r="Z54" i="13" a="1"/>
  <c r="Z54" i="13" s="1"/>
  <c r="Y54" i="13" a="1"/>
  <c r="Y54" i="13" s="1"/>
  <c r="A54" i="13"/>
  <c r="AJ53" i="13" a="1"/>
  <c r="AJ53" i="13" s="1"/>
  <c r="AI53" i="13" a="1"/>
  <c r="AI53" i="13" s="1"/>
  <c r="AH53" i="13" a="1"/>
  <c r="AH53" i="13" s="1"/>
  <c r="AG53" i="13" a="1"/>
  <c r="AG53" i="13" s="1"/>
  <c r="AF53" i="13" a="1"/>
  <c r="AF53" i="13" s="1"/>
  <c r="AE53" i="13" a="1"/>
  <c r="AE53" i="13" s="1"/>
  <c r="AD53" i="13" a="1"/>
  <c r="AD53" i="13" s="1"/>
  <c r="AC53" i="13" a="1"/>
  <c r="AC53" i="13" s="1"/>
  <c r="AB53" i="13" a="1"/>
  <c r="AB53" i="13" s="1"/>
  <c r="AA53" i="13" a="1"/>
  <c r="AA53" i="13" s="1"/>
  <c r="Z53" i="13" a="1"/>
  <c r="Z53" i="13" s="1"/>
  <c r="Y53" i="13" a="1"/>
  <c r="Y53" i="13" s="1"/>
  <c r="A53" i="13"/>
  <c r="AJ52" i="13" a="1"/>
  <c r="AJ52" i="13" s="1"/>
  <c r="AI52" i="13" a="1"/>
  <c r="AI52" i="13" s="1"/>
  <c r="AH52" i="13" a="1"/>
  <c r="AH52" i="13" s="1"/>
  <c r="AG52" i="13" a="1"/>
  <c r="AG52" i="13" s="1"/>
  <c r="AF52" i="13" a="1"/>
  <c r="AF52" i="13" s="1"/>
  <c r="AE52" i="13" a="1"/>
  <c r="AE52" i="13" s="1"/>
  <c r="AD52" i="13" a="1"/>
  <c r="AD52" i="13" s="1"/>
  <c r="AC52" i="13" a="1"/>
  <c r="AC52" i="13" s="1"/>
  <c r="AB52" i="13" a="1"/>
  <c r="AB52" i="13" s="1"/>
  <c r="AA52" i="13" a="1"/>
  <c r="AA52" i="13" s="1"/>
  <c r="Z52" i="13" a="1"/>
  <c r="Z52" i="13" s="1"/>
  <c r="Y52" i="13" a="1"/>
  <c r="Y52" i="13" s="1"/>
  <c r="A52" i="13"/>
  <c r="AJ51" i="13" a="1"/>
  <c r="AJ51" i="13" s="1"/>
  <c r="AI51" i="13" a="1"/>
  <c r="AI51" i="13" s="1"/>
  <c r="AH51" i="13" a="1"/>
  <c r="AH51" i="13" s="1"/>
  <c r="AG51" i="13" a="1"/>
  <c r="AG51" i="13" s="1"/>
  <c r="AF51" i="13" a="1"/>
  <c r="AF51" i="13" s="1"/>
  <c r="AE51" i="13" a="1"/>
  <c r="AE51" i="13" s="1"/>
  <c r="AD51" i="13" a="1"/>
  <c r="AD51" i="13" s="1"/>
  <c r="AC51" i="13" a="1"/>
  <c r="AC51" i="13" s="1"/>
  <c r="AB51" i="13" a="1"/>
  <c r="AB51" i="13" s="1"/>
  <c r="AA51" i="13" a="1"/>
  <c r="AA51" i="13" s="1"/>
  <c r="Z51" i="13" a="1"/>
  <c r="Z51" i="13" s="1"/>
  <c r="Y51" i="13" a="1"/>
  <c r="Y51" i="13" s="1"/>
  <c r="F51" i="13"/>
  <c r="D51" i="13"/>
  <c r="A51" i="13"/>
  <c r="AJ50" i="13" a="1"/>
  <c r="AJ50" i="13" s="1"/>
  <c r="AI50" i="13" a="1"/>
  <c r="AI50" i="13" s="1"/>
  <c r="AH50" i="13" a="1"/>
  <c r="AH50" i="13" s="1"/>
  <c r="AG50" i="13" a="1"/>
  <c r="AG50" i="13" s="1"/>
  <c r="AF50" i="13" a="1"/>
  <c r="AF50" i="13" s="1"/>
  <c r="AE50" i="13" a="1"/>
  <c r="AE50" i="13" s="1"/>
  <c r="AD50" i="13" a="1"/>
  <c r="AD50" i="13" s="1"/>
  <c r="AC50" i="13" a="1"/>
  <c r="AC50" i="13" s="1"/>
  <c r="AB50" i="13" a="1"/>
  <c r="AB50" i="13" s="1"/>
  <c r="AA50" i="13" a="1"/>
  <c r="AA50" i="13" s="1"/>
  <c r="Z50" i="13" a="1"/>
  <c r="Z50" i="13" s="1"/>
  <c r="Y50" i="13" a="1"/>
  <c r="Y50" i="13" s="1"/>
  <c r="A50" i="13"/>
  <c r="AJ49" i="13" a="1"/>
  <c r="AJ49" i="13" s="1"/>
  <c r="AI49" i="13" a="1"/>
  <c r="AI49" i="13" s="1"/>
  <c r="AH49" i="13" a="1"/>
  <c r="AH49" i="13" s="1"/>
  <c r="AG49" i="13" a="1"/>
  <c r="AG49" i="13" s="1"/>
  <c r="AF49" i="13" a="1"/>
  <c r="AF49" i="13" s="1"/>
  <c r="AE49" i="13" a="1"/>
  <c r="AE49" i="13" s="1"/>
  <c r="AD49" i="13" a="1"/>
  <c r="AD49" i="13" s="1"/>
  <c r="AC49" i="13" a="1"/>
  <c r="AC49" i="13" s="1"/>
  <c r="AB49" i="13" a="1"/>
  <c r="AB49" i="13" s="1"/>
  <c r="AA49" i="13" a="1"/>
  <c r="AA49" i="13" s="1"/>
  <c r="Z49" i="13" a="1"/>
  <c r="Z49" i="13" s="1"/>
  <c r="Y49" i="13" a="1"/>
  <c r="Y49" i="13" s="1"/>
  <c r="I49" i="13"/>
  <c r="I50" i="13" s="1"/>
  <c r="I51" i="13" s="1"/>
  <c r="F49" i="13"/>
  <c r="F50" i="13" s="1"/>
  <c r="A49" i="13"/>
  <c r="AJ48" i="13" a="1"/>
  <c r="AJ48" i="13" s="1"/>
  <c r="AI48" i="13" a="1"/>
  <c r="AI48" i="13" s="1"/>
  <c r="AH48" i="13" a="1"/>
  <c r="AH48" i="13" s="1"/>
  <c r="AG48" i="13" a="1"/>
  <c r="AG48" i="13" s="1"/>
  <c r="AF48" i="13" a="1"/>
  <c r="AF48" i="13" s="1"/>
  <c r="AE48" i="13" a="1"/>
  <c r="AE48" i="13" s="1"/>
  <c r="AD48" i="13" a="1"/>
  <c r="AD48" i="13" s="1"/>
  <c r="AC48" i="13" a="1"/>
  <c r="AC48" i="13" s="1"/>
  <c r="AB48" i="13" a="1"/>
  <c r="AB48" i="13" s="1"/>
  <c r="AA48" i="13" a="1"/>
  <c r="AA48" i="13" s="1"/>
  <c r="Z48" i="13" a="1"/>
  <c r="Z48" i="13" s="1"/>
  <c r="Y48" i="13" a="1"/>
  <c r="Y48" i="13" s="1"/>
  <c r="E48" i="13"/>
  <c r="A48" i="13"/>
  <c r="AJ47" i="13" a="1"/>
  <c r="AJ47" i="13" s="1"/>
  <c r="AI47" i="13" a="1"/>
  <c r="AI47" i="13" s="1"/>
  <c r="AH47" i="13" a="1"/>
  <c r="AH47" i="13" s="1"/>
  <c r="AG47" i="13" a="1"/>
  <c r="AG47" i="13" s="1"/>
  <c r="AF47" i="13" a="1"/>
  <c r="AF47" i="13" s="1"/>
  <c r="AE47" i="13" a="1"/>
  <c r="AE47" i="13" s="1"/>
  <c r="AD47" i="13" a="1"/>
  <c r="AD47" i="13" s="1"/>
  <c r="AC47" i="13" a="1"/>
  <c r="AC47" i="13" s="1"/>
  <c r="AB47" i="13" a="1"/>
  <c r="AB47" i="13" s="1"/>
  <c r="AA47" i="13" a="1"/>
  <c r="AA47" i="13" s="1"/>
  <c r="Z47" i="13" a="1"/>
  <c r="Z47" i="13" s="1"/>
  <c r="Y47" i="13" a="1"/>
  <c r="Y47" i="13" s="1"/>
  <c r="E47" i="13"/>
  <c r="A47" i="13"/>
  <c r="AJ46" i="13" a="1"/>
  <c r="AJ46" i="13" s="1"/>
  <c r="AI46" i="13" a="1"/>
  <c r="AI46" i="13" s="1"/>
  <c r="AH46" i="13" a="1"/>
  <c r="AH46" i="13" s="1"/>
  <c r="AG46" i="13" a="1"/>
  <c r="AG46" i="13" s="1"/>
  <c r="AF46" i="13" a="1"/>
  <c r="AF46" i="13" s="1"/>
  <c r="AE46" i="13" a="1"/>
  <c r="AE46" i="13" s="1"/>
  <c r="AD46" i="13" a="1"/>
  <c r="AD46" i="13" s="1"/>
  <c r="AC46" i="13" a="1"/>
  <c r="AC46" i="13" s="1"/>
  <c r="AB46" i="13" a="1"/>
  <c r="AB46" i="13" s="1"/>
  <c r="AA46" i="13" a="1"/>
  <c r="AA46" i="13" s="1"/>
  <c r="Z46" i="13" a="1"/>
  <c r="Z46" i="13" s="1"/>
  <c r="Y46" i="13" a="1"/>
  <c r="Y46" i="13" s="1"/>
  <c r="E46" i="13"/>
  <c r="A46" i="13"/>
  <c r="AJ45" i="13" a="1"/>
  <c r="AJ45" i="13" s="1"/>
  <c r="AI45" i="13" a="1"/>
  <c r="AI45" i="13" s="1"/>
  <c r="AH45" i="13" a="1"/>
  <c r="AH45" i="13" s="1"/>
  <c r="AG45" i="13" a="1"/>
  <c r="AG45" i="13" s="1"/>
  <c r="AF45" i="13" a="1"/>
  <c r="AF45" i="13" s="1"/>
  <c r="AE45" i="13" a="1"/>
  <c r="AE45" i="13" s="1"/>
  <c r="AD45" i="13" a="1"/>
  <c r="AD45" i="13" s="1"/>
  <c r="AC45" i="13" a="1"/>
  <c r="AC45" i="13" s="1"/>
  <c r="AB45" i="13" a="1"/>
  <c r="AB45" i="13" s="1"/>
  <c r="AA45" i="13" a="1"/>
  <c r="AA45" i="13" s="1"/>
  <c r="Z45" i="13" a="1"/>
  <c r="Z45" i="13" s="1"/>
  <c r="Y45" i="13" a="1"/>
  <c r="Y45" i="13" s="1"/>
  <c r="L45" i="13"/>
  <c r="K45" i="13"/>
  <c r="J45" i="13"/>
  <c r="I45" i="13"/>
  <c r="H45" i="13"/>
  <c r="G45" i="13"/>
  <c r="E45" i="13" s="1"/>
  <c r="A45" i="13"/>
  <c r="AJ44" i="13" a="1"/>
  <c r="AJ44" i="13" s="1"/>
  <c r="AI44" i="13" a="1"/>
  <c r="AI44" i="13" s="1"/>
  <c r="AH44" i="13" a="1"/>
  <c r="AH44" i="13" s="1"/>
  <c r="AG44" i="13" a="1"/>
  <c r="AG44" i="13" s="1"/>
  <c r="AF44" i="13" a="1"/>
  <c r="AF44" i="13" s="1"/>
  <c r="AE44" i="13" a="1"/>
  <c r="AE44" i="13" s="1"/>
  <c r="AD44" i="13" a="1"/>
  <c r="AD44" i="13" s="1"/>
  <c r="AC44" i="13" a="1"/>
  <c r="AC44" i="13" s="1"/>
  <c r="AB44" i="13" a="1"/>
  <c r="AB44" i="13" s="1"/>
  <c r="AA44" i="13" a="1"/>
  <c r="AA44" i="13" s="1"/>
  <c r="Z44" i="13" a="1"/>
  <c r="Z44" i="13" s="1"/>
  <c r="Y44" i="13" a="1"/>
  <c r="Y44" i="13" s="1"/>
  <c r="L44" i="13"/>
  <c r="K44" i="13"/>
  <c r="J44" i="13"/>
  <c r="I44" i="13"/>
  <c r="H44" i="13"/>
  <c r="G44" i="13"/>
  <c r="E44" i="13" s="1"/>
  <c r="A44" i="13"/>
  <c r="AJ43" i="13" a="1"/>
  <c r="AJ43" i="13" s="1"/>
  <c r="AI43" i="13" a="1"/>
  <c r="AI43" i="13" s="1"/>
  <c r="AH43" i="13" a="1"/>
  <c r="AH43" i="13" s="1"/>
  <c r="AG43" i="13" a="1"/>
  <c r="AG43" i="13" s="1"/>
  <c r="AF43" i="13" a="1"/>
  <c r="AF43" i="13" s="1"/>
  <c r="AE43" i="13" a="1"/>
  <c r="AE43" i="13" s="1"/>
  <c r="AD43" i="13" a="1"/>
  <c r="AD43" i="13" s="1"/>
  <c r="AC43" i="13" a="1"/>
  <c r="AC43" i="13" s="1"/>
  <c r="AB43" i="13" a="1"/>
  <c r="AB43" i="13" s="1"/>
  <c r="AA43" i="13" a="1"/>
  <c r="AA43" i="13" s="1"/>
  <c r="Z43" i="13" a="1"/>
  <c r="Z43" i="13" s="1"/>
  <c r="Y43" i="13" a="1"/>
  <c r="Y43" i="13" s="1"/>
  <c r="L43" i="13"/>
  <c r="K43" i="13"/>
  <c r="J43" i="13"/>
  <c r="I43" i="13"/>
  <c r="H43" i="13"/>
  <c r="G43" i="13"/>
  <c r="E43" i="13" s="1"/>
  <c r="A43" i="13"/>
  <c r="AJ42" i="13" a="1"/>
  <c r="AJ42" i="13" s="1"/>
  <c r="AI42" i="13" a="1"/>
  <c r="AI42" i="13" s="1"/>
  <c r="AH42" i="13" a="1"/>
  <c r="AH42" i="13" s="1"/>
  <c r="AG42" i="13" a="1"/>
  <c r="AG42" i="13" s="1"/>
  <c r="AF42" i="13" a="1"/>
  <c r="AF42" i="13" s="1"/>
  <c r="AE42" i="13" a="1"/>
  <c r="AE42" i="13" s="1"/>
  <c r="AD42" i="13" a="1"/>
  <c r="AD42" i="13" s="1"/>
  <c r="AC42" i="13" a="1"/>
  <c r="AC42" i="13" s="1"/>
  <c r="AB42" i="13" a="1"/>
  <c r="AB42" i="13" s="1"/>
  <c r="AA42" i="13" a="1"/>
  <c r="AA42" i="13" s="1"/>
  <c r="Z42" i="13" a="1"/>
  <c r="Z42" i="13" s="1"/>
  <c r="Y42" i="13" a="1"/>
  <c r="Y42" i="13" s="1"/>
  <c r="L42" i="13"/>
  <c r="K42" i="13"/>
  <c r="J42" i="13"/>
  <c r="I42" i="13"/>
  <c r="H42" i="13"/>
  <c r="G42" i="13"/>
  <c r="E42" i="13" s="1"/>
  <c r="A42" i="13"/>
  <c r="AJ41" i="13" a="1"/>
  <c r="AJ41" i="13" s="1"/>
  <c r="AI41" i="13" a="1"/>
  <c r="AI41" i="13" s="1"/>
  <c r="AH41" i="13" a="1"/>
  <c r="AH41" i="13" s="1"/>
  <c r="AG41" i="13" a="1"/>
  <c r="AG41" i="13" s="1"/>
  <c r="AF41" i="13" a="1"/>
  <c r="AF41" i="13" s="1"/>
  <c r="AE41" i="13" a="1"/>
  <c r="AE41" i="13" s="1"/>
  <c r="AD41" i="13" a="1"/>
  <c r="AD41" i="13" s="1"/>
  <c r="AC41" i="13" a="1"/>
  <c r="AC41" i="13" s="1"/>
  <c r="AB41" i="13" a="1"/>
  <c r="AB41" i="13" s="1"/>
  <c r="AA41" i="13" a="1"/>
  <c r="AA41" i="13" s="1"/>
  <c r="Z41" i="13" a="1"/>
  <c r="Z41" i="13" s="1"/>
  <c r="Y41" i="13" a="1"/>
  <c r="Y41" i="13" s="1"/>
  <c r="L41" i="13"/>
  <c r="K41" i="13"/>
  <c r="J41" i="13"/>
  <c r="I41" i="13"/>
  <c r="H41" i="13"/>
  <c r="G41" i="13"/>
  <c r="E41" i="13" s="1"/>
  <c r="A41" i="13"/>
  <c r="AJ40" i="13" a="1"/>
  <c r="AJ40" i="13" s="1"/>
  <c r="AI40" i="13" a="1"/>
  <c r="AI40" i="13" s="1"/>
  <c r="AH40" i="13" a="1"/>
  <c r="AH40" i="13" s="1"/>
  <c r="AG40" i="13" a="1"/>
  <c r="AG40" i="13" s="1"/>
  <c r="AF40" i="13" a="1"/>
  <c r="AF40" i="13" s="1"/>
  <c r="AE40" i="13" a="1"/>
  <c r="AE40" i="13" s="1"/>
  <c r="AD40" i="13" a="1"/>
  <c r="AD40" i="13" s="1"/>
  <c r="AC40" i="13" a="1"/>
  <c r="AC40" i="13" s="1"/>
  <c r="AB40" i="13" a="1"/>
  <c r="AB40" i="13" s="1"/>
  <c r="AA40" i="13" a="1"/>
  <c r="AA40" i="13" s="1"/>
  <c r="Z40" i="13" a="1"/>
  <c r="Z40" i="13" s="1"/>
  <c r="Y40" i="13" a="1"/>
  <c r="Y40" i="13" s="1"/>
  <c r="L40" i="13"/>
  <c r="K40" i="13"/>
  <c r="J40" i="13"/>
  <c r="I40" i="13"/>
  <c r="H40" i="13"/>
  <c r="G40" i="13"/>
  <c r="E40" i="13" s="1"/>
  <c r="A40" i="13"/>
  <c r="AJ39" i="13" a="1"/>
  <c r="AJ39" i="13" s="1"/>
  <c r="AI39" i="13" a="1"/>
  <c r="AI39" i="13" s="1"/>
  <c r="AH39" i="13" a="1"/>
  <c r="AH39" i="13" s="1"/>
  <c r="AG39" i="13" a="1"/>
  <c r="AG39" i="13" s="1"/>
  <c r="AF39" i="13" a="1"/>
  <c r="AF39" i="13" s="1"/>
  <c r="AE39" i="13" a="1"/>
  <c r="AE39" i="13" s="1"/>
  <c r="AD39" i="13" a="1"/>
  <c r="AD39" i="13" s="1"/>
  <c r="AC39" i="13" a="1"/>
  <c r="AC39" i="13" s="1"/>
  <c r="AB39" i="13" a="1"/>
  <c r="AB39" i="13" s="1"/>
  <c r="AA39" i="13" a="1"/>
  <c r="AA39" i="13" s="1"/>
  <c r="Z39" i="13" a="1"/>
  <c r="Z39" i="13" s="1"/>
  <c r="Y39" i="13" a="1"/>
  <c r="Y39" i="13" s="1"/>
  <c r="L39" i="13"/>
  <c r="K39" i="13"/>
  <c r="J39" i="13"/>
  <c r="I39" i="13"/>
  <c r="H39" i="13"/>
  <c r="G39" i="13"/>
  <c r="E39" i="13" s="1"/>
  <c r="A39" i="13"/>
  <c r="AJ38" i="13" a="1"/>
  <c r="AJ38" i="13" s="1"/>
  <c r="AI38" i="13" a="1"/>
  <c r="AI38" i="13" s="1"/>
  <c r="AH38" i="13" a="1"/>
  <c r="AH38" i="13" s="1"/>
  <c r="AG38" i="13" a="1"/>
  <c r="AG38" i="13" s="1"/>
  <c r="AF38" i="13" a="1"/>
  <c r="AF38" i="13" s="1"/>
  <c r="AE38" i="13" a="1"/>
  <c r="AE38" i="13" s="1"/>
  <c r="AD38" i="13" a="1"/>
  <c r="AD38" i="13" s="1"/>
  <c r="AC38" i="13" a="1"/>
  <c r="AC38" i="13" s="1"/>
  <c r="AB38" i="13" a="1"/>
  <c r="AB38" i="13" s="1"/>
  <c r="AA38" i="13" a="1"/>
  <c r="AA38" i="13" s="1"/>
  <c r="Z38" i="13" a="1"/>
  <c r="Z38" i="13" s="1"/>
  <c r="Y38" i="13" a="1"/>
  <c r="Y38" i="13" s="1"/>
  <c r="L38" i="13"/>
  <c r="K38" i="13"/>
  <c r="J38" i="13"/>
  <c r="I38" i="13"/>
  <c r="H38" i="13"/>
  <c r="G38" i="13"/>
  <c r="E38" i="13" s="1"/>
  <c r="A38" i="13"/>
  <c r="AJ37" i="13" a="1"/>
  <c r="AJ37" i="13" s="1"/>
  <c r="AI37" i="13" a="1"/>
  <c r="AI37" i="13" s="1"/>
  <c r="AH37" i="13" a="1"/>
  <c r="AH37" i="13" s="1"/>
  <c r="AG37" i="13" a="1"/>
  <c r="AG37" i="13" s="1"/>
  <c r="AF37" i="13" a="1"/>
  <c r="AF37" i="13" s="1"/>
  <c r="AE37" i="13" a="1"/>
  <c r="AE37" i="13" s="1"/>
  <c r="AD37" i="13" a="1"/>
  <c r="AD37" i="13" s="1"/>
  <c r="AC37" i="13" a="1"/>
  <c r="AC37" i="13" s="1"/>
  <c r="AB37" i="13" a="1"/>
  <c r="AB37" i="13" s="1"/>
  <c r="AA37" i="13" a="1"/>
  <c r="AA37" i="13" s="1"/>
  <c r="Z37" i="13" a="1"/>
  <c r="Z37" i="13" s="1"/>
  <c r="Y37" i="13" a="1"/>
  <c r="Y37" i="13" s="1"/>
  <c r="L37" i="13"/>
  <c r="K37" i="13"/>
  <c r="J37" i="13"/>
  <c r="I37" i="13"/>
  <c r="H37" i="13"/>
  <c r="G37" i="13"/>
  <c r="E37" i="13" s="1"/>
  <c r="A37" i="13"/>
  <c r="AJ36" i="13" a="1"/>
  <c r="AJ36" i="13" s="1"/>
  <c r="AI36" i="13" a="1"/>
  <c r="AI36" i="13" s="1"/>
  <c r="AH36" i="13" a="1"/>
  <c r="AH36" i="13" s="1"/>
  <c r="AG36" i="13" a="1"/>
  <c r="AG36" i="13" s="1"/>
  <c r="AF36" i="13" a="1"/>
  <c r="AF36" i="13" s="1"/>
  <c r="AE36" i="13" a="1"/>
  <c r="AE36" i="13" s="1"/>
  <c r="AD36" i="13" a="1"/>
  <c r="AD36" i="13" s="1"/>
  <c r="AC36" i="13" a="1"/>
  <c r="AC36" i="13" s="1"/>
  <c r="AB36" i="13" a="1"/>
  <c r="AB36" i="13" s="1"/>
  <c r="AA36" i="13" a="1"/>
  <c r="AA36" i="13" s="1"/>
  <c r="Z36" i="13" a="1"/>
  <c r="Z36" i="13" s="1"/>
  <c r="Y36" i="13" a="1"/>
  <c r="Y36" i="13" s="1"/>
  <c r="L36" i="13"/>
  <c r="K36" i="13"/>
  <c r="J36" i="13"/>
  <c r="I36" i="13"/>
  <c r="H36" i="13"/>
  <c r="G36" i="13"/>
  <c r="E36" i="13" s="1"/>
  <c r="A36" i="13"/>
  <c r="AJ35" i="13" a="1"/>
  <c r="AJ35" i="13" s="1"/>
  <c r="AI35" i="13" a="1"/>
  <c r="AI35" i="13" s="1"/>
  <c r="AH35" i="13" a="1"/>
  <c r="AH35" i="13" s="1"/>
  <c r="AG35" i="13" a="1"/>
  <c r="AG35" i="13" s="1"/>
  <c r="AF35" i="13" a="1"/>
  <c r="AF35" i="13" s="1"/>
  <c r="AE35" i="13" a="1"/>
  <c r="AE35" i="13" s="1"/>
  <c r="AD35" i="13" a="1"/>
  <c r="AD35" i="13" s="1"/>
  <c r="AC35" i="13" a="1"/>
  <c r="AC35" i="13" s="1"/>
  <c r="AB35" i="13" a="1"/>
  <c r="AB35" i="13" s="1"/>
  <c r="AA35" i="13" a="1"/>
  <c r="AA35" i="13" s="1"/>
  <c r="Z35" i="13" a="1"/>
  <c r="Z35" i="13" s="1"/>
  <c r="Y35" i="13" a="1"/>
  <c r="Y35" i="13" s="1"/>
  <c r="L35" i="13"/>
  <c r="K35" i="13"/>
  <c r="J35" i="13"/>
  <c r="I35" i="13"/>
  <c r="H35" i="13"/>
  <c r="G35" i="13"/>
  <c r="E35" i="13" s="1"/>
  <c r="A35" i="13"/>
  <c r="AJ34" i="13" a="1"/>
  <c r="AJ34" i="13" s="1"/>
  <c r="AI34" i="13" a="1"/>
  <c r="AI34" i="13" s="1"/>
  <c r="AH34" i="13" a="1"/>
  <c r="AH34" i="13" s="1"/>
  <c r="AG34" i="13" a="1"/>
  <c r="AG34" i="13" s="1"/>
  <c r="AF34" i="13" a="1"/>
  <c r="AF34" i="13" s="1"/>
  <c r="AE34" i="13" a="1"/>
  <c r="AE34" i="13" s="1"/>
  <c r="AD34" i="13" a="1"/>
  <c r="AD34" i="13" s="1"/>
  <c r="AC34" i="13" a="1"/>
  <c r="AC34" i="13" s="1"/>
  <c r="AB34" i="13" a="1"/>
  <c r="AB34" i="13" s="1"/>
  <c r="AA34" i="13" a="1"/>
  <c r="AA34" i="13" s="1"/>
  <c r="Z34" i="13" a="1"/>
  <c r="Z34" i="13" s="1"/>
  <c r="Y34" i="13" a="1"/>
  <c r="Y34" i="13" s="1"/>
  <c r="L34" i="13"/>
  <c r="K34" i="13"/>
  <c r="J34" i="13"/>
  <c r="I34" i="13"/>
  <c r="H34" i="13"/>
  <c r="G34" i="13"/>
  <c r="E34" i="13" s="1"/>
  <c r="A34" i="13"/>
  <c r="AJ33" i="13" a="1"/>
  <c r="AJ33" i="13" s="1"/>
  <c r="AI33" i="13" a="1"/>
  <c r="AI33" i="13" s="1"/>
  <c r="AH33" i="13" a="1"/>
  <c r="AH33" i="13" s="1"/>
  <c r="AG33" i="13" a="1"/>
  <c r="AG33" i="13" s="1"/>
  <c r="AF33" i="13" a="1"/>
  <c r="AF33" i="13" s="1"/>
  <c r="AE33" i="13" a="1"/>
  <c r="AE33" i="13" s="1"/>
  <c r="AD33" i="13" a="1"/>
  <c r="AD33" i="13" s="1"/>
  <c r="AC33" i="13" a="1"/>
  <c r="AC33" i="13" s="1"/>
  <c r="AB33" i="13" a="1"/>
  <c r="AB33" i="13" s="1"/>
  <c r="AA33" i="13" a="1"/>
  <c r="AA33" i="13" s="1"/>
  <c r="Z33" i="13" a="1"/>
  <c r="Z33" i="13" s="1"/>
  <c r="Y33" i="13" a="1"/>
  <c r="Y33" i="13" s="1"/>
  <c r="L33" i="13"/>
  <c r="K33" i="13"/>
  <c r="J33" i="13"/>
  <c r="I33" i="13"/>
  <c r="H33" i="13"/>
  <c r="G33" i="13"/>
  <c r="E33" i="13" s="1"/>
  <c r="A33" i="13"/>
  <c r="AJ32" i="13" a="1"/>
  <c r="AJ32" i="13" s="1"/>
  <c r="AI32" i="13" a="1"/>
  <c r="AI32" i="13" s="1"/>
  <c r="AH32" i="13" a="1"/>
  <c r="AH32" i="13" s="1"/>
  <c r="AG32" i="13" a="1"/>
  <c r="AG32" i="13" s="1"/>
  <c r="AF32" i="13" a="1"/>
  <c r="AF32" i="13" s="1"/>
  <c r="AE32" i="13" a="1"/>
  <c r="AE32" i="13" s="1"/>
  <c r="AD32" i="13" a="1"/>
  <c r="AD32" i="13" s="1"/>
  <c r="AC32" i="13" a="1"/>
  <c r="AC32" i="13" s="1"/>
  <c r="AB32" i="13" a="1"/>
  <c r="AB32" i="13" s="1"/>
  <c r="AA32" i="13" a="1"/>
  <c r="AA32" i="13" s="1"/>
  <c r="Z32" i="13" a="1"/>
  <c r="Z32" i="13" s="1"/>
  <c r="Y32" i="13" a="1"/>
  <c r="Y32" i="13" s="1"/>
  <c r="L32" i="13"/>
  <c r="K32" i="13"/>
  <c r="J32" i="13"/>
  <c r="I32" i="13"/>
  <c r="H32" i="13"/>
  <c r="G32" i="13"/>
  <c r="E32" i="13" s="1"/>
  <c r="A32" i="13"/>
  <c r="AJ31" i="13" a="1"/>
  <c r="AJ31" i="13" s="1"/>
  <c r="AI31" i="13" a="1"/>
  <c r="AI31" i="13" s="1"/>
  <c r="AH31" i="13" a="1"/>
  <c r="AH31" i="13" s="1"/>
  <c r="AG31" i="13" a="1"/>
  <c r="AG31" i="13" s="1"/>
  <c r="AF31" i="13" a="1"/>
  <c r="AF31" i="13" s="1"/>
  <c r="AE31" i="13" a="1"/>
  <c r="AE31" i="13" s="1"/>
  <c r="AD31" i="13" a="1"/>
  <c r="AD31" i="13" s="1"/>
  <c r="AC31" i="13" a="1"/>
  <c r="AC31" i="13" s="1"/>
  <c r="AB31" i="13" a="1"/>
  <c r="AB31" i="13" s="1"/>
  <c r="AA31" i="13" a="1"/>
  <c r="AA31" i="13" s="1"/>
  <c r="Z31" i="13" a="1"/>
  <c r="Z31" i="13" s="1"/>
  <c r="Y31" i="13" a="1"/>
  <c r="Y31" i="13" s="1"/>
  <c r="L31" i="13"/>
  <c r="K31" i="13"/>
  <c r="J31" i="13"/>
  <c r="I31" i="13"/>
  <c r="H31" i="13"/>
  <c r="G31" i="13"/>
  <c r="E31" i="13" s="1"/>
  <c r="A31" i="13"/>
  <c r="AJ30" i="13" a="1"/>
  <c r="AJ30" i="13" s="1"/>
  <c r="AI30" i="13" a="1"/>
  <c r="AI30" i="13" s="1"/>
  <c r="AH30" i="13" a="1"/>
  <c r="AH30" i="13" s="1"/>
  <c r="AG30" i="13" a="1"/>
  <c r="AG30" i="13" s="1"/>
  <c r="AF30" i="13" a="1"/>
  <c r="AF30" i="13" s="1"/>
  <c r="AE30" i="13" a="1"/>
  <c r="AE30" i="13" s="1"/>
  <c r="AD30" i="13" a="1"/>
  <c r="AD30" i="13" s="1"/>
  <c r="AC30" i="13" a="1"/>
  <c r="AC30" i="13" s="1"/>
  <c r="AB30" i="13" a="1"/>
  <c r="AB30" i="13" s="1"/>
  <c r="AA30" i="13" a="1"/>
  <c r="AA30" i="13" s="1"/>
  <c r="Z30" i="13" a="1"/>
  <c r="Z30" i="13" s="1"/>
  <c r="Y30" i="13" a="1"/>
  <c r="Y30" i="13" s="1"/>
  <c r="L30" i="13"/>
  <c r="K30" i="13"/>
  <c r="J30" i="13"/>
  <c r="I30" i="13"/>
  <c r="H30" i="13"/>
  <c r="G30" i="13"/>
  <c r="E30" i="13" s="1"/>
  <c r="A30" i="13"/>
  <c r="AJ29" i="13" a="1"/>
  <c r="AJ29" i="13" s="1"/>
  <c r="AI29" i="13" a="1"/>
  <c r="AI29" i="13" s="1"/>
  <c r="AH29" i="13" a="1"/>
  <c r="AH29" i="13" s="1"/>
  <c r="AG29" i="13" a="1"/>
  <c r="AG29" i="13" s="1"/>
  <c r="AF29" i="13" a="1"/>
  <c r="AF29" i="13" s="1"/>
  <c r="AE29" i="13" a="1"/>
  <c r="AE29" i="13" s="1"/>
  <c r="AD29" i="13" a="1"/>
  <c r="AD29" i="13" s="1"/>
  <c r="AC29" i="13" a="1"/>
  <c r="AC29" i="13" s="1"/>
  <c r="AB29" i="13" a="1"/>
  <c r="AB29" i="13" s="1"/>
  <c r="AA29" i="13" a="1"/>
  <c r="AA29" i="13" s="1"/>
  <c r="Z29" i="13" a="1"/>
  <c r="Z29" i="13" s="1"/>
  <c r="Y29" i="13" a="1"/>
  <c r="Y29" i="13" s="1"/>
  <c r="L29" i="13"/>
  <c r="K29" i="13"/>
  <c r="J29" i="13"/>
  <c r="I29" i="13"/>
  <c r="H29" i="13"/>
  <c r="G29" i="13"/>
  <c r="E29" i="13" s="1"/>
  <c r="A29" i="13"/>
  <c r="AJ28" i="13" a="1"/>
  <c r="AJ28" i="13" s="1"/>
  <c r="AI28" i="13" a="1"/>
  <c r="AI28" i="13" s="1"/>
  <c r="AH28" i="13" a="1"/>
  <c r="AH28" i="13" s="1"/>
  <c r="AG28" i="13" a="1"/>
  <c r="AG28" i="13" s="1"/>
  <c r="AF28" i="13" a="1"/>
  <c r="AF28" i="13" s="1"/>
  <c r="AE28" i="13" a="1"/>
  <c r="AE28" i="13" s="1"/>
  <c r="AD28" i="13" a="1"/>
  <c r="AD28" i="13" s="1"/>
  <c r="AC28" i="13" a="1"/>
  <c r="AC28" i="13" s="1"/>
  <c r="AB28" i="13" a="1"/>
  <c r="AB28" i="13" s="1"/>
  <c r="AA28" i="13" a="1"/>
  <c r="AA28" i="13" s="1"/>
  <c r="Z28" i="13" a="1"/>
  <c r="Z28" i="13" s="1"/>
  <c r="Y28" i="13" a="1"/>
  <c r="Y28" i="13" s="1"/>
  <c r="L28" i="13"/>
  <c r="K28" i="13"/>
  <c r="J28" i="13"/>
  <c r="I28" i="13"/>
  <c r="H28" i="13"/>
  <c r="G28" i="13"/>
  <c r="E28" i="13" s="1"/>
  <c r="A28" i="13"/>
  <c r="AJ27" i="13" a="1"/>
  <c r="AJ27" i="13" s="1"/>
  <c r="AI27" i="13" a="1"/>
  <c r="AI27" i="13" s="1"/>
  <c r="AH27" i="13" a="1"/>
  <c r="AH27" i="13" s="1"/>
  <c r="AG27" i="13" a="1"/>
  <c r="AG27" i="13" s="1"/>
  <c r="AF27" i="13" a="1"/>
  <c r="AF27" i="13" s="1"/>
  <c r="AE27" i="13" a="1"/>
  <c r="AE27" i="13" s="1"/>
  <c r="AD27" i="13" a="1"/>
  <c r="AD27" i="13" s="1"/>
  <c r="AC27" i="13" a="1"/>
  <c r="AC27" i="13" s="1"/>
  <c r="AB27" i="13" a="1"/>
  <c r="AB27" i="13" s="1"/>
  <c r="AA27" i="13" a="1"/>
  <c r="AA27" i="13" s="1"/>
  <c r="Z27" i="13" a="1"/>
  <c r="Z27" i="13" s="1"/>
  <c r="Y27" i="13" a="1"/>
  <c r="Y27" i="13" s="1"/>
  <c r="L27" i="13"/>
  <c r="K27" i="13"/>
  <c r="J27" i="13"/>
  <c r="I27" i="13"/>
  <c r="H27" i="13"/>
  <c r="G27" i="13"/>
  <c r="E27" i="13" s="1"/>
  <c r="A27" i="13"/>
  <c r="AJ26" i="13" a="1"/>
  <c r="AJ26" i="13" s="1"/>
  <c r="AI26" i="13" a="1"/>
  <c r="AI26" i="13" s="1"/>
  <c r="AH26" i="13" a="1"/>
  <c r="AH26" i="13" s="1"/>
  <c r="AG26" i="13" a="1"/>
  <c r="AG26" i="13" s="1"/>
  <c r="AF26" i="13" a="1"/>
  <c r="AF26" i="13" s="1"/>
  <c r="AE26" i="13" a="1"/>
  <c r="AE26" i="13" s="1"/>
  <c r="AD26" i="13" a="1"/>
  <c r="AD26" i="13" s="1"/>
  <c r="AC26" i="13" a="1"/>
  <c r="AC26" i="13" s="1"/>
  <c r="AB26" i="13" a="1"/>
  <c r="AB26" i="13" s="1"/>
  <c r="AA26" i="13" a="1"/>
  <c r="AA26" i="13" s="1"/>
  <c r="Z26" i="13" a="1"/>
  <c r="Z26" i="13" s="1"/>
  <c r="Y26" i="13" a="1"/>
  <c r="Y26" i="13" s="1"/>
  <c r="A26" i="13"/>
  <c r="A25" i="13"/>
  <c r="A24" i="13"/>
  <c r="E23" i="13"/>
  <c r="A23" i="13"/>
  <c r="A22" i="13"/>
  <c r="AJ21" i="13" a="1"/>
  <c r="AJ21" i="13" s="1"/>
  <c r="AI21" i="13" a="1"/>
  <c r="AI21" i="13" s="1"/>
  <c r="AH21" i="13" a="1"/>
  <c r="AH21" i="13" s="1"/>
  <c r="AG21" i="13" a="1"/>
  <c r="AG21" i="13" s="1"/>
  <c r="AF21" i="13" a="1"/>
  <c r="AF21" i="13" s="1"/>
  <c r="AE21" i="13" a="1"/>
  <c r="AE21" i="13" s="1"/>
  <c r="AD21" i="13" a="1"/>
  <c r="AD21" i="13" s="1"/>
  <c r="AC21" i="13" a="1"/>
  <c r="AC21" i="13" s="1"/>
  <c r="AB21" i="13" a="1"/>
  <c r="AB21" i="13" s="1"/>
  <c r="AA21" i="13" a="1"/>
  <c r="AA21" i="13" s="1"/>
  <c r="Z21" i="13" a="1"/>
  <c r="Z21" i="13" s="1"/>
  <c r="Y21" i="13" a="1"/>
  <c r="Y21" i="13" s="1"/>
  <c r="A21" i="13"/>
  <c r="AJ20" i="13" a="1"/>
  <c r="AJ20" i="13" s="1"/>
  <c r="AI20" i="13" a="1"/>
  <c r="AI20" i="13" s="1"/>
  <c r="AH20" i="13" a="1"/>
  <c r="AH20" i="13" s="1"/>
  <c r="AG20" i="13" a="1"/>
  <c r="AG20" i="13" s="1"/>
  <c r="AF20" i="13" a="1"/>
  <c r="AF20" i="13" s="1"/>
  <c r="AE20" i="13" a="1"/>
  <c r="AE20" i="13" s="1"/>
  <c r="AD20" i="13" a="1"/>
  <c r="AD20" i="13" s="1"/>
  <c r="AC20" i="13" a="1"/>
  <c r="AC20" i="13" s="1"/>
  <c r="AB20" i="13" a="1"/>
  <c r="AB20" i="13" s="1"/>
  <c r="AA20" i="13" a="1"/>
  <c r="AA20" i="13" s="1"/>
  <c r="Z20" i="13" a="1"/>
  <c r="Z20" i="13" s="1"/>
  <c r="Y20" i="13" a="1"/>
  <c r="Y20" i="13" s="1"/>
  <c r="L20" i="13"/>
  <c r="K20" i="13"/>
  <c r="J20" i="13"/>
  <c r="E20" i="13" s="1"/>
  <c r="I20" i="13"/>
  <c r="H20" i="13"/>
  <c r="G20" i="13"/>
  <c r="A20" i="13"/>
  <c r="AJ19" i="13" a="1"/>
  <c r="AJ19" i="13" s="1"/>
  <c r="AI19" i="13" a="1"/>
  <c r="AI19" i="13" s="1"/>
  <c r="AH19" i="13" a="1"/>
  <c r="AH19" i="13" s="1"/>
  <c r="AG19" i="13" a="1"/>
  <c r="AG19" i="13" s="1"/>
  <c r="AF19" i="13" a="1"/>
  <c r="AF19" i="13" s="1"/>
  <c r="AE19" i="13" a="1"/>
  <c r="AE19" i="13" s="1"/>
  <c r="AD19" i="13" a="1"/>
  <c r="AD19" i="13" s="1"/>
  <c r="AC19" i="13" a="1"/>
  <c r="AC19" i="13" s="1"/>
  <c r="AB19" i="13" a="1"/>
  <c r="AB19" i="13" s="1"/>
  <c r="AA19" i="13" a="1"/>
  <c r="AA19" i="13" s="1"/>
  <c r="Z19" i="13" a="1"/>
  <c r="Z19" i="13" s="1"/>
  <c r="Y19" i="13" a="1"/>
  <c r="Y19" i="13" s="1"/>
  <c r="L19" i="13"/>
  <c r="K19" i="13"/>
  <c r="J19" i="13"/>
  <c r="E19" i="13" s="1"/>
  <c r="I19" i="13"/>
  <c r="H19" i="13"/>
  <c r="G19" i="13"/>
  <c r="A19" i="13"/>
  <c r="AJ18" i="13" a="1"/>
  <c r="AJ18" i="13" s="1"/>
  <c r="AI18" i="13" a="1"/>
  <c r="AI18" i="13" s="1"/>
  <c r="AH18" i="13" a="1"/>
  <c r="AH18" i="13" s="1"/>
  <c r="AG18" i="13" a="1"/>
  <c r="AG18" i="13" s="1"/>
  <c r="AF18" i="13" a="1"/>
  <c r="AF18" i="13" s="1"/>
  <c r="AE18" i="13" a="1"/>
  <c r="AE18" i="13" s="1"/>
  <c r="AD18" i="13" a="1"/>
  <c r="AD18" i="13" s="1"/>
  <c r="AC18" i="13" a="1"/>
  <c r="AC18" i="13" s="1"/>
  <c r="AB18" i="13" a="1"/>
  <c r="AB18" i="13" s="1"/>
  <c r="AA18" i="13" a="1"/>
  <c r="AA18" i="13" s="1"/>
  <c r="Z18" i="13" a="1"/>
  <c r="Z18" i="13" s="1"/>
  <c r="Y18" i="13" a="1"/>
  <c r="Y18" i="13" s="1"/>
  <c r="L18" i="13"/>
  <c r="K18" i="13"/>
  <c r="J18" i="13"/>
  <c r="I18" i="13"/>
  <c r="H18" i="13"/>
  <c r="G18" i="13"/>
  <c r="E18" i="13"/>
  <c r="A18" i="13"/>
  <c r="AJ17" i="13" a="1"/>
  <c r="AJ17" i="13" s="1"/>
  <c r="AI17" i="13" a="1"/>
  <c r="AI17" i="13" s="1"/>
  <c r="AH17" i="13" a="1"/>
  <c r="AH17" i="13" s="1"/>
  <c r="AG17" i="13" a="1"/>
  <c r="AG17" i="13" s="1"/>
  <c r="AF17" i="13" a="1"/>
  <c r="AF17" i="13" s="1"/>
  <c r="AE17" i="13" a="1"/>
  <c r="AE17" i="13" s="1"/>
  <c r="AD17" i="13" a="1"/>
  <c r="AD17" i="13" s="1"/>
  <c r="AC17" i="13" a="1"/>
  <c r="AC17" i="13" s="1"/>
  <c r="AB17" i="13" a="1"/>
  <c r="AB17" i="13" s="1"/>
  <c r="AA17" i="13" a="1"/>
  <c r="AA17" i="13" s="1"/>
  <c r="Z17" i="13" a="1"/>
  <c r="Z17" i="13" s="1"/>
  <c r="Y17" i="13" a="1"/>
  <c r="Y17" i="13" s="1"/>
  <c r="L17" i="13"/>
  <c r="K17" i="13"/>
  <c r="J17" i="13"/>
  <c r="E17" i="13" s="1"/>
  <c r="I17" i="13"/>
  <c r="H17" i="13"/>
  <c r="G17" i="13"/>
  <c r="A17" i="13"/>
  <c r="AJ16" i="13" a="1"/>
  <c r="AJ16" i="13" s="1"/>
  <c r="AI16" i="13" a="1"/>
  <c r="AI16" i="13" s="1"/>
  <c r="AH16" i="13" a="1"/>
  <c r="AH16" i="13" s="1"/>
  <c r="AG16" i="13" a="1"/>
  <c r="AG16" i="13" s="1"/>
  <c r="AF16" i="13" a="1"/>
  <c r="AF16" i="13" s="1"/>
  <c r="AE16" i="13" a="1"/>
  <c r="AE16" i="13" s="1"/>
  <c r="AD16" i="13" a="1"/>
  <c r="AD16" i="13" s="1"/>
  <c r="AC16" i="13" a="1"/>
  <c r="AC16" i="13" s="1"/>
  <c r="AB16" i="13" a="1"/>
  <c r="AB16" i="13" s="1"/>
  <c r="AA16" i="13" a="1"/>
  <c r="AA16" i="13" s="1"/>
  <c r="Z16" i="13" a="1"/>
  <c r="Z16" i="13" s="1"/>
  <c r="Y16" i="13" a="1"/>
  <c r="Y16" i="13" s="1"/>
  <c r="L16" i="13"/>
  <c r="K16" i="13"/>
  <c r="J16" i="13"/>
  <c r="E16" i="13" s="1"/>
  <c r="I16" i="13"/>
  <c r="H16" i="13"/>
  <c r="G16" i="13"/>
  <c r="A16" i="13"/>
  <c r="AJ15" i="13" a="1"/>
  <c r="AJ15" i="13" s="1"/>
  <c r="AI15" i="13" a="1"/>
  <c r="AI15" i="13" s="1"/>
  <c r="AH15" i="13" a="1"/>
  <c r="AH15" i="13" s="1"/>
  <c r="AG15" i="13" a="1"/>
  <c r="AG15" i="13" s="1"/>
  <c r="AF15" i="13" a="1"/>
  <c r="AF15" i="13" s="1"/>
  <c r="AE15" i="13" a="1"/>
  <c r="AE15" i="13" s="1"/>
  <c r="AD15" i="13" a="1"/>
  <c r="AD15" i="13" s="1"/>
  <c r="AC15" i="13" a="1"/>
  <c r="AC15" i="13" s="1"/>
  <c r="AB15" i="13" a="1"/>
  <c r="AB15" i="13" s="1"/>
  <c r="AA15" i="13" a="1"/>
  <c r="AA15" i="13" s="1"/>
  <c r="Z15" i="13" a="1"/>
  <c r="Z15" i="13" s="1"/>
  <c r="Y15" i="13" a="1"/>
  <c r="Y15" i="13" s="1"/>
  <c r="L15" i="13"/>
  <c r="K15" i="13"/>
  <c r="J15" i="13"/>
  <c r="I15" i="13"/>
  <c r="H15" i="13"/>
  <c r="G15" i="13"/>
  <c r="E15" i="13"/>
  <c r="A15" i="13"/>
  <c r="AJ14" i="13" a="1"/>
  <c r="AJ14" i="13" s="1"/>
  <c r="AI14" i="13" a="1"/>
  <c r="AI14" i="13" s="1"/>
  <c r="AH14" i="13" a="1"/>
  <c r="AH14" i="13" s="1"/>
  <c r="AG14" i="13" a="1"/>
  <c r="AG14" i="13" s="1"/>
  <c r="AF14" i="13" a="1"/>
  <c r="AF14" i="13" s="1"/>
  <c r="AE14" i="13" a="1"/>
  <c r="AE14" i="13" s="1"/>
  <c r="AD14" i="13" a="1"/>
  <c r="AD14" i="13" s="1"/>
  <c r="AC14" i="13" a="1"/>
  <c r="AC14" i="13" s="1"/>
  <c r="AB14" i="13" a="1"/>
  <c r="AB14" i="13" s="1"/>
  <c r="AA14" i="13" a="1"/>
  <c r="AA14" i="13" s="1"/>
  <c r="Z14" i="13" a="1"/>
  <c r="Z14" i="13" s="1"/>
  <c r="Y14" i="13" a="1"/>
  <c r="Y14" i="13" s="1"/>
  <c r="L14" i="13"/>
  <c r="K14" i="13"/>
  <c r="J14" i="13"/>
  <c r="E14" i="13" s="1"/>
  <c r="I14" i="13"/>
  <c r="H14" i="13"/>
  <c r="G14" i="13"/>
  <c r="A14" i="13"/>
  <c r="AJ13" i="13" a="1"/>
  <c r="AJ13" i="13" s="1"/>
  <c r="AI13" i="13" a="1"/>
  <c r="AI13" i="13" s="1"/>
  <c r="AH13" i="13" a="1"/>
  <c r="AH13" i="13" s="1"/>
  <c r="AG13" i="13" a="1"/>
  <c r="AG13" i="13" s="1"/>
  <c r="AF13" i="13" a="1"/>
  <c r="AF13" i="13" s="1"/>
  <c r="AE13" i="13" a="1"/>
  <c r="AE13" i="13" s="1"/>
  <c r="AD13" i="13" a="1"/>
  <c r="AD13" i="13" s="1"/>
  <c r="AC13" i="13" a="1"/>
  <c r="AC13" i="13" s="1"/>
  <c r="AB13" i="13" a="1"/>
  <c r="AB13" i="13" s="1"/>
  <c r="AA13" i="13" a="1"/>
  <c r="AA13" i="13" s="1"/>
  <c r="Z13" i="13" a="1"/>
  <c r="Z13" i="13" s="1"/>
  <c r="Y13" i="13" a="1"/>
  <c r="Y13" i="13" s="1"/>
  <c r="L13" i="13"/>
  <c r="K13" i="13"/>
  <c r="J13" i="13"/>
  <c r="E13" i="13" s="1"/>
  <c r="I13" i="13"/>
  <c r="H13" i="13"/>
  <c r="G13" i="13"/>
  <c r="A13" i="13"/>
  <c r="AJ12" i="13" a="1"/>
  <c r="AJ12" i="13" s="1"/>
  <c r="AI12" i="13" a="1"/>
  <c r="AI12" i="13" s="1"/>
  <c r="AH12" i="13" a="1"/>
  <c r="AH12" i="13" s="1"/>
  <c r="AG12" i="13" a="1"/>
  <c r="AG12" i="13" s="1"/>
  <c r="AF12" i="13" a="1"/>
  <c r="AF12" i="13" s="1"/>
  <c r="AE12" i="13" a="1"/>
  <c r="AE12" i="13" s="1"/>
  <c r="AD12" i="13" a="1"/>
  <c r="AD12" i="13" s="1"/>
  <c r="AC12" i="13" a="1"/>
  <c r="AC12" i="13" s="1"/>
  <c r="AB12" i="13" a="1"/>
  <c r="AB12" i="13" s="1"/>
  <c r="AA12" i="13" a="1"/>
  <c r="AA12" i="13" s="1"/>
  <c r="Z12" i="13" a="1"/>
  <c r="Z12" i="13" s="1"/>
  <c r="Y12" i="13" a="1"/>
  <c r="Y12" i="13" s="1"/>
  <c r="L12" i="13"/>
  <c r="L49" i="13" s="1"/>
  <c r="L50" i="13" s="1"/>
  <c r="L51" i="13" s="1"/>
  <c r="K12" i="13"/>
  <c r="K49" i="13" s="1"/>
  <c r="K50" i="13" s="1"/>
  <c r="K51" i="13" s="1"/>
  <c r="J12" i="13"/>
  <c r="J49" i="13" s="1"/>
  <c r="J50" i="13" s="1"/>
  <c r="J51" i="13" s="1"/>
  <c r="I12" i="13"/>
  <c r="H12" i="13"/>
  <c r="H49" i="13" s="1"/>
  <c r="H50" i="13" s="1"/>
  <c r="H51" i="13" s="1"/>
  <c r="G12" i="13"/>
  <c r="G49" i="13" s="1"/>
  <c r="G50" i="13" s="1"/>
  <c r="G51" i="13" s="1"/>
  <c r="E12" i="13"/>
  <c r="A12" i="13"/>
  <c r="AJ11" i="13" a="1"/>
  <c r="AJ11" i="13" s="1"/>
  <c r="AI11" i="13" a="1"/>
  <c r="AI11" i="13" s="1"/>
  <c r="AH11" i="13" a="1"/>
  <c r="AH11" i="13" s="1"/>
  <c r="AG11" i="13" a="1"/>
  <c r="AG11" i="13" s="1"/>
  <c r="AF11" i="13" a="1"/>
  <c r="AF11" i="13" s="1"/>
  <c r="AE11" i="13" a="1"/>
  <c r="AE11" i="13" s="1"/>
  <c r="AD11" i="13" a="1"/>
  <c r="AD11" i="13" s="1"/>
  <c r="AC11" i="13" a="1"/>
  <c r="AC11" i="13" s="1"/>
  <c r="AB11" i="13" a="1"/>
  <c r="AB11" i="13" s="1"/>
  <c r="AA11" i="13" a="1"/>
  <c r="AA11" i="13" s="1"/>
  <c r="Z11" i="13" a="1"/>
  <c r="Z11" i="13" s="1"/>
  <c r="Y11" i="13" a="1"/>
  <c r="Y11" i="13" s="1"/>
  <c r="A11" i="13"/>
  <c r="AJ10" i="13" a="1"/>
  <c r="AJ10" i="13" s="1"/>
  <c r="AI10" i="13" a="1"/>
  <c r="AI10" i="13" s="1"/>
  <c r="AH10" i="13" a="1"/>
  <c r="AH10" i="13" s="1"/>
  <c r="AG10" i="13" a="1"/>
  <c r="AG10" i="13" s="1"/>
  <c r="AF10" i="13" a="1"/>
  <c r="AF10" i="13" s="1"/>
  <c r="AE10" i="13" a="1"/>
  <c r="AE10" i="13" s="1"/>
  <c r="AD10" i="13" a="1"/>
  <c r="AD10" i="13" s="1"/>
  <c r="AC10" i="13" a="1"/>
  <c r="AC10" i="13" s="1"/>
  <c r="AB10" i="13" a="1"/>
  <c r="AB10" i="13" s="1"/>
  <c r="AA10" i="13" a="1"/>
  <c r="AA10" i="13" s="1"/>
  <c r="Z10" i="13" a="1"/>
  <c r="Z10" i="13" s="1"/>
  <c r="Y10" i="13" a="1"/>
  <c r="Y10" i="13" s="1"/>
  <c r="AJ9" i="13" a="1"/>
  <c r="AJ9" i="13" s="1"/>
  <c r="AI9" i="13" a="1"/>
  <c r="AI9" i="13" s="1"/>
  <c r="AH9" i="13" a="1"/>
  <c r="AH9" i="13" s="1"/>
  <c r="AG9" i="13" a="1"/>
  <c r="AG9" i="13" s="1"/>
  <c r="AF9" i="13" a="1"/>
  <c r="AF9" i="13" s="1"/>
  <c r="AE9" i="13" a="1"/>
  <c r="AE9" i="13" s="1"/>
  <c r="AD9" i="13" a="1"/>
  <c r="AD9" i="13" s="1"/>
  <c r="AC9" i="13" a="1"/>
  <c r="AC9" i="13" s="1"/>
  <c r="AB9" i="13" a="1"/>
  <c r="AB9" i="13" s="1"/>
  <c r="AA9" i="13" a="1"/>
  <c r="AA9" i="13" s="1"/>
  <c r="Z9" i="13" a="1"/>
  <c r="Z9" i="13" s="1"/>
  <c r="Y9" i="13" a="1"/>
  <c r="Y9" i="13" s="1"/>
  <c r="AJ7" i="13" a="1"/>
  <c r="AJ7" i="13" s="1"/>
  <c r="AI7" i="13" a="1"/>
  <c r="AI7" i="13" s="1"/>
  <c r="AH7" i="13" a="1"/>
  <c r="AH7" i="13" s="1"/>
  <c r="AG7" i="13" a="1"/>
  <c r="AG7" i="13" s="1"/>
  <c r="AF7" i="13" a="1"/>
  <c r="AF7" i="13" s="1"/>
  <c r="AE7" i="13" a="1"/>
  <c r="AE7" i="13" s="1"/>
  <c r="AD7" i="13" a="1"/>
  <c r="AD7" i="13" s="1"/>
  <c r="AC7" i="13" a="1"/>
  <c r="AC7" i="13" s="1"/>
  <c r="AB7" i="13" a="1"/>
  <c r="AB7" i="13" s="1"/>
  <c r="AA7" i="13" a="1"/>
  <c r="AA7" i="13" s="1"/>
  <c r="Z7" i="13" a="1"/>
  <c r="Z7" i="13" s="1"/>
  <c r="Y7" i="13" a="1"/>
  <c r="Y7" i="13" s="1"/>
  <c r="I7" i="13"/>
  <c r="J7" i="13" s="1"/>
  <c r="K7" i="13" s="1"/>
  <c r="L7" i="13" s="1"/>
  <c r="H7" i="13"/>
  <c r="AJ6" i="13" a="1"/>
  <c r="AJ6" i="13" s="1"/>
  <c r="AI6" i="13" a="1"/>
  <c r="AI6" i="13" s="1"/>
  <c r="AH6" i="13" a="1"/>
  <c r="AH6" i="13" s="1"/>
  <c r="AG6" i="13" a="1"/>
  <c r="AG6" i="13" s="1"/>
  <c r="AF6" i="13" a="1"/>
  <c r="AF6" i="13" s="1"/>
  <c r="AE6" i="13" a="1"/>
  <c r="AE6" i="13" s="1"/>
  <c r="AD6" i="13" a="1"/>
  <c r="AD6" i="13" s="1"/>
  <c r="AC6" i="13" a="1"/>
  <c r="AC6" i="13" s="1"/>
  <c r="AB6" i="13" a="1"/>
  <c r="AB6" i="13" s="1"/>
  <c r="AA6" i="13" a="1"/>
  <c r="AA6" i="13" s="1"/>
  <c r="Z6" i="13" a="1"/>
  <c r="Z6" i="13" s="1"/>
  <c r="Y6" i="13" a="1"/>
  <c r="Y6" i="13" s="1"/>
  <c r="AJ5" i="13" a="1"/>
  <c r="AJ5" i="13" s="1"/>
  <c r="AI5" i="13" a="1"/>
  <c r="AI5" i="13" s="1"/>
  <c r="AH5" i="13" a="1"/>
  <c r="AH5" i="13" s="1"/>
  <c r="AG5" i="13" a="1"/>
  <c r="AG5" i="13" s="1"/>
  <c r="AF5" i="13" a="1"/>
  <c r="AF5" i="13" s="1"/>
  <c r="AE5" i="13" a="1"/>
  <c r="AE5" i="13" s="1"/>
  <c r="AD5" i="13" a="1"/>
  <c r="AD5" i="13" s="1"/>
  <c r="AC5" i="13" a="1"/>
  <c r="AC5" i="13" s="1"/>
  <c r="AB5" i="13" a="1"/>
  <c r="AB5" i="13" s="1"/>
  <c r="AA5" i="13" a="1"/>
  <c r="AA5" i="13" s="1"/>
  <c r="Z5" i="13" a="1"/>
  <c r="Z5" i="13" s="1"/>
  <c r="Y5" i="13" a="1"/>
  <c r="Y5" i="13" s="1"/>
  <c r="A5" i="13"/>
  <c r="AJ4" i="13" a="1"/>
  <c r="AJ4" i="13" s="1"/>
  <c r="AI4" i="13" a="1"/>
  <c r="AI4" i="13" s="1"/>
  <c r="AH4" i="13" a="1"/>
  <c r="AH4" i="13" s="1"/>
  <c r="AG4" i="13" a="1"/>
  <c r="AG4" i="13" s="1"/>
  <c r="AF4" i="13" a="1"/>
  <c r="AF4" i="13" s="1"/>
  <c r="AE4" i="13" a="1"/>
  <c r="AE4" i="13" s="1"/>
  <c r="AD4" i="13" a="1"/>
  <c r="AD4" i="13" s="1"/>
  <c r="AC4" i="13" a="1"/>
  <c r="AC4" i="13" s="1"/>
  <c r="AB4" i="13" a="1"/>
  <c r="AB4" i="13" s="1"/>
  <c r="AA4" i="13" a="1"/>
  <c r="AA4" i="13" s="1"/>
  <c r="Z4" i="13" a="1"/>
  <c r="Z4" i="13" s="1"/>
  <c r="Y4" i="13" a="1"/>
  <c r="Y4" i="13" s="1"/>
  <c r="AJ3" i="13" a="1"/>
  <c r="AJ3" i="13" s="1"/>
  <c r="AI3" i="13" a="1"/>
  <c r="AI3" i="13" s="1"/>
  <c r="AH3" i="13" a="1"/>
  <c r="AH3" i="13" s="1"/>
  <c r="AG3" i="13" a="1"/>
  <c r="AG3" i="13" s="1"/>
  <c r="AF3" i="13" a="1"/>
  <c r="AF3" i="13" s="1"/>
  <c r="AE3" i="13" a="1"/>
  <c r="AE3" i="13" s="1"/>
  <c r="AD3" i="13" a="1"/>
  <c r="AD3" i="13" s="1"/>
  <c r="AC3" i="13" a="1"/>
  <c r="AC3" i="13" s="1"/>
  <c r="AB3" i="13" a="1"/>
  <c r="AB3" i="13" s="1"/>
  <c r="AA3" i="13" a="1"/>
  <c r="AA3" i="13" s="1"/>
  <c r="Z3" i="13" a="1"/>
  <c r="Z3" i="13" s="1"/>
  <c r="Y3" i="13" a="1"/>
  <c r="Y3" i="13" s="1"/>
  <c r="AJ2" i="13" a="1"/>
  <c r="AJ2" i="13" s="1"/>
  <c r="AI2" i="13" a="1"/>
  <c r="AI2" i="13" s="1"/>
  <c r="AH2" i="13" a="1"/>
  <c r="AH2" i="13" s="1"/>
  <c r="AG2" i="13" a="1"/>
  <c r="AG2" i="13" s="1"/>
  <c r="AF2" i="13" a="1"/>
  <c r="AF2" i="13" s="1"/>
  <c r="AE2" i="13" a="1"/>
  <c r="AE2" i="13" s="1"/>
  <c r="AD2" i="13" a="1"/>
  <c r="AD2" i="13" s="1"/>
  <c r="AC2" i="13" a="1"/>
  <c r="AC2" i="13" s="1"/>
  <c r="AB2" i="13" a="1"/>
  <c r="AB2" i="13" s="1"/>
  <c r="AA2" i="13" a="1"/>
  <c r="AA2" i="13" s="1"/>
  <c r="Z2" i="13" a="1"/>
  <c r="Z2" i="13" s="1"/>
  <c r="Y2" i="13" a="1"/>
  <c r="Y2" i="13" s="1"/>
  <c r="A2" i="13"/>
  <c r="AJ1" i="13" a="1"/>
  <c r="AJ1" i="13" s="1"/>
  <c r="AI1" i="13" a="1"/>
  <c r="AI1" i="13" s="1"/>
  <c r="AH1" i="13" a="1"/>
  <c r="AH1" i="13" s="1"/>
  <c r="AG1" i="13" a="1"/>
  <c r="AG1" i="13" s="1"/>
  <c r="AF1" i="13" a="1"/>
  <c r="AF1" i="13" s="1"/>
  <c r="AE1" i="13" a="1"/>
  <c r="AE1" i="13" s="1"/>
  <c r="AD1" i="13" a="1"/>
  <c r="AD1" i="13" s="1"/>
  <c r="AC1" i="13" a="1"/>
  <c r="AC1" i="13" s="1"/>
  <c r="AB1" i="13" a="1"/>
  <c r="AB1" i="13" s="1"/>
  <c r="AA1" i="13" a="1"/>
  <c r="AA1" i="13" s="1"/>
  <c r="Z1" i="13" a="1"/>
  <c r="Z1" i="13" s="1"/>
  <c r="Y1" i="13" a="1"/>
  <c r="Y1" i="13" s="1"/>
  <c r="F51" i="4" l="1"/>
  <c r="F120" i="5" s="1"/>
  <c r="C30" i="20"/>
  <c r="E51" i="13"/>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F43" i="12"/>
  <c r="A43" i="12"/>
  <c r="A42" i="12"/>
  <c r="A41" i="12"/>
  <c r="A40" i="12"/>
  <c r="A39" i="12"/>
  <c r="A38" i="12"/>
  <c r="L37" i="12"/>
  <c r="K37" i="12"/>
  <c r="J37" i="12"/>
  <c r="I37" i="12"/>
  <c r="H37" i="12"/>
  <c r="G37" i="12"/>
  <c r="A37" i="12"/>
  <c r="A36" i="12"/>
  <c r="A35" i="12"/>
  <c r="L34" i="12"/>
  <c r="K34" i="12"/>
  <c r="J34" i="12"/>
  <c r="I34" i="12"/>
  <c r="H34" i="12"/>
  <c r="G34" i="12"/>
  <c r="A34" i="12"/>
  <c r="L33" i="12"/>
  <c r="K33" i="12"/>
  <c r="J33" i="12"/>
  <c r="I33" i="12"/>
  <c r="H33" i="12"/>
  <c r="G33" i="12"/>
  <c r="A33" i="12"/>
  <c r="L32" i="12"/>
  <c r="K32" i="12"/>
  <c r="J32" i="12"/>
  <c r="I32" i="12"/>
  <c r="H32" i="12"/>
  <c r="G32" i="12"/>
  <c r="A32" i="12"/>
  <c r="A31" i="12"/>
  <c r="A30" i="12"/>
  <c r="A29" i="12"/>
  <c r="A28" i="12"/>
  <c r="A27" i="12"/>
  <c r="A26" i="12"/>
  <c r="A25" i="12"/>
  <c r="A24" i="12"/>
  <c r="A23" i="12"/>
  <c r="A22" i="12"/>
  <c r="A21" i="12"/>
  <c r="A20" i="12"/>
  <c r="A19" i="12"/>
  <c r="A18" i="12"/>
  <c r="A17" i="12"/>
  <c r="A16" i="12"/>
  <c r="A15" i="12"/>
  <c r="A14" i="12"/>
  <c r="A13" i="12"/>
  <c r="A12" i="12"/>
  <c r="L29" i="12"/>
  <c r="K28" i="12"/>
  <c r="J30" i="12"/>
  <c r="I30" i="12"/>
  <c r="H30" i="12"/>
  <c r="G27" i="12"/>
  <c r="A11" i="12"/>
  <c r="A10" i="12"/>
  <c r="G59" i="12"/>
  <c r="L58" i="12"/>
  <c r="K58" i="12"/>
  <c r="J58" i="12"/>
  <c r="I58" i="12"/>
  <c r="H58" i="12"/>
  <c r="G58" i="12"/>
  <c r="F58" i="12"/>
  <c r="A5" i="12"/>
  <c r="A2" i="12"/>
  <c r="T1" i="12" a="1"/>
  <c r="T1" i="12" s="1"/>
  <c r="S1" i="12" a="1"/>
  <c r="S1" i="12" s="1"/>
  <c r="R1" i="12" a="1"/>
  <c r="R1" i="12" s="1"/>
  <c r="Q1" i="12" a="1"/>
  <c r="Q1" i="12" s="1"/>
  <c r="P1" i="12" a="1"/>
  <c r="P1" i="12" s="1"/>
  <c r="O1" i="12" a="1"/>
  <c r="O1" i="12" s="1"/>
  <c r="C34" i="20" l="1"/>
  <c r="B30" i="20"/>
  <c r="B31" i="20" s="1"/>
  <c r="H16" i="12"/>
  <c r="L28" i="12"/>
  <c r="G29" i="12"/>
  <c r="I27" i="12"/>
  <c r="L30" i="12"/>
  <c r="L31" i="12"/>
  <c r="L27" i="12"/>
  <c r="G16" i="12"/>
  <c r="H27" i="12"/>
  <c r="K30" i="12"/>
  <c r="J27" i="12"/>
  <c r="H29" i="12"/>
  <c r="I16" i="12"/>
  <c r="J16" i="12"/>
  <c r="G19" i="12"/>
  <c r="K27" i="12"/>
  <c r="I29" i="12"/>
  <c r="G31" i="12"/>
  <c r="K16" i="12"/>
  <c r="H19" i="12"/>
  <c r="J29" i="12"/>
  <c r="H31" i="12"/>
  <c r="L16" i="12"/>
  <c r="I19" i="12"/>
  <c r="K29" i="12"/>
  <c r="I31" i="12"/>
  <c r="J19" i="12"/>
  <c r="G28" i="12"/>
  <c r="J31" i="12"/>
  <c r="K19" i="12"/>
  <c r="H28" i="12"/>
  <c r="K31" i="12"/>
  <c r="L19" i="12"/>
  <c r="I28" i="12"/>
  <c r="G30" i="12"/>
  <c r="J28" i="12"/>
  <c r="A199" i="11" l="1"/>
  <c r="A198" i="11"/>
  <c r="A197" i="11"/>
  <c r="A196" i="11"/>
  <c r="A195" i="11"/>
  <c r="A194" i="11"/>
  <c r="L193" i="11"/>
  <c r="K193" i="11"/>
  <c r="J193" i="11"/>
  <c r="I193" i="11"/>
  <c r="I89" i="11" s="1"/>
  <c r="H193" i="11"/>
  <c r="G193" i="11"/>
  <c r="G89" i="11" s="1"/>
  <c r="F193" i="11"/>
  <c r="C193" i="11" s="1"/>
  <c r="A193" i="11"/>
  <c r="A192" i="11"/>
  <c r="A191" i="11"/>
  <c r="A190" i="11"/>
  <c r="A189" i="11"/>
  <c r="A188" i="11"/>
  <c r="A187" i="11"/>
  <c r="A186" i="11"/>
  <c r="A185" i="11"/>
  <c r="A184" i="11"/>
  <c r="A183" i="11"/>
  <c r="A182" i="11"/>
  <c r="A181" i="11"/>
  <c r="A180" i="11"/>
  <c r="A179" i="11"/>
  <c r="A178" i="11"/>
  <c r="F177" i="11"/>
  <c r="A177" i="11"/>
  <c r="A176" i="11"/>
  <c r="A175" i="11"/>
  <c r="A174" i="11"/>
  <c r="A173" i="11"/>
  <c r="A172" i="11"/>
  <c r="A171" i="11"/>
  <c r="A170" i="11"/>
  <c r="L170" i="11"/>
  <c r="L171" i="11" s="1"/>
  <c r="K170" i="11"/>
  <c r="K171" i="11" s="1"/>
  <c r="J170" i="11"/>
  <c r="J171" i="11" s="1"/>
  <c r="I170" i="11"/>
  <c r="I171" i="11" s="1"/>
  <c r="H170" i="11"/>
  <c r="H171" i="11" s="1"/>
  <c r="G170" i="11"/>
  <c r="G171" i="11" s="1"/>
  <c r="A169" i="11"/>
  <c r="A168" i="11"/>
  <c r="A167" i="11"/>
  <c r="A166" i="11"/>
  <c r="A165" i="11"/>
  <c r="A164" i="11"/>
  <c r="A163" i="11"/>
  <c r="A162" i="11"/>
  <c r="A161" i="11"/>
  <c r="A160" i="11"/>
  <c r="A159" i="11"/>
  <c r="A158" i="11"/>
  <c r="A157" i="11"/>
  <c r="A156" i="11"/>
  <c r="A155" i="11"/>
  <c r="A154" i="11"/>
  <c r="A153" i="11"/>
  <c r="A152" i="11"/>
  <c r="F151" i="11"/>
  <c r="A151" i="11"/>
  <c r="A150" i="11"/>
  <c r="A149" i="11"/>
  <c r="A148" i="11"/>
  <c r="A147" i="11"/>
  <c r="A146" i="11"/>
  <c r="A145" i="11"/>
  <c r="A144" i="11"/>
  <c r="J143" i="11"/>
  <c r="A143" i="11"/>
  <c r="A142" i="11"/>
  <c r="A141" i="11"/>
  <c r="A140" i="11"/>
  <c r="A139" i="11"/>
  <c r="A138" i="11"/>
  <c r="A137" i="11"/>
  <c r="A136" i="11"/>
  <c r="J135" i="11"/>
  <c r="G135" i="11"/>
  <c r="G143" i="11" s="1"/>
  <c r="F135" i="11"/>
  <c r="F143" i="11" s="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F105" i="11"/>
  <c r="F106" i="11" s="1"/>
  <c r="A105" i="11"/>
  <c r="A104" i="11"/>
  <c r="A103" i="11"/>
  <c r="A102" i="11"/>
  <c r="A101" i="11"/>
  <c r="L100" i="11"/>
  <c r="K100" i="11"/>
  <c r="J100" i="11"/>
  <c r="I100" i="11"/>
  <c r="H100" i="11"/>
  <c r="G100" i="11"/>
  <c r="A100" i="11"/>
  <c r="L99" i="11"/>
  <c r="K99" i="11"/>
  <c r="J99" i="11"/>
  <c r="I99" i="11"/>
  <c r="H99" i="11"/>
  <c r="G99" i="11"/>
  <c r="A99" i="11"/>
  <c r="A98" i="11"/>
  <c r="A97" i="11"/>
  <c r="L96" i="11"/>
  <c r="K96" i="11"/>
  <c r="J96" i="11"/>
  <c r="I96" i="11"/>
  <c r="H96" i="11"/>
  <c r="G96" i="11"/>
  <c r="A96" i="11"/>
  <c r="A95" i="11"/>
  <c r="A94" i="11"/>
  <c r="A93" i="11"/>
  <c r="A92" i="11"/>
  <c r="A91" i="11"/>
  <c r="A90" i="11"/>
  <c r="L89" i="11"/>
  <c r="K89" i="11"/>
  <c r="J89" i="11"/>
  <c r="H89" i="11"/>
  <c r="A89" i="11"/>
  <c r="A88" i="11"/>
  <c r="A87" i="11"/>
  <c r="A86" i="11"/>
  <c r="A85" i="11"/>
  <c r="A84" i="11"/>
  <c r="A83" i="11"/>
  <c r="A82" i="11"/>
  <c r="A81" i="11"/>
  <c r="A80" i="11"/>
  <c r="A79" i="11"/>
  <c r="A78" i="11"/>
  <c r="A77" i="11"/>
  <c r="A76" i="11"/>
  <c r="A75" i="11"/>
  <c r="A74" i="11"/>
  <c r="A73" i="11"/>
  <c r="A72" i="11"/>
  <c r="A71" i="11"/>
  <c r="A70" i="11"/>
  <c r="A69" i="11"/>
  <c r="A68" i="11"/>
  <c r="L67" i="11"/>
  <c r="K67" i="11"/>
  <c r="J67" i="11"/>
  <c r="I67" i="11"/>
  <c r="H67" i="11"/>
  <c r="G67"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I9" i="11"/>
  <c r="J9" i="11" s="1"/>
  <c r="K9" i="11" s="1"/>
  <c r="L9" i="11" s="1"/>
  <c r="H9" i="11"/>
  <c r="G10" i="11"/>
  <c r="A5" i="11"/>
  <c r="A2" i="11"/>
  <c r="G31" i="11" l="1"/>
  <c r="G34" i="11" s="1"/>
  <c r="I31" i="11"/>
  <c r="I41" i="11" s="1"/>
  <c r="L151" i="11"/>
  <c r="G151" i="11"/>
  <c r="L31" i="11"/>
  <c r="L37" i="11" s="1"/>
  <c r="H174" i="11"/>
  <c r="H173" i="11"/>
  <c r="H31" i="11"/>
  <c r="H41" i="11" s="1"/>
  <c r="K151" i="11"/>
  <c r="J151" i="11"/>
  <c r="J31" i="11"/>
  <c r="J41" i="11" s="1"/>
  <c r="H151" i="11"/>
  <c r="K31" i="11"/>
  <c r="I151" i="11"/>
  <c r="G173" i="11"/>
  <c r="G174" i="11"/>
  <c r="G172" i="11"/>
  <c r="G175" i="11"/>
  <c r="L41" i="11"/>
  <c r="I174" i="11"/>
  <c r="I172" i="11"/>
  <c r="I175" i="11"/>
  <c r="I173" i="11"/>
  <c r="I143" i="11"/>
  <c r="J174" i="11"/>
  <c r="J172" i="11"/>
  <c r="J175" i="11"/>
  <c r="J173" i="11"/>
  <c r="K174" i="11"/>
  <c r="K172" i="11"/>
  <c r="K175" i="11"/>
  <c r="K173" i="11"/>
  <c r="L174" i="11"/>
  <c r="L172" i="11"/>
  <c r="L175" i="11"/>
  <c r="L173" i="11"/>
  <c r="L143" i="11"/>
  <c r="F10" i="11"/>
  <c r="G11" i="11"/>
  <c r="H135" i="11"/>
  <c r="H143" i="11" s="1"/>
  <c r="H175" i="11"/>
  <c r="I135" i="11"/>
  <c r="F180" i="11"/>
  <c r="G7" i="11"/>
  <c r="K135" i="11"/>
  <c r="K143" i="11" s="1"/>
  <c r="H172" i="11"/>
  <c r="G37" i="11"/>
  <c r="G39" i="11"/>
  <c r="L135" i="11"/>
  <c r="G32" i="11"/>
  <c r="G41" i="11"/>
  <c r="I34" i="11" l="1"/>
  <c r="I37" i="11"/>
  <c r="I32" i="11"/>
  <c r="J34" i="11"/>
  <c r="L32" i="11"/>
  <c r="J32" i="11"/>
  <c r="J37" i="11"/>
  <c r="I39" i="11"/>
  <c r="K34" i="11"/>
  <c r="J39" i="11"/>
  <c r="K41" i="11"/>
  <c r="K37" i="11"/>
  <c r="K32" i="11"/>
  <c r="L34" i="11"/>
  <c r="K39" i="11"/>
  <c r="L39" i="11"/>
  <c r="H177" i="11"/>
  <c r="K177" i="11"/>
  <c r="H34" i="11"/>
  <c r="H37" i="11"/>
  <c r="H39" i="11"/>
  <c r="H32" i="11"/>
  <c r="I177" i="11"/>
  <c r="F28" i="20" s="1"/>
  <c r="L177" i="11"/>
  <c r="I28" i="20" s="1"/>
  <c r="J177" i="11"/>
  <c r="G28" i="20" s="1"/>
  <c r="G177" i="11"/>
  <c r="D28" i="20" s="1"/>
  <c r="H10" i="11"/>
  <c r="H11" i="11" s="1"/>
  <c r="F11" i="11"/>
  <c r="F195" i="11" s="1"/>
  <c r="F197" i="11" s="1"/>
  <c r="C16" i="20" s="1"/>
  <c r="K180" i="11" l="1"/>
  <c r="K50" i="4" s="1"/>
  <c r="H28" i="20"/>
  <c r="H178" i="11"/>
  <c r="E28" i="20"/>
  <c r="D34" i="20"/>
  <c r="D35" i="20" s="1"/>
  <c r="D29" i="20"/>
  <c r="B28" i="20"/>
  <c r="F34" i="20"/>
  <c r="F35" i="20" s="1"/>
  <c r="F29" i="20"/>
  <c r="F47" i="11"/>
  <c r="I34" i="20"/>
  <c r="I35" i="20" s="1"/>
  <c r="I29" i="20"/>
  <c r="G29" i="20"/>
  <c r="G34" i="20"/>
  <c r="G35" i="20" s="1"/>
  <c r="H180" i="11"/>
  <c r="K178" i="11"/>
  <c r="I10" i="11"/>
  <c r="I11" i="11" s="1"/>
  <c r="G178" i="11"/>
  <c r="G180" i="11"/>
  <c r="C177" i="11"/>
  <c r="J178" i="11"/>
  <c r="J180" i="11"/>
  <c r="J50" i="4" s="1"/>
  <c r="L178" i="11"/>
  <c r="L180" i="11"/>
  <c r="L50" i="4" s="1"/>
  <c r="I178" i="11"/>
  <c r="I180" i="11"/>
  <c r="I50" i="4" s="1"/>
  <c r="F199" i="11"/>
  <c r="F46" i="4" s="1"/>
  <c r="F115" i="5" s="1"/>
  <c r="B34" i="20" l="1"/>
  <c r="B35" i="20" s="1"/>
  <c r="B29" i="20"/>
  <c r="I119" i="5"/>
  <c r="E29" i="20"/>
  <c r="E34" i="20"/>
  <c r="E35" i="20" s="1"/>
  <c r="J119" i="5"/>
  <c r="G50" i="4"/>
  <c r="L119" i="5"/>
  <c r="H29" i="20"/>
  <c r="H34" i="20"/>
  <c r="H35" i="20" s="1"/>
  <c r="H50" i="4"/>
  <c r="K119" i="5"/>
  <c r="J10" i="11"/>
  <c r="J11" i="11" s="1"/>
  <c r="C180" i="11"/>
  <c r="H119" i="5" l="1"/>
  <c r="G119" i="5"/>
  <c r="K10" i="11"/>
  <c r="K11" i="11" s="1"/>
  <c r="L10" i="11" l="1"/>
  <c r="L11" i="11" s="1"/>
  <c r="L100" i="10" l="1"/>
  <c r="K100" i="10"/>
  <c r="J100" i="10"/>
  <c r="I100" i="10"/>
  <c r="H100" i="10"/>
  <c r="A100" i="10"/>
  <c r="L99" i="10"/>
  <c r="K99" i="10"/>
  <c r="J99" i="10"/>
  <c r="I99" i="10"/>
  <c r="H99" i="10"/>
  <c r="G99" i="10"/>
  <c r="A99" i="10"/>
  <c r="G98" i="10"/>
  <c r="A98" i="10"/>
  <c r="J97" i="10"/>
  <c r="A97" i="10"/>
  <c r="L96" i="10"/>
  <c r="K96" i="10"/>
  <c r="J96" i="10"/>
  <c r="I96" i="10"/>
  <c r="H96" i="10"/>
  <c r="G96" i="10"/>
  <c r="A96" i="10"/>
  <c r="L95" i="10"/>
  <c r="K95" i="10"/>
  <c r="J95" i="10"/>
  <c r="I95" i="10"/>
  <c r="H95" i="10"/>
  <c r="G95" i="10"/>
  <c r="A95" i="10"/>
  <c r="A94" i="10"/>
  <c r="L93" i="10"/>
  <c r="K93" i="10"/>
  <c r="J93" i="10"/>
  <c r="I93" i="10"/>
  <c r="H93" i="10"/>
  <c r="G93" i="10"/>
  <c r="A93" i="10"/>
  <c r="A92" i="10"/>
  <c r="A91" i="10"/>
  <c r="A90" i="10"/>
  <c r="A89" i="10"/>
  <c r="A88" i="10"/>
  <c r="A87" i="10"/>
  <c r="A86" i="10"/>
  <c r="A85" i="10"/>
  <c r="A84" i="10"/>
  <c r="A83" i="10"/>
  <c r="A82" i="10"/>
  <c r="A81" i="10"/>
  <c r="A80" i="10"/>
  <c r="A79" i="10"/>
  <c r="A78" i="10"/>
  <c r="A77" i="10"/>
  <c r="B76" i="10"/>
  <c r="A76" i="10"/>
  <c r="A75" i="10"/>
  <c r="A74" i="10"/>
  <c r="A73" i="10"/>
  <c r="A72" i="10"/>
  <c r="A71" i="10"/>
  <c r="A70" i="10"/>
  <c r="A69" i="10"/>
  <c r="L68" i="10"/>
  <c r="K68" i="10"/>
  <c r="J68" i="10"/>
  <c r="I68" i="10"/>
  <c r="H68" i="10"/>
  <c r="G68" i="10"/>
  <c r="A68" i="10"/>
  <c r="L67" i="10"/>
  <c r="K67" i="10"/>
  <c r="J67" i="10"/>
  <c r="J72" i="10" s="1"/>
  <c r="I67" i="10"/>
  <c r="H67" i="10"/>
  <c r="G67" i="10"/>
  <c r="A67" i="10"/>
  <c r="L66" i="10"/>
  <c r="K66" i="10"/>
  <c r="J66" i="10"/>
  <c r="I66" i="10"/>
  <c r="H66" i="10"/>
  <c r="G66" i="10"/>
  <c r="A66" i="10"/>
  <c r="L65" i="10"/>
  <c r="K65" i="10"/>
  <c r="J65" i="10"/>
  <c r="I65" i="10"/>
  <c r="H65" i="10"/>
  <c r="G65" i="10"/>
  <c r="A65" i="10"/>
  <c r="A64" i="10"/>
  <c r="A63" i="10"/>
  <c r="A62" i="10"/>
  <c r="A61" i="10"/>
  <c r="A60" i="10"/>
  <c r="C59" i="10"/>
  <c r="L72" i="10" s="1"/>
  <c r="A59" i="10"/>
  <c r="A58" i="10"/>
  <c r="C57" i="10"/>
  <c r="I72" i="10" s="1"/>
  <c r="A57" i="10"/>
  <c r="A56" i="10"/>
  <c r="A55" i="10"/>
  <c r="A54" i="10"/>
  <c r="A53" i="10"/>
  <c r="A52" i="10"/>
  <c r="A51" i="10"/>
  <c r="A50" i="10"/>
  <c r="G49" i="10"/>
  <c r="A49" i="10"/>
  <c r="A48" i="10"/>
  <c r="L47" i="10"/>
  <c r="K47" i="10"/>
  <c r="J47" i="10"/>
  <c r="I47" i="10"/>
  <c r="H47" i="10"/>
  <c r="G47" i="10"/>
  <c r="A47" i="10"/>
  <c r="L46" i="10"/>
  <c r="K46" i="10"/>
  <c r="J46" i="10"/>
  <c r="I46" i="10"/>
  <c r="H46" i="10"/>
  <c r="G46" i="10"/>
  <c r="A46" i="10"/>
  <c r="A45" i="10"/>
  <c r="A44" i="10"/>
  <c r="A43" i="10"/>
  <c r="A42" i="10"/>
  <c r="A41" i="10"/>
  <c r="F40" i="10"/>
  <c r="G40" i="10" s="1"/>
  <c r="A40" i="10"/>
  <c r="A39" i="10"/>
  <c r="A38" i="10"/>
  <c r="A37" i="10"/>
  <c r="A36" i="10"/>
  <c r="E35" i="10"/>
  <c r="A35" i="10"/>
  <c r="G34" i="10"/>
  <c r="G100" i="10" s="1"/>
  <c r="E34" i="10"/>
  <c r="A34" i="10"/>
  <c r="A33" i="10"/>
  <c r="L32" i="10"/>
  <c r="K32" i="10"/>
  <c r="J32" i="10"/>
  <c r="I32" i="10"/>
  <c r="H32" i="10"/>
  <c r="E32" i="10" s="1"/>
  <c r="G32" i="10"/>
  <c r="A32" i="10"/>
  <c r="E31" i="10"/>
  <c r="A31" i="10"/>
  <c r="L30" i="10"/>
  <c r="K30" i="10"/>
  <c r="J30" i="10"/>
  <c r="I30" i="10"/>
  <c r="H30" i="10"/>
  <c r="G30" i="10"/>
  <c r="E30" i="10"/>
  <c r="A30" i="10"/>
  <c r="I29" i="10"/>
  <c r="I98" i="10" s="1"/>
  <c r="H29" i="10"/>
  <c r="H49" i="10" s="1"/>
  <c r="G29" i="10"/>
  <c r="A29" i="10"/>
  <c r="E28" i="10"/>
  <c r="A28" i="10"/>
  <c r="L27" i="10"/>
  <c r="L48" i="10" s="1"/>
  <c r="K27" i="10"/>
  <c r="K48" i="10" s="1"/>
  <c r="J27" i="10"/>
  <c r="J48" i="10" s="1"/>
  <c r="I27" i="10"/>
  <c r="I97" i="10" s="1"/>
  <c r="H27" i="10"/>
  <c r="H97" i="10" s="1"/>
  <c r="G27" i="10"/>
  <c r="G97" i="10" s="1"/>
  <c r="C27" i="10"/>
  <c r="A27" i="10"/>
  <c r="E26" i="10"/>
  <c r="A26" i="10"/>
  <c r="E25" i="10"/>
  <c r="A25" i="10"/>
  <c r="A24" i="10"/>
  <c r="A23" i="10"/>
  <c r="A22" i="10"/>
  <c r="G21" i="10"/>
  <c r="G20" i="10" s="1"/>
  <c r="A21" i="10"/>
  <c r="A20" i="10"/>
  <c r="A19" i="10"/>
  <c r="A18" i="10"/>
  <c r="G17" i="10"/>
  <c r="F17" i="10"/>
  <c r="F21" i="10" s="1"/>
  <c r="A17" i="10"/>
  <c r="I16" i="10"/>
  <c r="I17" i="10" s="1"/>
  <c r="H16" i="10"/>
  <c r="H17" i="10" s="1"/>
  <c r="G16" i="10"/>
  <c r="A16" i="10"/>
  <c r="F14" i="10"/>
  <c r="A14" i="10"/>
  <c r="G13" i="10"/>
  <c r="H13" i="10" s="1"/>
  <c r="A13" i="10"/>
  <c r="A11" i="10"/>
  <c r="A10" i="10"/>
  <c r="A9" i="10"/>
  <c r="F7" i="10"/>
  <c r="A4" i="10"/>
  <c r="A2" i="10"/>
  <c r="F20" i="10" l="1"/>
  <c r="F23" i="10"/>
  <c r="H40" i="10"/>
  <c r="H14" i="10"/>
  <c r="I13" i="10"/>
  <c r="I49" i="10"/>
  <c r="F42" i="10"/>
  <c r="K97" i="10"/>
  <c r="E27" i="10"/>
  <c r="L97" i="10"/>
  <c r="G48" i="10"/>
  <c r="J16" i="10"/>
  <c r="H21" i="10"/>
  <c r="J29" i="10"/>
  <c r="H48" i="10"/>
  <c r="I48" i="10"/>
  <c r="G72" i="10"/>
  <c r="H98" i="10"/>
  <c r="G14" i="10"/>
  <c r="C60" i="10"/>
  <c r="G56" i="10" s="1"/>
  <c r="D61" i="10" s="1"/>
  <c r="D62" i="10" s="1"/>
  <c r="H72" i="10"/>
  <c r="G69" i="10"/>
  <c r="K72" i="10"/>
  <c r="G42" i="10" l="1"/>
  <c r="I40" i="10"/>
  <c r="F41" i="10"/>
  <c r="G45" i="10"/>
  <c r="G41" i="10"/>
  <c r="G74" i="10" s="1"/>
  <c r="G94" i="10"/>
  <c r="J98" i="10"/>
  <c r="K29" i="10"/>
  <c r="J49" i="10"/>
  <c r="G76" i="10"/>
  <c r="G75" i="10"/>
  <c r="F75" i="10"/>
  <c r="F76" i="10"/>
  <c r="K16" i="10"/>
  <c r="J17" i="10"/>
  <c r="H20" i="10"/>
  <c r="I21" i="10"/>
  <c r="H42" i="10"/>
  <c r="J13" i="10"/>
  <c r="I14" i="10"/>
  <c r="G62" i="10"/>
  <c r="D63" i="10"/>
  <c r="G63" i="10" s="1"/>
  <c r="G71" i="10" s="1"/>
  <c r="D20" i="20" l="1"/>
  <c r="G45" i="4"/>
  <c r="G77" i="10"/>
  <c r="G43" i="10"/>
  <c r="F74" i="10"/>
  <c r="H76" i="10"/>
  <c r="H75" i="10"/>
  <c r="J40" i="10"/>
  <c r="J14" i="10"/>
  <c r="K13" i="10"/>
  <c r="I20" i="10"/>
  <c r="J21" i="10"/>
  <c r="L16" i="10"/>
  <c r="L17" i="10" s="1"/>
  <c r="K17" i="10"/>
  <c r="F43" i="10"/>
  <c r="H45" i="10"/>
  <c r="H41" i="10"/>
  <c r="H74" i="10" s="1"/>
  <c r="H94" i="10"/>
  <c r="K98" i="10"/>
  <c r="L29" i="10"/>
  <c r="K49" i="10"/>
  <c r="E29" i="10"/>
  <c r="G114" i="5" l="1"/>
  <c r="E20" i="20"/>
  <c r="H45" i="4"/>
  <c r="G85" i="10"/>
  <c r="D21" i="20"/>
  <c r="G86" i="10" s="1"/>
  <c r="H43" i="10"/>
  <c r="H77" i="10"/>
  <c r="L98" i="10"/>
  <c r="L49" i="10"/>
  <c r="E33" i="10"/>
  <c r="J20" i="10"/>
  <c r="K21" i="10"/>
  <c r="J42" i="10"/>
  <c r="K40" i="10"/>
  <c r="I45" i="10"/>
  <c r="I41" i="10"/>
  <c r="I94" i="10"/>
  <c r="F77" i="10"/>
  <c r="K14" i="10"/>
  <c r="L13" i="10"/>
  <c r="L14" i="10" s="1"/>
  <c r="I42" i="10"/>
  <c r="H85" i="10" l="1"/>
  <c r="E21" i="20"/>
  <c r="H86" i="10" s="1"/>
  <c r="H114" i="5"/>
  <c r="I74" i="10"/>
  <c r="J75" i="10"/>
  <c r="J76" i="10"/>
  <c r="J45" i="10"/>
  <c r="J41" i="10"/>
  <c r="J74" i="10" s="1"/>
  <c r="J94" i="10"/>
  <c r="K20" i="10"/>
  <c r="L21" i="10"/>
  <c r="K42" i="10"/>
  <c r="L40" i="10"/>
  <c r="E40" i="10"/>
  <c r="I75" i="10"/>
  <c r="I76" i="10"/>
  <c r="I43" i="10"/>
  <c r="F20" i="20" l="1"/>
  <c r="I45" i="4"/>
  <c r="G20" i="20"/>
  <c r="J45" i="4"/>
  <c r="J77" i="10"/>
  <c r="K75" i="10"/>
  <c r="K76" i="10"/>
  <c r="E23" i="10"/>
  <c r="L20" i="10"/>
  <c r="I77" i="10"/>
  <c r="K45" i="10"/>
  <c r="K41" i="10"/>
  <c r="K94" i="10"/>
  <c r="J43" i="10"/>
  <c r="L42" i="10" l="1"/>
  <c r="L75" i="10" s="1"/>
  <c r="E75" i="10" s="1"/>
  <c r="J114" i="5"/>
  <c r="H20" i="20"/>
  <c r="K45" i="4"/>
  <c r="J85" i="10"/>
  <c r="G21" i="20"/>
  <c r="J86" i="10" s="1"/>
  <c r="I114" i="5"/>
  <c r="I85" i="10"/>
  <c r="F21" i="20"/>
  <c r="I86" i="10" s="1"/>
  <c r="K74" i="10"/>
  <c r="L45" i="10"/>
  <c r="L41" i="10"/>
  <c r="L74" i="10" s="1"/>
  <c r="L94" i="10"/>
  <c r="K43" i="10"/>
  <c r="L76" i="10" l="1"/>
  <c r="K114" i="5"/>
  <c r="K85" i="10"/>
  <c r="H21" i="20"/>
  <c r="K86" i="10" s="1"/>
  <c r="E76" i="10"/>
  <c r="L45" i="4"/>
  <c r="I20" i="20"/>
  <c r="E41" i="10"/>
  <c r="L77" i="10"/>
  <c r="L43" i="10"/>
  <c r="E74" i="10"/>
  <c r="K77" i="10"/>
  <c r="L85" i="10" l="1"/>
  <c r="I21" i="20"/>
  <c r="L86" i="10" s="1"/>
  <c r="B20" i="20"/>
  <c r="L114" i="5"/>
  <c r="F476" i="9"/>
  <c r="E476" i="9"/>
  <c r="G475" i="9"/>
  <c r="F475" i="9"/>
  <c r="E475" i="9"/>
  <c r="D475" i="9"/>
  <c r="C475" i="9"/>
  <c r="G471" i="9"/>
  <c r="F471" i="9"/>
  <c r="E471" i="9"/>
  <c r="D471" i="9"/>
  <c r="C471" i="9"/>
  <c r="G468" i="9"/>
  <c r="G476" i="9" s="1"/>
  <c r="F468" i="9"/>
  <c r="E468" i="9"/>
  <c r="D468" i="9"/>
  <c r="D476" i="9" s="1"/>
  <c r="C468" i="9"/>
  <c r="C476" i="9" s="1"/>
  <c r="A461" i="9"/>
  <c r="A460" i="9"/>
  <c r="A459" i="9"/>
  <c r="A458" i="9"/>
  <c r="M457" i="9"/>
  <c r="L457" i="9"/>
  <c r="K457" i="9"/>
  <c r="J457" i="9"/>
  <c r="I457" i="9"/>
  <c r="H457" i="9"/>
  <c r="G457" i="9"/>
  <c r="A457" i="9"/>
  <c r="A456" i="9"/>
  <c r="A455" i="9"/>
  <c r="A452" i="9"/>
  <c r="A451" i="9"/>
  <c r="A450" i="9"/>
  <c r="A449" i="9"/>
  <c r="M448" i="9"/>
  <c r="L448" i="9"/>
  <c r="K448" i="9"/>
  <c r="J448" i="9"/>
  <c r="I448" i="9"/>
  <c r="I455" i="9" s="1"/>
  <c r="H448" i="9"/>
  <c r="H450" i="9" s="1"/>
  <c r="H452" i="9" s="1"/>
  <c r="G448" i="9"/>
  <c r="A448" i="9"/>
  <c r="A447" i="9"/>
  <c r="A446" i="9"/>
  <c r="A445" i="9"/>
  <c r="M444" i="9"/>
  <c r="L444" i="9"/>
  <c r="K444" i="9"/>
  <c r="J444" i="9"/>
  <c r="I444" i="9"/>
  <c r="H444" i="9"/>
  <c r="G444" i="9"/>
  <c r="A444" i="9"/>
  <c r="A443" i="9"/>
  <c r="A442" i="9"/>
  <c r="A441" i="9"/>
  <c r="I440" i="9"/>
  <c r="H440" i="9"/>
  <c r="G440" i="9"/>
  <c r="A440" i="9"/>
  <c r="A439" i="9"/>
  <c r="A438" i="9"/>
  <c r="A437" i="9"/>
  <c r="M436" i="9"/>
  <c r="L436" i="9"/>
  <c r="K436" i="9"/>
  <c r="J436" i="9"/>
  <c r="I436" i="9"/>
  <c r="H436" i="9"/>
  <c r="G436" i="9"/>
  <c r="A436" i="9"/>
  <c r="A435" i="9"/>
  <c r="A434" i="9"/>
  <c r="A433" i="9"/>
  <c r="M432" i="9"/>
  <c r="L432" i="9"/>
  <c r="K432" i="9"/>
  <c r="J432" i="9"/>
  <c r="I432" i="9"/>
  <c r="H432" i="9"/>
  <c r="G432" i="9"/>
  <c r="A432" i="9"/>
  <c r="A431" i="9"/>
  <c r="A430" i="9"/>
  <c r="A429" i="9"/>
  <c r="A428" i="9"/>
  <c r="A427" i="9"/>
  <c r="A426" i="9"/>
  <c r="A425" i="9"/>
  <c r="A424" i="9"/>
  <c r="A423" i="9"/>
  <c r="A422" i="9"/>
  <c r="A421" i="9"/>
  <c r="A420" i="9"/>
  <c r="A419" i="9"/>
  <c r="A418" i="9"/>
  <c r="A417" i="9"/>
  <c r="A416" i="9"/>
  <c r="A415" i="9"/>
  <c r="A414" i="9"/>
  <c r="A413" i="9"/>
  <c r="A412" i="9"/>
  <c r="A411" i="9"/>
  <c r="A410" i="9"/>
  <c r="A409" i="9"/>
  <c r="A408" i="9"/>
  <c r="A407" i="9"/>
  <c r="A406" i="9"/>
  <c r="A405" i="9"/>
  <c r="A404" i="9"/>
  <c r="A403" i="9"/>
  <c r="A402" i="9"/>
  <c r="A401" i="9"/>
  <c r="A400" i="9"/>
  <c r="A399" i="9"/>
  <c r="A398" i="9"/>
  <c r="A397" i="9"/>
  <c r="A396" i="9"/>
  <c r="A395" i="9"/>
  <c r="A394" i="9"/>
  <c r="A393" i="9"/>
  <c r="A392" i="9"/>
  <c r="A391" i="9"/>
  <c r="A390" i="9"/>
  <c r="A389" i="9"/>
  <c r="A388" i="9"/>
  <c r="A387" i="9"/>
  <c r="A386" i="9"/>
  <c r="A385" i="9"/>
  <c r="A384" i="9"/>
  <c r="A383" i="9"/>
  <c r="A382" i="9"/>
  <c r="A381" i="9"/>
  <c r="A380" i="9"/>
  <c r="A379" i="9"/>
  <c r="A378" i="9"/>
  <c r="A377" i="9"/>
  <c r="A376" i="9"/>
  <c r="A375" i="9"/>
  <c r="A374" i="9"/>
  <c r="A373" i="9"/>
  <c r="A372" i="9"/>
  <c r="A371" i="9"/>
  <c r="A370" i="9"/>
  <c r="A369" i="9"/>
  <c r="A368" i="9"/>
  <c r="A367" i="9"/>
  <c r="A366" i="9"/>
  <c r="A365" i="9"/>
  <c r="A364" i="9"/>
  <c r="A363" i="9"/>
  <c r="A362" i="9"/>
  <c r="A361" i="9"/>
  <c r="A360" i="9"/>
  <c r="A359" i="9"/>
  <c r="A358" i="9"/>
  <c r="A357" i="9"/>
  <c r="A356" i="9"/>
  <c r="A355" i="9"/>
  <c r="A354" i="9"/>
  <c r="A353" i="9"/>
  <c r="A352" i="9"/>
  <c r="A351" i="9"/>
  <c r="A350" i="9"/>
  <c r="A349" i="9"/>
  <c r="A348" i="9"/>
  <c r="A347" i="9"/>
  <c r="A346" i="9"/>
  <c r="A345" i="9"/>
  <c r="A344" i="9"/>
  <c r="A343" i="9"/>
  <c r="A342" i="9"/>
  <c r="A341" i="9"/>
  <c r="A340" i="9"/>
  <c r="A339" i="9"/>
  <c r="A338" i="9"/>
  <c r="A337" i="9"/>
  <c r="A336" i="9"/>
  <c r="A335" i="9"/>
  <c r="A334" i="9"/>
  <c r="A333" i="9"/>
  <c r="A332" i="9"/>
  <c r="A331" i="9"/>
  <c r="A330" i="9"/>
  <c r="A329" i="9"/>
  <c r="A328" i="9"/>
  <c r="A327" i="9"/>
  <c r="A326" i="9"/>
  <c r="A325" i="9"/>
  <c r="A324" i="9"/>
  <c r="A323" i="9"/>
  <c r="A322" i="9"/>
  <c r="A321" i="9"/>
  <c r="A320" i="9"/>
  <c r="A319" i="9"/>
  <c r="A318" i="9"/>
  <c r="M317" i="9"/>
  <c r="L317" i="9"/>
  <c r="K317" i="9"/>
  <c r="J317" i="9"/>
  <c r="I317" i="9"/>
  <c r="H317" i="9"/>
  <c r="G317" i="9"/>
  <c r="A317" i="9"/>
  <c r="M316" i="9"/>
  <c r="L316" i="9"/>
  <c r="K316" i="9"/>
  <c r="J316" i="9"/>
  <c r="I316" i="9"/>
  <c r="H316" i="9"/>
  <c r="G316" i="9"/>
  <c r="A316" i="9"/>
  <c r="M315" i="9"/>
  <c r="L315" i="9"/>
  <c r="K315" i="9"/>
  <c r="J315" i="9"/>
  <c r="I315" i="9"/>
  <c r="H315" i="9"/>
  <c r="G315" i="9"/>
  <c r="A315" i="9"/>
  <c r="A314" i="9"/>
  <c r="M313" i="9"/>
  <c r="L313" i="9"/>
  <c r="K313" i="9"/>
  <c r="J313" i="9"/>
  <c r="I313" i="9"/>
  <c r="H313" i="9"/>
  <c r="G313" i="9"/>
  <c r="A313" i="9"/>
  <c r="A312" i="9"/>
  <c r="M311" i="9"/>
  <c r="L311" i="9"/>
  <c r="K311" i="9"/>
  <c r="J311" i="9"/>
  <c r="I311" i="9"/>
  <c r="H311" i="9"/>
  <c r="G311" i="9"/>
  <c r="A311" i="9"/>
  <c r="A310" i="9"/>
  <c r="M309" i="9"/>
  <c r="L309" i="9"/>
  <c r="K309" i="9"/>
  <c r="J309" i="9"/>
  <c r="I309" i="9"/>
  <c r="H309" i="9"/>
  <c r="G309" i="9"/>
  <c r="A309" i="9"/>
  <c r="A308" i="9"/>
  <c r="M307" i="9"/>
  <c r="L307" i="9"/>
  <c r="K307" i="9"/>
  <c r="J307" i="9"/>
  <c r="I307" i="9"/>
  <c r="H307" i="9"/>
  <c r="G307" i="9"/>
  <c r="A307" i="9"/>
  <c r="A306" i="9"/>
  <c r="M305" i="9"/>
  <c r="L305" i="9"/>
  <c r="K305" i="9"/>
  <c r="J305" i="9"/>
  <c r="I305" i="9"/>
  <c r="H305" i="9"/>
  <c r="G305" i="9"/>
  <c r="A305" i="9"/>
  <c r="M304" i="9"/>
  <c r="L304" i="9"/>
  <c r="K304" i="9"/>
  <c r="J304" i="9"/>
  <c r="I304" i="9"/>
  <c r="H304" i="9"/>
  <c r="G304" i="9"/>
  <c r="A304" i="9"/>
  <c r="M303" i="9"/>
  <c r="L303" i="9"/>
  <c r="K303" i="9"/>
  <c r="J303" i="9"/>
  <c r="I303" i="9"/>
  <c r="H303" i="9"/>
  <c r="G303" i="9"/>
  <c r="A303" i="9"/>
  <c r="A302" i="9"/>
  <c r="A301" i="9"/>
  <c r="A300" i="9"/>
  <c r="M299" i="9"/>
  <c r="L299" i="9"/>
  <c r="K299" i="9"/>
  <c r="J299" i="9"/>
  <c r="I299" i="9"/>
  <c r="H299" i="9"/>
  <c r="G299" i="9"/>
  <c r="A299" i="9"/>
  <c r="A298" i="9"/>
  <c r="B297" i="9"/>
  <c r="A297" i="9"/>
  <c r="B296" i="9"/>
  <c r="A296" i="9"/>
  <c r="B295" i="9"/>
  <c r="A295" i="9"/>
  <c r="B294" i="9"/>
  <c r="A294" i="9"/>
  <c r="B293" i="9"/>
  <c r="A293" i="9"/>
  <c r="B292" i="9"/>
  <c r="A292" i="9"/>
  <c r="M291" i="9"/>
  <c r="L291" i="9"/>
  <c r="K291" i="9"/>
  <c r="C291" i="9" s="1"/>
  <c r="J291" i="9"/>
  <c r="I291" i="9"/>
  <c r="H291" i="9"/>
  <c r="G291" i="9"/>
  <c r="B291" i="9"/>
  <c r="A291" i="9"/>
  <c r="B290" i="9"/>
  <c r="A290" i="9"/>
  <c r="B289" i="9"/>
  <c r="A289" i="9"/>
  <c r="M288" i="9"/>
  <c r="L288" i="9"/>
  <c r="K288" i="9"/>
  <c r="J288" i="9"/>
  <c r="I288" i="9"/>
  <c r="H288" i="9"/>
  <c r="G288" i="9"/>
  <c r="B288" i="9"/>
  <c r="A288" i="9"/>
  <c r="M287" i="9"/>
  <c r="L287" i="9"/>
  <c r="K287" i="9"/>
  <c r="J287" i="9"/>
  <c r="I287" i="9"/>
  <c r="H287" i="9"/>
  <c r="G287" i="9"/>
  <c r="B287" i="9"/>
  <c r="A287" i="9"/>
  <c r="M286" i="9"/>
  <c r="L286" i="9"/>
  <c r="K286" i="9"/>
  <c r="J286" i="9"/>
  <c r="I286" i="9"/>
  <c r="H286" i="9"/>
  <c r="G286" i="9"/>
  <c r="C286" i="9"/>
  <c r="B286" i="9"/>
  <c r="A286" i="9"/>
  <c r="B285" i="9"/>
  <c r="A285" i="9"/>
  <c r="A284" i="9"/>
  <c r="B283" i="9"/>
  <c r="A283" i="9"/>
  <c r="B282" i="9"/>
  <c r="A282" i="9"/>
  <c r="B281" i="9"/>
  <c r="A281" i="9"/>
  <c r="B280" i="9"/>
  <c r="A280" i="9"/>
  <c r="B279" i="9"/>
  <c r="A279" i="9"/>
  <c r="B278" i="9"/>
  <c r="A278" i="9"/>
  <c r="B277" i="9"/>
  <c r="A277" i="9"/>
  <c r="B276" i="9"/>
  <c r="A276" i="9"/>
  <c r="B275" i="9"/>
  <c r="A275" i="9"/>
  <c r="B274" i="9"/>
  <c r="A274" i="9"/>
  <c r="B273" i="9"/>
  <c r="A273" i="9"/>
  <c r="A272" i="9"/>
  <c r="B271" i="9"/>
  <c r="A271" i="9"/>
  <c r="B270" i="9"/>
  <c r="A270" i="9"/>
  <c r="B269" i="9"/>
  <c r="A269" i="9"/>
  <c r="B268" i="9"/>
  <c r="A268" i="9"/>
  <c r="B267" i="9"/>
  <c r="A267" i="9"/>
  <c r="B266" i="9"/>
  <c r="A266" i="9"/>
  <c r="M265" i="9"/>
  <c r="L265" i="9"/>
  <c r="K265" i="9"/>
  <c r="C265" i="9" s="1"/>
  <c r="J265" i="9"/>
  <c r="I265" i="9"/>
  <c r="H265" i="9"/>
  <c r="G265" i="9"/>
  <c r="B265" i="9"/>
  <c r="A265" i="9"/>
  <c r="M264" i="9"/>
  <c r="L264" i="9"/>
  <c r="K264" i="9"/>
  <c r="J264" i="9"/>
  <c r="I264" i="9"/>
  <c r="H264" i="9"/>
  <c r="G264" i="9"/>
  <c r="B264" i="9"/>
  <c r="A264" i="9"/>
  <c r="M263" i="9"/>
  <c r="L263" i="9"/>
  <c r="K263" i="9"/>
  <c r="J263" i="9"/>
  <c r="I263" i="9"/>
  <c r="H263" i="9"/>
  <c r="G263" i="9"/>
  <c r="B263" i="9"/>
  <c r="A263" i="9"/>
  <c r="M262" i="9"/>
  <c r="L262" i="9"/>
  <c r="K262" i="9"/>
  <c r="J262" i="9"/>
  <c r="I262" i="9"/>
  <c r="H262" i="9"/>
  <c r="G262" i="9"/>
  <c r="B262" i="9"/>
  <c r="A262" i="9"/>
  <c r="B261" i="9"/>
  <c r="A261" i="9"/>
  <c r="A260" i="9"/>
  <c r="A259" i="9"/>
  <c r="B258" i="9"/>
  <c r="A258" i="9"/>
  <c r="A257" i="9"/>
  <c r="A256" i="9"/>
  <c r="M255" i="9"/>
  <c r="L255" i="9"/>
  <c r="K255" i="9"/>
  <c r="J255" i="9"/>
  <c r="I255" i="9"/>
  <c r="H255" i="9"/>
  <c r="G255" i="9"/>
  <c r="C255" i="9" s="1"/>
  <c r="B255" i="9"/>
  <c r="A255" i="9"/>
  <c r="M254" i="9"/>
  <c r="L254" i="9"/>
  <c r="K254" i="9"/>
  <c r="J254" i="9"/>
  <c r="I254" i="9"/>
  <c r="H254" i="9"/>
  <c r="G254" i="9"/>
  <c r="C254" i="9" s="1"/>
  <c r="B254" i="9"/>
  <c r="B253" i="9"/>
  <c r="A253" i="9"/>
  <c r="B252" i="9"/>
  <c r="A252" i="9"/>
  <c r="B251" i="9"/>
  <c r="A251" i="9"/>
  <c r="A250" i="9"/>
  <c r="A249" i="9"/>
  <c r="M248" i="9"/>
  <c r="L248" i="9"/>
  <c r="K248" i="9"/>
  <c r="J248" i="9"/>
  <c r="I248" i="9"/>
  <c r="H248" i="9"/>
  <c r="G248" i="9"/>
  <c r="C248" i="9"/>
  <c r="B248" i="9"/>
  <c r="A248" i="9"/>
  <c r="B247" i="9"/>
  <c r="A247" i="9"/>
  <c r="B246" i="9"/>
  <c r="A246" i="9"/>
  <c r="M245" i="9"/>
  <c r="L245" i="9"/>
  <c r="K245" i="9"/>
  <c r="J245" i="9"/>
  <c r="I245" i="9"/>
  <c r="H245" i="9"/>
  <c r="G245" i="9"/>
  <c r="B245" i="9"/>
  <c r="A245" i="9"/>
  <c r="M244" i="9"/>
  <c r="L244" i="9"/>
  <c r="K244" i="9"/>
  <c r="J244" i="9"/>
  <c r="I244" i="9"/>
  <c r="H244" i="9"/>
  <c r="G244" i="9"/>
  <c r="B244" i="9"/>
  <c r="A244" i="9"/>
  <c r="B243"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G78" i="9"/>
  <c r="A78" i="9"/>
  <c r="A77" i="9"/>
  <c r="A76" i="9"/>
  <c r="A75" i="9"/>
  <c r="A74" i="9"/>
  <c r="A73" i="9"/>
  <c r="A72" i="9"/>
  <c r="A71" i="9"/>
  <c r="A70" i="9"/>
  <c r="A69" i="9"/>
  <c r="A68" i="9"/>
  <c r="A67" i="9"/>
  <c r="A66" i="9"/>
  <c r="A65" i="9"/>
  <c r="C64" i="9"/>
  <c r="A64" i="9"/>
  <c r="C63" i="9"/>
  <c r="A63" i="9"/>
  <c r="A62" i="9"/>
  <c r="A61" i="9"/>
  <c r="A60" i="9"/>
  <c r="A59" i="9"/>
  <c r="C58"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M25" i="9"/>
  <c r="L25" i="9"/>
  <c r="K25" i="9"/>
  <c r="J25" i="9"/>
  <c r="I25" i="9"/>
  <c r="H25" i="9"/>
  <c r="G25" i="9"/>
  <c r="A25" i="9"/>
  <c r="A24" i="9"/>
  <c r="A23" i="9"/>
  <c r="A22" i="9"/>
  <c r="A21" i="9"/>
  <c r="A20" i="9"/>
  <c r="A19" i="9"/>
  <c r="A18" i="9"/>
  <c r="A17" i="9"/>
  <c r="A16" i="9"/>
  <c r="A15" i="9"/>
  <c r="A14" i="9"/>
  <c r="H50" i="9"/>
  <c r="M49" i="9"/>
  <c r="L49" i="9"/>
  <c r="K49" i="9"/>
  <c r="J49" i="9"/>
  <c r="I49" i="9"/>
  <c r="H7" i="9"/>
  <c r="G49" i="9"/>
  <c r="A5" i="9"/>
  <c r="A2" i="9"/>
  <c r="B21" i="20" l="1"/>
  <c r="E86" i="10" s="1"/>
  <c r="E85" i="10"/>
  <c r="G7" i="9"/>
  <c r="I7" i="9"/>
  <c r="C30" i="9"/>
  <c r="H49" i="9"/>
  <c r="J7" i="9"/>
  <c r="K7" i="9"/>
  <c r="C245" i="9"/>
  <c r="C263" i="9"/>
  <c r="C288" i="9"/>
  <c r="C262" i="9"/>
  <c r="C287" i="9"/>
  <c r="K455" i="9"/>
  <c r="C244" i="9"/>
  <c r="K450" i="9"/>
  <c r="K452" i="9" s="1"/>
  <c r="J450" i="9"/>
  <c r="J452" i="9" s="1"/>
  <c r="C264" i="9"/>
  <c r="G450" i="9"/>
  <c r="G452" i="9" s="1"/>
  <c r="G455" i="9"/>
  <c r="J455" i="9"/>
  <c r="I450" i="9"/>
  <c r="I452" i="9" s="1"/>
  <c r="H455" i="9"/>
  <c r="L455" i="9" l="1"/>
  <c r="L450" i="9"/>
  <c r="L452" i="9" s="1"/>
  <c r="M450" i="9" l="1"/>
  <c r="M452" i="9" s="1"/>
  <c r="M455" i="9"/>
  <c r="C455" i="9" s="1"/>
  <c r="A146" i="7" l="1"/>
  <c r="A145" i="7"/>
  <c r="A144" i="7"/>
  <c r="F143" i="7"/>
  <c r="F145" i="7" s="1"/>
  <c r="A143" i="7"/>
  <c r="C142" i="7"/>
  <c r="A142" i="7"/>
  <c r="C141" i="7"/>
  <c r="A141" i="7"/>
  <c r="C140" i="7"/>
  <c r="A140" i="7"/>
  <c r="C139" i="7"/>
  <c r="A139" i="7"/>
  <c r="C138" i="7"/>
  <c r="A138" i="7"/>
  <c r="C137" i="7"/>
  <c r="A137" i="7"/>
  <c r="A136" i="7"/>
  <c r="C135" i="7"/>
  <c r="A135" i="7"/>
  <c r="C134" i="7"/>
  <c r="A134" i="7"/>
  <c r="C133" i="7"/>
  <c r="A133" i="7"/>
  <c r="A132" i="7"/>
  <c r="A131" i="7"/>
  <c r="A130" i="7"/>
  <c r="A129" i="7"/>
  <c r="A128" i="7"/>
  <c r="H127" i="7"/>
  <c r="A127" i="7"/>
  <c r="A126" i="7"/>
  <c r="A125" i="7"/>
  <c r="A124" i="7"/>
  <c r="A123" i="7"/>
  <c r="A122" i="7"/>
  <c r="A121" i="7"/>
  <c r="A120" i="7"/>
  <c r="A119" i="7"/>
  <c r="C118" i="7"/>
  <c r="A118" i="7"/>
  <c r="L117" i="7"/>
  <c r="K117" i="7"/>
  <c r="J117" i="7"/>
  <c r="I117" i="7"/>
  <c r="H117" i="7"/>
  <c r="G117" i="7"/>
  <c r="A117" i="7"/>
  <c r="A116" i="7"/>
  <c r="A115" i="7"/>
  <c r="A114" i="7"/>
  <c r="A113" i="7"/>
  <c r="A112" i="7"/>
  <c r="A111" i="7"/>
  <c r="A110" i="7"/>
  <c r="C109" i="7"/>
  <c r="A109" i="7"/>
  <c r="A108" i="7"/>
  <c r="A107" i="7"/>
  <c r="A106" i="7"/>
  <c r="A105" i="7"/>
  <c r="A104" i="7"/>
  <c r="A103" i="7"/>
  <c r="A102" i="7"/>
  <c r="A101" i="7"/>
  <c r="A100" i="7"/>
  <c r="A99" i="7"/>
  <c r="A98" i="7"/>
  <c r="A97" i="7"/>
  <c r="A96" i="7"/>
  <c r="A95" i="7"/>
  <c r="G94" i="7"/>
  <c r="H94" i="7" s="1"/>
  <c r="I94" i="7" s="1"/>
  <c r="J94" i="7" s="1"/>
  <c r="K94" i="7" s="1"/>
  <c r="A94" i="7"/>
  <c r="H93" i="7"/>
  <c r="I93" i="7" s="1"/>
  <c r="J93" i="7" s="1"/>
  <c r="K93" i="7" s="1"/>
  <c r="L93" i="7" s="1"/>
  <c r="L128" i="7" s="1"/>
  <c r="G93" i="7"/>
  <c r="A93" i="7"/>
  <c r="H92" i="7"/>
  <c r="I92" i="7" s="1"/>
  <c r="J92" i="7" s="1"/>
  <c r="K92" i="7" s="1"/>
  <c r="L92" i="7" s="1"/>
  <c r="L125" i="7" s="1"/>
  <c r="G92" i="7"/>
  <c r="A92" i="7"/>
  <c r="A91" i="7"/>
  <c r="A90" i="7"/>
  <c r="D86" i="7"/>
  <c r="G86" i="7" s="1"/>
  <c r="A89" i="7"/>
  <c r="D88" i="7"/>
  <c r="J88" i="7" s="1"/>
  <c r="J114" i="7" s="1"/>
  <c r="A88" i="7"/>
  <c r="L87" i="7"/>
  <c r="K87" i="7"/>
  <c r="J87" i="7"/>
  <c r="I87" i="7"/>
  <c r="H87" i="7"/>
  <c r="G87" i="7"/>
  <c r="A87" i="7"/>
  <c r="B86" i="7"/>
  <c r="A86" i="7"/>
  <c r="B85" i="7"/>
  <c r="A85" i="7"/>
  <c r="G84" i="7"/>
  <c r="G116" i="7" s="1"/>
  <c r="B84" i="7"/>
  <c r="A84" i="7"/>
  <c r="A83" i="7"/>
  <c r="A82" i="7"/>
  <c r="A81" i="7"/>
  <c r="A80" i="7"/>
  <c r="A79" i="7"/>
  <c r="A78" i="7"/>
  <c r="A77" i="7"/>
  <c r="A76" i="7"/>
  <c r="A75" i="7"/>
  <c r="A74" i="7"/>
  <c r="A73" i="7"/>
  <c r="A72" i="7"/>
  <c r="C71" i="7"/>
  <c r="A71" i="7"/>
  <c r="E70" i="7"/>
  <c r="L70" i="7" s="1"/>
  <c r="C70" i="7"/>
  <c r="A70" i="7"/>
  <c r="C69" i="7"/>
  <c r="C73" i="7" s="1"/>
  <c r="C74" i="7" s="1"/>
  <c r="A69" i="7"/>
  <c r="L68" i="7"/>
  <c r="H68" i="7"/>
  <c r="G68" i="7"/>
  <c r="E68" i="7"/>
  <c r="J68" i="7" s="1"/>
  <c r="C68" i="7"/>
  <c r="A68" i="7"/>
  <c r="A67" i="7"/>
  <c r="A66" i="7"/>
  <c r="A65" i="7"/>
  <c r="A64" i="7"/>
  <c r="A63" i="7"/>
  <c r="A62" i="7"/>
  <c r="A61" i="7"/>
  <c r="A60" i="7"/>
  <c r="A59" i="7"/>
  <c r="A58" i="7"/>
  <c r="A57" i="7"/>
  <c r="D56" i="7"/>
  <c r="A56" i="7"/>
  <c r="A55" i="7"/>
  <c r="L54" i="7"/>
  <c r="A54" i="7"/>
  <c r="L53" i="7"/>
  <c r="H53" i="7"/>
  <c r="G53" i="7"/>
  <c r="A53" i="7"/>
  <c r="K52" i="7"/>
  <c r="H52" i="7"/>
  <c r="G52" i="7"/>
  <c r="A52" i="7"/>
  <c r="K51" i="7"/>
  <c r="A51" i="7"/>
  <c r="A50" i="7"/>
  <c r="A49" i="7"/>
  <c r="A48" i="7"/>
  <c r="A47" i="7"/>
  <c r="A46" i="7"/>
  <c r="K45" i="7"/>
  <c r="A45" i="7"/>
  <c r="A44" i="7"/>
  <c r="A43" i="7"/>
  <c r="A42" i="7"/>
  <c r="A41" i="7"/>
  <c r="A40" i="7"/>
  <c r="K39" i="7"/>
  <c r="A39" i="7"/>
  <c r="H38" i="7"/>
  <c r="A38" i="7"/>
  <c r="H37" i="7"/>
  <c r="I37" i="7" s="1"/>
  <c r="J37" i="7" s="1"/>
  <c r="K37" i="7" s="1"/>
  <c r="L37" i="7" s="1"/>
  <c r="L38" i="7" s="1"/>
  <c r="A37" i="7"/>
  <c r="L36" i="7"/>
  <c r="K36" i="7"/>
  <c r="K95" i="7" s="1"/>
  <c r="J36" i="7"/>
  <c r="I36" i="7"/>
  <c r="H36" i="7"/>
  <c r="G36" i="7"/>
  <c r="G136" i="7" s="1"/>
  <c r="A36" i="7"/>
  <c r="A35" i="7"/>
  <c r="A34" i="7"/>
  <c r="A33" i="7"/>
  <c r="A32" i="7"/>
  <c r="A31" i="7"/>
  <c r="A30" i="7"/>
  <c r="A29" i="7"/>
  <c r="A28" i="7"/>
  <c r="A27" i="7"/>
  <c r="A26" i="7"/>
  <c r="A25" i="7"/>
  <c r="A24" i="7"/>
  <c r="A23" i="7"/>
  <c r="A22" i="7"/>
  <c r="A21" i="7"/>
  <c r="A20" i="7"/>
  <c r="A19" i="7"/>
  <c r="A18" i="7"/>
  <c r="L17" i="7"/>
  <c r="K17" i="7"/>
  <c r="J17" i="7"/>
  <c r="I17" i="7"/>
  <c r="H17" i="7"/>
  <c r="G17" i="7"/>
  <c r="A17" i="7"/>
  <c r="A16" i="7"/>
  <c r="A15" i="7"/>
  <c r="A14" i="7"/>
  <c r="A13" i="7"/>
  <c r="L12" i="7"/>
  <c r="K12" i="7"/>
  <c r="J12" i="7"/>
  <c r="I12" i="7"/>
  <c r="H12" i="7"/>
  <c r="G12" i="7"/>
  <c r="A12" i="7"/>
  <c r="A11" i="7"/>
  <c r="F10" i="7"/>
  <c r="H9" i="7"/>
  <c r="I9" i="7" s="1"/>
  <c r="J9" i="7" s="1"/>
  <c r="K9" i="7" s="1"/>
  <c r="L9" i="7" s="1"/>
  <c r="A5" i="7"/>
  <c r="A2" i="7"/>
  <c r="F36" i="4" l="1"/>
  <c r="F45" i="11"/>
  <c r="G24" i="4"/>
  <c r="F7" i="12"/>
  <c r="G9" i="9"/>
  <c r="G50" i="9" s="1"/>
  <c r="C7" i="20"/>
  <c r="F80" i="10" s="1"/>
  <c r="F7" i="4"/>
  <c r="F7" i="5" s="1"/>
  <c r="D8" i="6"/>
  <c r="C130" i="7"/>
  <c r="D85" i="7"/>
  <c r="G85" i="7" s="1"/>
  <c r="C84" i="7"/>
  <c r="H84" i="7"/>
  <c r="H116" i="7" s="1"/>
  <c r="H24" i="4" s="1"/>
  <c r="G115" i="7"/>
  <c r="L94" i="7"/>
  <c r="L132" i="7" s="1"/>
  <c r="K132" i="7"/>
  <c r="J120" i="7"/>
  <c r="J16" i="4" s="1"/>
  <c r="J118" i="7"/>
  <c r="H88" i="7"/>
  <c r="H114" i="7" s="1"/>
  <c r="I132" i="7"/>
  <c r="E71" i="7"/>
  <c r="K84" i="7"/>
  <c r="K116" i="7" s="1"/>
  <c r="K24" i="4" s="1"/>
  <c r="J128" i="7"/>
  <c r="L95" i="7"/>
  <c r="G38" i="7"/>
  <c r="K53" i="7"/>
  <c r="K56" i="7" s="1"/>
  <c r="K68" i="7"/>
  <c r="I88" i="7"/>
  <c r="I114" i="7" s="1"/>
  <c r="K125" i="7"/>
  <c r="G127" i="7"/>
  <c r="K128" i="7"/>
  <c r="J132" i="7"/>
  <c r="H136" i="7"/>
  <c r="C136" i="7" s="1"/>
  <c r="I136" i="7"/>
  <c r="I38" i="7"/>
  <c r="G70" i="7"/>
  <c r="H86" i="7" s="1"/>
  <c r="I84" i="7"/>
  <c r="I116" i="7" s="1"/>
  <c r="I24" i="4" s="1"/>
  <c r="K88" i="7"/>
  <c r="K114" i="7" s="1"/>
  <c r="I127" i="7"/>
  <c r="J136" i="7"/>
  <c r="J38" i="7"/>
  <c r="I52" i="7"/>
  <c r="G54" i="7"/>
  <c r="H70" i="7"/>
  <c r="I86" i="7" s="1"/>
  <c r="L88" i="7"/>
  <c r="L114" i="7" s="1"/>
  <c r="J127" i="7"/>
  <c r="K136" i="7"/>
  <c r="G11" i="7"/>
  <c r="K38" i="7"/>
  <c r="J52" i="7"/>
  <c r="H54" i="7"/>
  <c r="E69" i="7"/>
  <c r="I70" i="7"/>
  <c r="J86" i="7" s="1"/>
  <c r="C126" i="7"/>
  <c r="K127" i="7"/>
  <c r="L136" i="7"/>
  <c r="I54" i="7"/>
  <c r="J70" i="7"/>
  <c r="K86" i="7" s="1"/>
  <c r="G111" i="7"/>
  <c r="L127" i="7"/>
  <c r="G45" i="7"/>
  <c r="G51" i="7"/>
  <c r="L52" i="7"/>
  <c r="J54" i="7"/>
  <c r="K70" i="7"/>
  <c r="L86" i="7" s="1"/>
  <c r="G95" i="7"/>
  <c r="H111" i="7"/>
  <c r="H39" i="7"/>
  <c r="H45" i="7"/>
  <c r="H51" i="7"/>
  <c r="K54" i="7"/>
  <c r="H95" i="7"/>
  <c r="I111" i="7"/>
  <c r="I95" i="7"/>
  <c r="J111" i="7"/>
  <c r="G125" i="7"/>
  <c r="G128" i="7"/>
  <c r="C128" i="7" s="1"/>
  <c r="I51" i="7"/>
  <c r="I56" i="7" s="1"/>
  <c r="J39" i="7"/>
  <c r="J45" i="7"/>
  <c r="J51" i="7"/>
  <c r="J95" i="7"/>
  <c r="K111" i="7"/>
  <c r="H125" i="7"/>
  <c r="H128" i="7"/>
  <c r="G132" i="7"/>
  <c r="I39" i="7"/>
  <c r="I53" i="7"/>
  <c r="I68" i="7"/>
  <c r="G88" i="7"/>
  <c r="G114" i="7" s="1"/>
  <c r="L111" i="7"/>
  <c r="I125" i="7"/>
  <c r="I128" i="7"/>
  <c r="H132" i="7"/>
  <c r="I45" i="7"/>
  <c r="L39" i="7"/>
  <c r="L45" i="7"/>
  <c r="L51" i="7"/>
  <c r="L56" i="7" s="1"/>
  <c r="J53" i="7"/>
  <c r="J125" i="7"/>
  <c r="J143" i="7" s="1"/>
  <c r="F83" i="10" l="1"/>
  <c r="G34" i="9"/>
  <c r="C22" i="20"/>
  <c r="F87" i="10" s="1"/>
  <c r="F62" i="12"/>
  <c r="C26" i="20"/>
  <c r="F66" i="12" s="1"/>
  <c r="C36" i="20"/>
  <c r="C18" i="20"/>
  <c r="F49" i="11" s="1"/>
  <c r="H95" i="5"/>
  <c r="G8" i="4"/>
  <c r="G8" i="5" s="1"/>
  <c r="G8" i="10"/>
  <c r="F8" i="10" s="1"/>
  <c r="G9" i="13"/>
  <c r="G8" i="12"/>
  <c r="G60" i="12" s="1"/>
  <c r="H10" i="9"/>
  <c r="D8" i="20"/>
  <c r="G81" i="10" s="1"/>
  <c r="K95" i="5"/>
  <c r="F8" i="13"/>
  <c r="F59" i="12"/>
  <c r="I95" i="5"/>
  <c r="J54" i="5"/>
  <c r="J94" i="5"/>
  <c r="G95" i="5"/>
  <c r="C131" i="7"/>
  <c r="I143" i="7"/>
  <c r="I144" i="7" s="1"/>
  <c r="L143" i="7"/>
  <c r="L144" i="7" s="1"/>
  <c r="K72" i="7"/>
  <c r="K76" i="7" s="1"/>
  <c r="L118" i="7"/>
  <c r="L120" i="7"/>
  <c r="L16" i="4" s="1"/>
  <c r="C132" i="7"/>
  <c r="G143" i="7"/>
  <c r="C125" i="7"/>
  <c r="L69" i="7"/>
  <c r="K69" i="7"/>
  <c r="L85" i="7" s="1"/>
  <c r="L115" i="7" s="1"/>
  <c r="E73" i="7"/>
  <c r="J69" i="7"/>
  <c r="I69" i="7"/>
  <c r="J85" i="7" s="1"/>
  <c r="J115" i="7" s="1"/>
  <c r="H69" i="7"/>
  <c r="G69" i="7"/>
  <c r="H120" i="7"/>
  <c r="H16" i="4" s="1"/>
  <c r="H118" i="7"/>
  <c r="I74" i="7"/>
  <c r="J84" i="7"/>
  <c r="J116" i="7" s="1"/>
  <c r="J24" i="4" s="1"/>
  <c r="K74" i="7"/>
  <c r="L84" i="7"/>
  <c r="L116" i="7" s="1"/>
  <c r="L24" i="4" s="1"/>
  <c r="H143" i="7"/>
  <c r="J144" i="7"/>
  <c r="J56" i="7"/>
  <c r="H10" i="7"/>
  <c r="F11" i="7"/>
  <c r="C127" i="7"/>
  <c r="K143" i="7"/>
  <c r="G120" i="7"/>
  <c r="G119" i="7"/>
  <c r="H56" i="7"/>
  <c r="G56" i="7"/>
  <c r="K118" i="7"/>
  <c r="K120" i="7"/>
  <c r="K16" i="4" s="1"/>
  <c r="I120" i="7"/>
  <c r="I16" i="4" s="1"/>
  <c r="I118" i="7"/>
  <c r="H54" i="5" l="1"/>
  <c r="H94" i="5"/>
  <c r="H104" i="9"/>
  <c r="H269" i="9" s="1"/>
  <c r="H101" i="9"/>
  <c r="H227" i="9"/>
  <c r="H383" i="9" s="1"/>
  <c r="H193" i="9"/>
  <c r="H349" i="9" s="1"/>
  <c r="H163" i="9"/>
  <c r="H319" i="9" s="1"/>
  <c r="H102" i="9"/>
  <c r="H267" i="9" s="1"/>
  <c r="H217" i="9"/>
  <c r="H373" i="9" s="1"/>
  <c r="H154" i="9"/>
  <c r="H310" i="9" s="1"/>
  <c r="H131" i="9"/>
  <c r="H294" i="9" s="1"/>
  <c r="H185" i="9"/>
  <c r="H341" i="9" s="1"/>
  <c r="H186" i="9"/>
  <c r="H342" i="9" s="1"/>
  <c r="H133" i="9"/>
  <c r="H296" i="9" s="1"/>
  <c r="H223" i="9"/>
  <c r="H379" i="9" s="1"/>
  <c r="H190" i="9"/>
  <c r="H346" i="9" s="1"/>
  <c r="H205" i="9"/>
  <c r="H361" i="9" s="1"/>
  <c r="H214" i="9"/>
  <c r="H370" i="9" s="1"/>
  <c r="H210" i="9"/>
  <c r="H366" i="9" s="1"/>
  <c r="H126" i="9"/>
  <c r="H114" i="9"/>
  <c r="H277" i="9" s="1"/>
  <c r="H172" i="9"/>
  <c r="H328" i="9" s="1"/>
  <c r="H145" i="9"/>
  <c r="H301" i="9" s="1"/>
  <c r="H111" i="9"/>
  <c r="H220" i="9"/>
  <c r="H376" i="9" s="1"/>
  <c r="H167" i="9"/>
  <c r="H323" i="9" s="1"/>
  <c r="H202" i="9"/>
  <c r="H358" i="9" s="1"/>
  <c r="H194" i="9"/>
  <c r="H350" i="9" s="1"/>
  <c r="H187" i="9"/>
  <c r="H343" i="9" s="1"/>
  <c r="H103" i="9"/>
  <c r="H268" i="9" s="1"/>
  <c r="H89" i="9"/>
  <c r="H252" i="9" s="1"/>
  <c r="H196" i="9"/>
  <c r="H352" i="9" s="1"/>
  <c r="H82" i="9"/>
  <c r="H236" i="9"/>
  <c r="H392" i="9" s="1"/>
  <c r="H118" i="9"/>
  <c r="H281" i="9" s="1"/>
  <c r="H179" i="9"/>
  <c r="H335" i="9" s="1"/>
  <c r="H191" i="9"/>
  <c r="H347" i="9" s="1"/>
  <c r="H184" i="9"/>
  <c r="H340" i="9" s="1"/>
  <c r="H215" i="9"/>
  <c r="H371" i="9" s="1"/>
  <c r="H16" i="9"/>
  <c r="H233" i="9"/>
  <c r="H389" i="9" s="1"/>
  <c r="H115" i="9"/>
  <c r="H278" i="9" s="1"/>
  <c r="H144" i="9"/>
  <c r="H168" i="9"/>
  <c r="H324" i="9" s="1"/>
  <c r="H206" i="9"/>
  <c r="H362" i="9" s="1"/>
  <c r="H192" i="9"/>
  <c r="H348" i="9" s="1"/>
  <c r="H127" i="9"/>
  <c r="H290" i="9" s="1"/>
  <c r="H229" i="9"/>
  <c r="H385" i="9" s="1"/>
  <c r="H112" i="9"/>
  <c r="H275" i="9" s="1"/>
  <c r="H132" i="9"/>
  <c r="H295" i="9" s="1"/>
  <c r="H165" i="9"/>
  <c r="H321" i="9" s="1"/>
  <c r="H203" i="9"/>
  <c r="H359" i="9" s="1"/>
  <c r="H189" i="9"/>
  <c r="H345" i="9" s="1"/>
  <c r="H150" i="9"/>
  <c r="H306" i="9" s="1"/>
  <c r="H117" i="9"/>
  <c r="H280" i="9" s="1"/>
  <c r="H208" i="9"/>
  <c r="H364" i="9" s="1"/>
  <c r="H200" i="9"/>
  <c r="H356" i="9" s="1"/>
  <c r="H90" i="9"/>
  <c r="H253" i="9" s="1"/>
  <c r="H129" i="9"/>
  <c r="H292" i="9" s="1"/>
  <c r="H119" i="9"/>
  <c r="H282" i="9" s="1"/>
  <c r="H180" i="9"/>
  <c r="H336" i="9" s="1"/>
  <c r="H234" i="9"/>
  <c r="H390" i="9" s="1"/>
  <c r="H130" i="9"/>
  <c r="H293" i="9" s="1"/>
  <c r="H197" i="9"/>
  <c r="H353" i="9" s="1"/>
  <c r="H222" i="9"/>
  <c r="H378" i="9" s="1"/>
  <c r="H235" i="9"/>
  <c r="H391" i="9" s="1"/>
  <c r="H116" i="9"/>
  <c r="H279" i="9" s="1"/>
  <c r="H177" i="9"/>
  <c r="H333" i="9" s="1"/>
  <c r="H232" i="9"/>
  <c r="H388" i="9" s="1"/>
  <c r="H211" i="9"/>
  <c r="H367" i="9" s="1"/>
  <c r="H178" i="9"/>
  <c r="H334" i="9" s="1"/>
  <c r="H169" i="9"/>
  <c r="H325" i="9" s="1"/>
  <c r="H174" i="9"/>
  <c r="H330" i="9" s="1"/>
  <c r="H212" i="9"/>
  <c r="H368" i="9" s="1"/>
  <c r="H198" i="9"/>
  <c r="H354" i="9" s="1"/>
  <c r="H113" i="9"/>
  <c r="H276" i="9" s="1"/>
  <c r="H221" i="9"/>
  <c r="H377" i="9" s="1"/>
  <c r="H204" i="9"/>
  <c r="H360" i="9" s="1"/>
  <c r="H51" i="9"/>
  <c r="H171" i="9"/>
  <c r="H327" i="9" s="1"/>
  <c r="H209" i="9"/>
  <c r="H365" i="9" s="1"/>
  <c r="H175" i="9"/>
  <c r="H331" i="9" s="1"/>
  <c r="H83" i="9"/>
  <c r="H247" i="9" s="1"/>
  <c r="H199" i="9"/>
  <c r="H355" i="9" s="1"/>
  <c r="H181" i="9"/>
  <c r="H337" i="9" s="1"/>
  <c r="H218" i="9"/>
  <c r="H374" i="9" s="1"/>
  <c r="H224" i="9"/>
  <c r="H380" i="9" s="1"/>
  <c r="H166" i="9"/>
  <c r="H322" i="9" s="1"/>
  <c r="H230" i="9"/>
  <c r="H386" i="9" s="1"/>
  <c r="H216" i="9"/>
  <c r="H372" i="9" s="1"/>
  <c r="H183" i="9"/>
  <c r="H339" i="9" s="1"/>
  <c r="H105" i="9"/>
  <c r="H270" i="9" s="1"/>
  <c r="H226" i="9"/>
  <c r="H382" i="9" s="1"/>
  <c r="H173" i="9"/>
  <c r="H329" i="9" s="1"/>
  <c r="H156" i="9"/>
  <c r="H312" i="9" s="1"/>
  <c r="H162" i="9"/>
  <c r="H318" i="9" s="1"/>
  <c r="H228" i="9"/>
  <c r="H384" i="9" s="1"/>
  <c r="H11" i="7"/>
  <c r="H7" i="10"/>
  <c r="E7" i="20"/>
  <c r="H80" i="10" s="1"/>
  <c r="H7" i="12"/>
  <c r="H7" i="4"/>
  <c r="H7" i="5" s="1"/>
  <c r="I9" i="9"/>
  <c r="I50" i="9" s="1"/>
  <c r="I54" i="5"/>
  <c r="I94" i="5"/>
  <c r="F8" i="4"/>
  <c r="F8" i="5" s="1"/>
  <c r="F9" i="13"/>
  <c r="F8" i="12"/>
  <c r="F60" i="12" s="1"/>
  <c r="G10" i="9"/>
  <c r="C8" i="20"/>
  <c r="F81" i="10" s="1"/>
  <c r="K54" i="5"/>
  <c r="K94" i="5"/>
  <c r="L119" i="7"/>
  <c r="L95" i="5"/>
  <c r="G121" i="7"/>
  <c r="G122" i="7" s="1"/>
  <c r="G74" i="11"/>
  <c r="G105" i="11" s="1"/>
  <c r="G75" i="11"/>
  <c r="J95" i="5"/>
  <c r="G16" i="4"/>
  <c r="L54" i="5"/>
  <c r="L94" i="5"/>
  <c r="K144" i="7"/>
  <c r="G145" i="7"/>
  <c r="G144" i="7"/>
  <c r="L74" i="7"/>
  <c r="L72" i="7"/>
  <c r="L76" i="7" s="1"/>
  <c r="L73" i="7"/>
  <c r="I73" i="7"/>
  <c r="I75" i="7" s="1"/>
  <c r="H85" i="7"/>
  <c r="H115" i="7" s="1"/>
  <c r="H119" i="7" s="1"/>
  <c r="G74" i="7"/>
  <c r="G72" i="7"/>
  <c r="G76" i="7" s="1"/>
  <c r="H144" i="7"/>
  <c r="K73" i="7"/>
  <c r="K75" i="7" s="1"/>
  <c r="K85" i="7"/>
  <c r="K115" i="7" s="1"/>
  <c r="K119" i="7" s="1"/>
  <c r="J74" i="7"/>
  <c r="J72" i="7"/>
  <c r="J76" i="7" s="1"/>
  <c r="I85" i="7"/>
  <c r="I115" i="7" s="1"/>
  <c r="I119" i="7" s="1"/>
  <c r="H72" i="7"/>
  <c r="H76" i="7" s="1"/>
  <c r="H74" i="7"/>
  <c r="H73" i="7"/>
  <c r="J119" i="7"/>
  <c r="I72" i="7"/>
  <c r="I76" i="7" s="1"/>
  <c r="F13" i="15" l="1"/>
  <c r="G36" i="4"/>
  <c r="G45" i="11"/>
  <c r="K121" i="7"/>
  <c r="K122" i="7" s="1"/>
  <c r="K15" i="4"/>
  <c r="K75" i="11"/>
  <c r="K74" i="11"/>
  <c r="H246" i="9"/>
  <c r="H249" i="9" s="1"/>
  <c r="H86" i="9"/>
  <c r="H289" i="9"/>
  <c r="H297" i="9" s="1"/>
  <c r="H134" i="9"/>
  <c r="H21" i="9" s="1"/>
  <c r="G59" i="11" s="1"/>
  <c r="H300" i="9"/>
  <c r="H394" i="9" s="1"/>
  <c r="H238" i="9"/>
  <c r="H256" i="9"/>
  <c r="G106" i="11"/>
  <c r="G195" i="11"/>
  <c r="H121" i="7"/>
  <c r="H122" i="7" s="1"/>
  <c r="H74" i="11"/>
  <c r="H75" i="11"/>
  <c r="H15" i="4"/>
  <c r="L121" i="7"/>
  <c r="L15" i="4"/>
  <c r="L75" i="11"/>
  <c r="L74" i="11"/>
  <c r="J121" i="7"/>
  <c r="J15" i="4"/>
  <c r="J75" i="11"/>
  <c r="J74" i="11"/>
  <c r="G54" i="5"/>
  <c r="G94" i="5"/>
  <c r="H8" i="13"/>
  <c r="H59" i="12"/>
  <c r="H106" i="9"/>
  <c r="H266" i="9"/>
  <c r="H271" i="9" s="1"/>
  <c r="H62" i="10"/>
  <c r="H63" i="10"/>
  <c r="H71" i="10" s="1"/>
  <c r="H274" i="9"/>
  <c r="H283" i="9" s="1"/>
  <c r="H120" i="9"/>
  <c r="I121" i="7"/>
  <c r="I15" i="4"/>
  <c r="I75" i="11"/>
  <c r="I74" i="11"/>
  <c r="I10" i="7"/>
  <c r="H9" i="13"/>
  <c r="H8" i="12"/>
  <c r="H60" i="12" s="1"/>
  <c r="I10" i="9"/>
  <c r="E8" i="20"/>
  <c r="H81" i="10" s="1"/>
  <c r="H8" i="10"/>
  <c r="H8" i="4"/>
  <c r="H8" i="5" s="1"/>
  <c r="G93" i="5"/>
  <c r="G126" i="9"/>
  <c r="G173" i="9"/>
  <c r="G329" i="9" s="1"/>
  <c r="G229" i="9"/>
  <c r="G385" i="9" s="1"/>
  <c r="G167" i="9"/>
  <c r="G323" i="9" s="1"/>
  <c r="G163" i="9"/>
  <c r="G319" i="9" s="1"/>
  <c r="G102" i="9"/>
  <c r="G267" i="9" s="1"/>
  <c r="G226" i="9"/>
  <c r="G382" i="9" s="1"/>
  <c r="G130" i="9"/>
  <c r="G293" i="9" s="1"/>
  <c r="G89" i="9"/>
  <c r="G252" i="9" s="1"/>
  <c r="G200" i="9"/>
  <c r="G356" i="9" s="1"/>
  <c r="G118" i="9"/>
  <c r="G281" i="9" s="1"/>
  <c r="G205" i="9"/>
  <c r="G361" i="9" s="1"/>
  <c r="G233" i="9"/>
  <c r="G389" i="9" s="1"/>
  <c r="G210" i="9"/>
  <c r="G366" i="9" s="1"/>
  <c r="G221" i="9"/>
  <c r="G377" i="9" s="1"/>
  <c r="G197" i="9"/>
  <c r="G353" i="9" s="1"/>
  <c r="G115" i="9"/>
  <c r="G278" i="9" s="1"/>
  <c r="G202" i="9"/>
  <c r="G358" i="9" s="1"/>
  <c r="G214" i="9"/>
  <c r="G370" i="9" s="1"/>
  <c r="G187" i="9"/>
  <c r="G343" i="9" s="1"/>
  <c r="G199" i="9"/>
  <c r="G355" i="9" s="1"/>
  <c r="G111" i="9"/>
  <c r="G131" i="9"/>
  <c r="G294" i="9" s="1"/>
  <c r="G174" i="9"/>
  <c r="G330" i="9" s="1"/>
  <c r="G112" i="9"/>
  <c r="G275" i="9" s="1"/>
  <c r="G179" i="9"/>
  <c r="G335" i="9" s="1"/>
  <c r="G194" i="9"/>
  <c r="G350" i="9" s="1"/>
  <c r="G184" i="9"/>
  <c r="G340" i="9" s="1"/>
  <c r="G196" i="9"/>
  <c r="G352" i="9" s="1"/>
  <c r="G215" i="9"/>
  <c r="G371" i="9" s="1"/>
  <c r="G117" i="9"/>
  <c r="G280" i="9" s="1"/>
  <c r="G234" i="9"/>
  <c r="G390" i="9" s="1"/>
  <c r="G171" i="9"/>
  <c r="G327" i="9" s="1"/>
  <c r="G90" i="9"/>
  <c r="G253" i="9" s="1"/>
  <c r="G144" i="9"/>
  <c r="G191" i="9"/>
  <c r="G347" i="9" s="1"/>
  <c r="G223" i="9"/>
  <c r="G379" i="9" s="1"/>
  <c r="G236" i="9"/>
  <c r="G392" i="9" s="1"/>
  <c r="G186" i="9"/>
  <c r="G342" i="9" s="1"/>
  <c r="G189" i="9"/>
  <c r="G345" i="9" s="1"/>
  <c r="G230" i="9"/>
  <c r="G386" i="9" s="1"/>
  <c r="G127" i="9"/>
  <c r="G290" i="9" s="1"/>
  <c r="G82" i="9"/>
  <c r="G132" i="9"/>
  <c r="G295" i="9" s="1"/>
  <c r="G168" i="9"/>
  <c r="G324" i="9" s="1"/>
  <c r="G206" i="9"/>
  <c r="G362" i="9" s="1"/>
  <c r="G218" i="9"/>
  <c r="G374" i="9" s="1"/>
  <c r="G156" i="9"/>
  <c r="G312" i="9" s="1"/>
  <c r="G16" i="9"/>
  <c r="G227" i="9"/>
  <c r="G383" i="9" s="1"/>
  <c r="G104" i="9"/>
  <c r="G269" i="9" s="1"/>
  <c r="G222" i="9"/>
  <c r="G378" i="9" s="1"/>
  <c r="G129" i="9"/>
  <c r="G292" i="9" s="1"/>
  <c r="G165" i="9"/>
  <c r="G321" i="9" s="1"/>
  <c r="G203" i="9"/>
  <c r="G359" i="9" s="1"/>
  <c r="G211" i="9"/>
  <c r="G367" i="9" s="1"/>
  <c r="G181" i="9"/>
  <c r="G337" i="9" s="1"/>
  <c r="G145" i="9"/>
  <c r="G301" i="9" s="1"/>
  <c r="G103" i="9"/>
  <c r="G268" i="9" s="1"/>
  <c r="G154" i="9"/>
  <c r="G310" i="9" s="1"/>
  <c r="G217" i="9"/>
  <c r="G373" i="9" s="1"/>
  <c r="G101" i="9"/>
  <c r="G220" i="9"/>
  <c r="G376" i="9" s="1"/>
  <c r="G235" i="9"/>
  <c r="G391" i="9" s="1"/>
  <c r="G119" i="9"/>
  <c r="G282" i="9" s="1"/>
  <c r="G180" i="9"/>
  <c r="G336" i="9" s="1"/>
  <c r="G208" i="9"/>
  <c r="G364" i="9" s="1"/>
  <c r="G192" i="9"/>
  <c r="G348" i="9" s="1"/>
  <c r="G232" i="9"/>
  <c r="G388" i="9" s="1"/>
  <c r="G224" i="9"/>
  <c r="G380" i="9" s="1"/>
  <c r="G212" i="9"/>
  <c r="G368" i="9" s="1"/>
  <c r="G198" i="9"/>
  <c r="G354" i="9" s="1"/>
  <c r="G116" i="9"/>
  <c r="G279" i="9" s="1"/>
  <c r="G177" i="9"/>
  <c r="G333" i="9" s="1"/>
  <c r="G185" i="9"/>
  <c r="G341" i="9" s="1"/>
  <c r="G51" i="9"/>
  <c r="G172" i="9"/>
  <c r="G328" i="9" s="1"/>
  <c r="G166" i="9"/>
  <c r="G322" i="9" s="1"/>
  <c r="G204" i="9"/>
  <c r="G360" i="9" s="1"/>
  <c r="G216" i="9"/>
  <c r="G372" i="9" s="1"/>
  <c r="G209" i="9"/>
  <c r="G365" i="9" s="1"/>
  <c r="G175" i="9"/>
  <c r="G331" i="9" s="1"/>
  <c r="G113" i="9"/>
  <c r="G276" i="9" s="1"/>
  <c r="G150" i="9"/>
  <c r="G306" i="9" s="1"/>
  <c r="G162" i="9"/>
  <c r="G318" i="9" s="1"/>
  <c r="G193" i="9"/>
  <c r="G349" i="9" s="1"/>
  <c r="G83" i="9"/>
  <c r="G247" i="9" s="1"/>
  <c r="G169" i="9"/>
  <c r="G325" i="9" s="1"/>
  <c r="G178" i="9"/>
  <c r="G334" i="9" s="1"/>
  <c r="G190" i="9"/>
  <c r="G346" i="9" s="1"/>
  <c r="G183" i="9"/>
  <c r="G339" i="9" s="1"/>
  <c r="G105" i="9"/>
  <c r="G270" i="9" s="1"/>
  <c r="G228" i="9"/>
  <c r="G384" i="9" s="1"/>
  <c r="G133" i="9"/>
  <c r="G296" i="9" s="1"/>
  <c r="G114" i="9"/>
  <c r="G277" i="9" s="1"/>
  <c r="K145" i="7"/>
  <c r="I122" i="7"/>
  <c r="I145" i="7"/>
  <c r="J73" i="7"/>
  <c r="J75" i="7"/>
  <c r="L75" i="7"/>
  <c r="G146" i="7"/>
  <c r="G39" i="4" s="1"/>
  <c r="H145" i="7"/>
  <c r="J122" i="7"/>
  <c r="J145" i="7"/>
  <c r="K146" i="7"/>
  <c r="K39" i="4" s="1"/>
  <c r="H75" i="7"/>
  <c r="G73" i="7"/>
  <c r="G75" i="7" s="1"/>
  <c r="H93" i="5" l="1"/>
  <c r="G30" i="5"/>
  <c r="H94" i="9"/>
  <c r="H17" i="9"/>
  <c r="I167" i="9"/>
  <c r="I323" i="9" s="1"/>
  <c r="I234" i="9"/>
  <c r="I390" i="9" s="1"/>
  <c r="I220" i="9"/>
  <c r="I376" i="9" s="1"/>
  <c r="I183" i="9"/>
  <c r="I339" i="9" s="1"/>
  <c r="I105" i="9"/>
  <c r="I270" i="9" s="1"/>
  <c r="I217" i="9"/>
  <c r="I373" i="9" s="1"/>
  <c r="I130" i="9"/>
  <c r="I293" i="9" s="1"/>
  <c r="I111" i="9"/>
  <c r="I104" i="9"/>
  <c r="I269" i="9" s="1"/>
  <c r="I145" i="9"/>
  <c r="I301" i="9" s="1"/>
  <c r="I112" i="9"/>
  <c r="I275" i="9" s="1"/>
  <c r="I229" i="9"/>
  <c r="I385" i="9" s="1"/>
  <c r="I163" i="9"/>
  <c r="I319" i="9" s="1"/>
  <c r="I214" i="9"/>
  <c r="I370" i="9" s="1"/>
  <c r="I210" i="9"/>
  <c r="I366" i="9" s="1"/>
  <c r="I221" i="9"/>
  <c r="I377" i="9" s="1"/>
  <c r="I89" i="9"/>
  <c r="I252" i="9" s="1"/>
  <c r="I256" i="9" s="1"/>
  <c r="I101" i="9"/>
  <c r="I102" i="9"/>
  <c r="I267" i="9" s="1"/>
  <c r="I117" i="9"/>
  <c r="I280" i="9" s="1"/>
  <c r="I103" i="9"/>
  <c r="I268" i="9" s="1"/>
  <c r="I226" i="9"/>
  <c r="I382" i="9" s="1"/>
  <c r="I205" i="9"/>
  <c r="I361" i="9" s="1"/>
  <c r="I194" i="9"/>
  <c r="I350" i="9" s="1"/>
  <c r="I187" i="9"/>
  <c r="I343" i="9" s="1"/>
  <c r="I199" i="9"/>
  <c r="I355" i="9" s="1"/>
  <c r="I51" i="9"/>
  <c r="I154" i="9"/>
  <c r="I310" i="9" s="1"/>
  <c r="I227" i="9"/>
  <c r="I383" i="9" s="1"/>
  <c r="I202" i="9"/>
  <c r="I358" i="9" s="1"/>
  <c r="I191" i="9"/>
  <c r="I347" i="9" s="1"/>
  <c r="I184" i="9"/>
  <c r="I340" i="9" s="1"/>
  <c r="I196" i="9"/>
  <c r="I352" i="9" s="1"/>
  <c r="I218" i="9"/>
  <c r="I374" i="9" s="1"/>
  <c r="I233" i="9"/>
  <c r="I389" i="9" s="1"/>
  <c r="I126" i="9"/>
  <c r="I224" i="9"/>
  <c r="I380" i="9" s="1"/>
  <c r="I179" i="9"/>
  <c r="I335" i="9" s="1"/>
  <c r="I168" i="9"/>
  <c r="I324" i="9" s="1"/>
  <c r="I230" i="9"/>
  <c r="I386" i="9" s="1"/>
  <c r="I173" i="9"/>
  <c r="I329" i="9" s="1"/>
  <c r="I211" i="9"/>
  <c r="I367" i="9" s="1"/>
  <c r="I16" i="9"/>
  <c r="I118" i="9"/>
  <c r="I281" i="9" s="1"/>
  <c r="I82" i="9"/>
  <c r="I216" i="9"/>
  <c r="I372" i="9" s="1"/>
  <c r="I144" i="9"/>
  <c r="I165" i="9"/>
  <c r="I321" i="9" s="1"/>
  <c r="I206" i="9"/>
  <c r="I362" i="9" s="1"/>
  <c r="I215" i="9"/>
  <c r="I371" i="9" s="1"/>
  <c r="I208" i="9"/>
  <c r="I364" i="9" s="1"/>
  <c r="I131" i="9"/>
  <c r="I294" i="9" s="1"/>
  <c r="I156" i="9"/>
  <c r="I312" i="9" s="1"/>
  <c r="I193" i="9"/>
  <c r="I349" i="9" s="1"/>
  <c r="I132" i="9"/>
  <c r="I295" i="9" s="1"/>
  <c r="I119" i="9"/>
  <c r="I282" i="9" s="1"/>
  <c r="I203" i="9"/>
  <c r="I359" i="9" s="1"/>
  <c r="I192" i="9"/>
  <c r="I348" i="9" s="1"/>
  <c r="I185" i="9"/>
  <c r="I341" i="9" s="1"/>
  <c r="I181" i="9"/>
  <c r="I337" i="9" s="1"/>
  <c r="I175" i="9"/>
  <c r="I331" i="9" s="1"/>
  <c r="I190" i="9"/>
  <c r="I346" i="9" s="1"/>
  <c r="I129" i="9"/>
  <c r="I292" i="9" s="1"/>
  <c r="I116" i="9"/>
  <c r="I279" i="9" s="1"/>
  <c r="I180" i="9"/>
  <c r="I336" i="9" s="1"/>
  <c r="I189" i="9"/>
  <c r="I345" i="9" s="1"/>
  <c r="I200" i="9"/>
  <c r="I356" i="9" s="1"/>
  <c r="I115" i="9"/>
  <c r="I278" i="9" s="1"/>
  <c r="I162" i="9"/>
  <c r="I318" i="9" s="1"/>
  <c r="I178" i="9"/>
  <c r="I334" i="9" s="1"/>
  <c r="I222" i="9"/>
  <c r="I378" i="9" s="1"/>
  <c r="I235" i="9"/>
  <c r="I391" i="9" s="1"/>
  <c r="I113" i="9"/>
  <c r="I276" i="9" s="1"/>
  <c r="I177" i="9"/>
  <c r="I333" i="9" s="1"/>
  <c r="I169" i="9"/>
  <c r="I325" i="9" s="1"/>
  <c r="I197" i="9"/>
  <c r="I353" i="9" s="1"/>
  <c r="I236" i="9"/>
  <c r="I392" i="9" s="1"/>
  <c r="I212" i="9"/>
  <c r="I368" i="9" s="1"/>
  <c r="I198" i="9"/>
  <c r="I354" i="9" s="1"/>
  <c r="I83" i="9"/>
  <c r="I247" i="9" s="1"/>
  <c r="I150" i="9"/>
  <c r="I306" i="9" s="1"/>
  <c r="I166" i="9"/>
  <c r="I322" i="9" s="1"/>
  <c r="I174" i="9"/>
  <c r="I330" i="9" s="1"/>
  <c r="I204" i="9"/>
  <c r="I360" i="9" s="1"/>
  <c r="I209" i="9"/>
  <c r="I365" i="9" s="1"/>
  <c r="I232" i="9"/>
  <c r="I388" i="9" s="1"/>
  <c r="I223" i="9"/>
  <c r="I379" i="9" s="1"/>
  <c r="I186" i="9"/>
  <c r="I342" i="9" s="1"/>
  <c r="I172" i="9"/>
  <c r="I328" i="9" s="1"/>
  <c r="I228" i="9"/>
  <c r="I384" i="9" s="1"/>
  <c r="I133" i="9"/>
  <c r="I296" i="9" s="1"/>
  <c r="I114" i="9"/>
  <c r="I277" i="9" s="1"/>
  <c r="I127" i="9"/>
  <c r="I290" i="9" s="1"/>
  <c r="I90" i="9"/>
  <c r="I253" i="9" s="1"/>
  <c r="I171" i="9"/>
  <c r="I327" i="9" s="1"/>
  <c r="H258" i="9"/>
  <c r="G197" i="11"/>
  <c r="I11" i="7"/>
  <c r="F7" i="20"/>
  <c r="I80" i="10" s="1"/>
  <c r="I7" i="4"/>
  <c r="I7" i="5" s="1"/>
  <c r="I7" i="12"/>
  <c r="J9" i="9"/>
  <c r="J50" i="9" s="1"/>
  <c r="I7" i="10"/>
  <c r="J93" i="5"/>
  <c r="K93" i="5"/>
  <c r="G24" i="5"/>
  <c r="H108" i="9"/>
  <c r="H136" i="9"/>
  <c r="H19" i="9"/>
  <c r="H13" i="15"/>
  <c r="I36" i="4"/>
  <c r="I45" i="11"/>
  <c r="I46" i="11" s="1"/>
  <c r="G289" i="9"/>
  <c r="G134" i="9"/>
  <c r="G21" i="9" s="1"/>
  <c r="F59" i="11" s="1"/>
  <c r="G46" i="11"/>
  <c r="G238" i="9"/>
  <c r="G300" i="9"/>
  <c r="G394" i="9" s="1"/>
  <c r="I93" i="5"/>
  <c r="L93" i="5"/>
  <c r="G26" i="5"/>
  <c r="G40" i="5" s="1"/>
  <c r="H22" i="9"/>
  <c r="G60" i="11" s="1"/>
  <c r="G13" i="15"/>
  <c r="H36" i="4"/>
  <c r="H45" i="11"/>
  <c r="H46" i="11" s="1"/>
  <c r="G246" i="9"/>
  <c r="G86" i="9"/>
  <c r="J45" i="11"/>
  <c r="J46" i="11" s="1"/>
  <c r="J36" i="4"/>
  <c r="I13" i="15"/>
  <c r="G274" i="9"/>
  <c r="G120" i="9"/>
  <c r="L122" i="7"/>
  <c r="L145" i="7"/>
  <c r="H398" i="9"/>
  <c r="H400" i="9" s="1"/>
  <c r="H34" i="9"/>
  <c r="G83" i="10"/>
  <c r="G62" i="12"/>
  <c r="D22" i="20"/>
  <c r="D11" i="20"/>
  <c r="D36" i="20"/>
  <c r="D37" i="20" s="1"/>
  <c r="G266" i="9"/>
  <c r="G106" i="9"/>
  <c r="K36" i="4"/>
  <c r="K45" i="11"/>
  <c r="K46" i="11" s="1"/>
  <c r="J13" i="15"/>
  <c r="G256" i="9"/>
  <c r="H20" i="9"/>
  <c r="G58" i="11" s="1"/>
  <c r="G25" i="5"/>
  <c r="J146" i="7"/>
  <c r="J39" i="4" s="1"/>
  <c r="H146" i="7"/>
  <c r="H39" i="4" s="1"/>
  <c r="I146" i="7"/>
  <c r="I39" i="4" s="1"/>
  <c r="G84" i="10" l="1"/>
  <c r="G63" i="12"/>
  <c r="G249" i="9"/>
  <c r="G297" i="9"/>
  <c r="H239" i="9"/>
  <c r="H137" i="9"/>
  <c r="I8" i="13"/>
  <c r="I59" i="12"/>
  <c r="I86" i="9"/>
  <c r="I246" i="9"/>
  <c r="I249" i="9" s="1"/>
  <c r="H18" i="9"/>
  <c r="G56" i="11" s="1"/>
  <c r="L36" i="4"/>
  <c r="L45" i="11"/>
  <c r="L46" i="11" s="1"/>
  <c r="K13" i="15"/>
  <c r="D13" i="15" s="1"/>
  <c r="L146" i="7"/>
  <c r="L39" i="4" s="1"/>
  <c r="J10" i="7"/>
  <c r="I9" i="13"/>
  <c r="I8" i="12"/>
  <c r="I60" i="12" s="1"/>
  <c r="J10" i="9"/>
  <c r="I8" i="4"/>
  <c r="I8" i="5" s="1"/>
  <c r="F8" i="20"/>
  <c r="I81" i="10" s="1"/>
  <c r="I8" i="10"/>
  <c r="I266" i="9"/>
  <c r="I271" i="9" s="1"/>
  <c r="I106" i="9"/>
  <c r="G20" i="9"/>
  <c r="F58" i="11" s="1"/>
  <c r="F25" i="5"/>
  <c r="J34" i="9"/>
  <c r="I83" i="10"/>
  <c r="I62" i="12"/>
  <c r="F22" i="20"/>
  <c r="F36" i="20"/>
  <c r="F37" i="20" s="1"/>
  <c r="F11" i="20"/>
  <c r="F30" i="5"/>
  <c r="G94" i="9"/>
  <c r="G17" i="9"/>
  <c r="F24" i="5"/>
  <c r="G19" i="9"/>
  <c r="G136" i="9"/>
  <c r="C145" i="7"/>
  <c r="G271" i="9"/>
  <c r="I289" i="9"/>
  <c r="I297" i="9" s="1"/>
  <c r="I134" i="9"/>
  <c r="I21" i="9" s="1"/>
  <c r="H59" i="11" s="1"/>
  <c r="I274" i="9"/>
  <c r="I283" i="9" s="1"/>
  <c r="I120" i="9"/>
  <c r="G283" i="9"/>
  <c r="I34" i="9"/>
  <c r="H83" i="10"/>
  <c r="H62" i="12"/>
  <c r="E11" i="20"/>
  <c r="E36" i="20"/>
  <c r="E37" i="20" s="1"/>
  <c r="E22" i="20"/>
  <c r="L34" i="9"/>
  <c r="K83" i="10"/>
  <c r="K62" i="12"/>
  <c r="H11" i="20"/>
  <c r="H22" i="20"/>
  <c r="H36" i="20"/>
  <c r="H37" i="20" s="1"/>
  <c r="K34" i="9"/>
  <c r="J83" i="10"/>
  <c r="J62" i="12"/>
  <c r="G11" i="20"/>
  <c r="G22" i="20"/>
  <c r="G36" i="20"/>
  <c r="G37" i="20" s="1"/>
  <c r="F26" i="5"/>
  <c r="F40" i="5" s="1"/>
  <c r="G22" i="9"/>
  <c r="F60" i="11" s="1"/>
  <c r="G239" i="9"/>
  <c r="I62" i="10"/>
  <c r="I63" i="10"/>
  <c r="I71" i="10" s="1"/>
  <c r="D16" i="20"/>
  <c r="G199" i="11"/>
  <c r="G46" i="4" s="1"/>
  <c r="I300" i="9"/>
  <c r="I394" i="9" s="1"/>
  <c r="I238" i="9"/>
  <c r="G87" i="10"/>
  <c r="D23" i="20"/>
  <c r="G88" i="10" s="1"/>
  <c r="H411" i="9"/>
  <c r="H39" i="9" s="1"/>
  <c r="H423" i="9"/>
  <c r="H414" i="9"/>
  <c r="H35" i="9"/>
  <c r="H408" i="9"/>
  <c r="H420" i="9"/>
  <c r="G57" i="11"/>
  <c r="H31" i="9"/>
  <c r="H32" i="9" s="1"/>
  <c r="G55" i="11"/>
  <c r="H23" i="9"/>
  <c r="H87" i="6"/>
  <c r="I87" i="6" s="1"/>
  <c r="A86" i="6"/>
  <c r="A85" i="6"/>
  <c r="A84" i="6"/>
  <c r="A83" i="6"/>
  <c r="A82" i="6"/>
  <c r="A81" i="6"/>
  <c r="A80" i="6"/>
  <c r="A79" i="6"/>
  <c r="A78" i="6"/>
  <c r="A77" i="6"/>
  <c r="A76" i="6"/>
  <c r="A75" i="6"/>
  <c r="A74" i="6"/>
  <c r="A73" i="6"/>
  <c r="A72" i="6"/>
  <c r="A71" i="6"/>
  <c r="A70" i="6"/>
  <c r="A69" i="6"/>
  <c r="A68" i="6"/>
  <c r="A67" i="6"/>
  <c r="A66" i="6"/>
  <c r="A64" i="6"/>
  <c r="A63" i="6"/>
  <c r="A62" i="6"/>
  <c r="A61" i="6"/>
  <c r="A60" i="6"/>
  <c r="A59" i="6"/>
  <c r="A58" i="6"/>
  <c r="H57" i="6"/>
  <c r="I57" i="6" s="1"/>
  <c r="A57" i="6"/>
  <c r="A56" i="6"/>
  <c r="A55" i="6"/>
  <c r="A54" i="6"/>
  <c r="A53" i="6"/>
  <c r="A52" i="6"/>
  <c r="A51" i="6"/>
  <c r="A50" i="6"/>
  <c r="A49" i="6"/>
  <c r="A48" i="6"/>
  <c r="A47" i="6"/>
  <c r="A46" i="6"/>
  <c r="A45" i="6"/>
  <c r="A44" i="6"/>
  <c r="A43" i="6"/>
  <c r="A42" i="6"/>
  <c r="A41" i="6"/>
  <c r="A40" i="6"/>
  <c r="A39" i="6"/>
  <c r="A38" i="6"/>
  <c r="A37" i="6"/>
  <c r="A36" i="6"/>
  <c r="A35" i="6"/>
  <c r="A31" i="6"/>
  <c r="A30" i="6"/>
  <c r="A29" i="6"/>
  <c r="A28" i="6"/>
  <c r="A27" i="6"/>
  <c r="A26" i="6"/>
  <c r="A25" i="6"/>
  <c r="A24" i="6"/>
  <c r="A23" i="6"/>
  <c r="A22" i="6"/>
  <c r="A21" i="6"/>
  <c r="A20" i="6"/>
  <c r="A19" i="6"/>
  <c r="A18" i="6"/>
  <c r="A17" i="6"/>
  <c r="I11" i="6"/>
  <c r="G11" i="6"/>
  <c r="A16" i="6"/>
  <c r="D27" i="6"/>
  <c r="A15" i="6"/>
  <c r="A14" i="6"/>
  <c r="A13" i="6"/>
  <c r="A12" i="6"/>
  <c r="E11" i="6"/>
  <c r="A11" i="6"/>
  <c r="A10" i="6"/>
  <c r="E9" i="6"/>
  <c r="F8" i="6" s="1"/>
  <c r="F9" i="6" s="1"/>
  <c r="G8" i="6" s="1"/>
  <c r="G9" i="6" s="1"/>
  <c r="H8" i="6" s="1"/>
  <c r="H9" i="6" s="1"/>
  <c r="I8" i="6" s="1"/>
  <c r="I9" i="6" s="1"/>
  <c r="J8" i="6" s="1"/>
  <c r="J9" i="6" s="1"/>
  <c r="D9" i="6"/>
  <c r="A5" i="6"/>
  <c r="A2" i="6"/>
  <c r="F57" i="11" l="1"/>
  <c r="G31" i="9"/>
  <c r="G32" i="9" s="1"/>
  <c r="E23" i="20"/>
  <c r="H88" i="10" s="1"/>
  <c r="H87" i="10"/>
  <c r="J11" i="7"/>
  <c r="J7" i="12"/>
  <c r="K9" i="9"/>
  <c r="K50" i="9" s="1"/>
  <c r="J7" i="10"/>
  <c r="J7" i="4"/>
  <c r="J7" i="5" s="1"/>
  <c r="G7" i="20"/>
  <c r="J80" i="10" s="1"/>
  <c r="H23" i="20"/>
  <c r="K88" i="10" s="1"/>
  <c r="K87" i="10"/>
  <c r="G18" i="9"/>
  <c r="F56" i="11" s="1"/>
  <c r="C45" i="11"/>
  <c r="I258" i="9"/>
  <c r="H30" i="5"/>
  <c r="I17" i="9"/>
  <c r="I94" i="9"/>
  <c r="G47" i="11"/>
  <c r="D17" i="20"/>
  <c r="G48" i="11" s="1"/>
  <c r="D18" i="20"/>
  <c r="G23" i="20"/>
  <c r="J88" i="10" s="1"/>
  <c r="J87" i="10"/>
  <c r="K84" i="10"/>
  <c r="K63" i="12"/>
  <c r="I63" i="12"/>
  <c r="I84" i="10"/>
  <c r="F55" i="11"/>
  <c r="F61" i="11" s="1"/>
  <c r="H26" i="5"/>
  <c r="I22" i="9"/>
  <c r="H60" i="11" s="1"/>
  <c r="H40" i="5"/>
  <c r="I398" i="9"/>
  <c r="I400" i="9" s="1"/>
  <c r="J63" i="12"/>
  <c r="J84" i="10"/>
  <c r="G115" i="5"/>
  <c r="H84" i="10"/>
  <c r="H63" i="12"/>
  <c r="H24" i="5"/>
  <c r="I19" i="9"/>
  <c r="I108" i="9"/>
  <c r="I136" i="9"/>
  <c r="I137" i="9" s="1"/>
  <c r="M34" i="9"/>
  <c r="C34" i="9" s="1"/>
  <c r="L83" i="10"/>
  <c r="L62" i="12"/>
  <c r="I36" i="20"/>
  <c r="I37" i="20" s="1"/>
  <c r="I11" i="20"/>
  <c r="I22" i="20"/>
  <c r="F23" i="20"/>
  <c r="I88" i="10" s="1"/>
  <c r="I87" i="10"/>
  <c r="G23" i="12"/>
  <c r="G39" i="12"/>
  <c r="G12" i="12"/>
  <c r="H417" i="9"/>
  <c r="H459" i="9"/>
  <c r="H27" i="9"/>
  <c r="G21" i="5" s="1"/>
  <c r="H405" i="9"/>
  <c r="H38" i="9" s="1"/>
  <c r="G61" i="11"/>
  <c r="I20" i="9"/>
  <c r="H58" i="11" s="1"/>
  <c r="H25" i="5"/>
  <c r="G137" i="9"/>
  <c r="J163" i="9"/>
  <c r="J319" i="9" s="1"/>
  <c r="J212" i="9"/>
  <c r="J368" i="9" s="1"/>
  <c r="J175" i="9"/>
  <c r="J331" i="9" s="1"/>
  <c r="J233" i="9"/>
  <c r="J389" i="9" s="1"/>
  <c r="J150" i="9"/>
  <c r="J306" i="9" s="1"/>
  <c r="J215" i="9"/>
  <c r="J371" i="9" s="1"/>
  <c r="J178" i="9"/>
  <c r="J334" i="9" s="1"/>
  <c r="J82" i="9"/>
  <c r="J89" i="9"/>
  <c r="J252" i="9" s="1"/>
  <c r="J117" i="9"/>
  <c r="J280" i="9" s="1"/>
  <c r="J112" i="9"/>
  <c r="J275" i="9" s="1"/>
  <c r="J16" i="9"/>
  <c r="J209" i="9"/>
  <c r="J365" i="9" s="1"/>
  <c r="J172" i="9"/>
  <c r="J328" i="9" s="1"/>
  <c r="J228" i="9"/>
  <c r="J384" i="9" s="1"/>
  <c r="J145" i="9"/>
  <c r="J301" i="9" s="1"/>
  <c r="J192" i="9"/>
  <c r="J348" i="9" s="1"/>
  <c r="J229" i="9"/>
  <c r="J385" i="9" s="1"/>
  <c r="J83" i="9"/>
  <c r="J247" i="9" s="1"/>
  <c r="J118" i="9"/>
  <c r="J281" i="9" s="1"/>
  <c r="J51" i="9"/>
  <c r="J186" i="9"/>
  <c r="J342" i="9" s="1"/>
  <c r="J105" i="9"/>
  <c r="J270" i="9" s="1"/>
  <c r="J217" i="9"/>
  <c r="J373" i="9" s="1"/>
  <c r="J133" i="9"/>
  <c r="J296" i="9" s="1"/>
  <c r="J189" i="9"/>
  <c r="J345" i="9" s="1"/>
  <c r="J227" i="9"/>
  <c r="J383" i="9" s="1"/>
  <c r="J197" i="9"/>
  <c r="J353" i="9" s="1"/>
  <c r="J103" i="9"/>
  <c r="J268" i="9" s="1"/>
  <c r="J111" i="9"/>
  <c r="J101" i="9"/>
  <c r="J183" i="9"/>
  <c r="J339" i="9" s="1"/>
  <c r="J102" i="9"/>
  <c r="J267" i="9" s="1"/>
  <c r="J210" i="9"/>
  <c r="J366" i="9" s="1"/>
  <c r="J130" i="9"/>
  <c r="J293" i="9" s="1"/>
  <c r="J218" i="9"/>
  <c r="J374" i="9" s="1"/>
  <c r="J224" i="9"/>
  <c r="J380" i="9" s="1"/>
  <c r="J127" i="9"/>
  <c r="J290" i="9" s="1"/>
  <c r="J174" i="9"/>
  <c r="J330" i="9" s="1"/>
  <c r="J204" i="9"/>
  <c r="J360" i="9" s="1"/>
  <c r="J114" i="9"/>
  <c r="J277" i="9" s="1"/>
  <c r="J169" i="9"/>
  <c r="J325" i="9" s="1"/>
  <c r="J104" i="9"/>
  <c r="J269" i="9" s="1"/>
  <c r="J205" i="9"/>
  <c r="J361" i="9" s="1"/>
  <c r="J214" i="9"/>
  <c r="J370" i="9" s="1"/>
  <c r="J187" i="9"/>
  <c r="J343" i="9" s="1"/>
  <c r="J221" i="9"/>
  <c r="J377" i="9" s="1"/>
  <c r="J211" i="9"/>
  <c r="J367" i="9" s="1"/>
  <c r="J216" i="9"/>
  <c r="J372" i="9" s="1"/>
  <c r="J131" i="9"/>
  <c r="J294" i="9" s="1"/>
  <c r="J220" i="9"/>
  <c r="J376" i="9" s="1"/>
  <c r="J200" i="9"/>
  <c r="J356" i="9" s="1"/>
  <c r="J202" i="9"/>
  <c r="J358" i="9" s="1"/>
  <c r="J194" i="9"/>
  <c r="J350" i="9" s="1"/>
  <c r="J184" i="9"/>
  <c r="J340" i="9" s="1"/>
  <c r="J199" i="9"/>
  <c r="J355" i="9" s="1"/>
  <c r="J208" i="9"/>
  <c r="J364" i="9" s="1"/>
  <c r="J193" i="9"/>
  <c r="J349" i="9" s="1"/>
  <c r="J156" i="9"/>
  <c r="J312" i="9" s="1"/>
  <c r="J179" i="9"/>
  <c r="J335" i="9" s="1"/>
  <c r="J191" i="9"/>
  <c r="J347" i="9" s="1"/>
  <c r="J230" i="9"/>
  <c r="J386" i="9" s="1"/>
  <c r="J196" i="9"/>
  <c r="J352" i="9" s="1"/>
  <c r="J185" i="9"/>
  <c r="J341" i="9" s="1"/>
  <c r="J190" i="9"/>
  <c r="J346" i="9" s="1"/>
  <c r="J180" i="9"/>
  <c r="J336" i="9" s="1"/>
  <c r="J171" i="9"/>
  <c r="J327" i="9" s="1"/>
  <c r="J144" i="9"/>
  <c r="J168" i="9"/>
  <c r="J324" i="9" s="1"/>
  <c r="J226" i="9"/>
  <c r="J382" i="9" s="1"/>
  <c r="J173" i="9"/>
  <c r="J329" i="9" s="1"/>
  <c r="J162" i="9"/>
  <c r="J318" i="9" s="1"/>
  <c r="J167" i="9"/>
  <c r="J323" i="9" s="1"/>
  <c r="J116" i="9"/>
  <c r="J279" i="9" s="1"/>
  <c r="J132" i="9"/>
  <c r="J295" i="9" s="1"/>
  <c r="J165" i="9"/>
  <c r="J321" i="9" s="1"/>
  <c r="J206" i="9"/>
  <c r="J362" i="9" s="1"/>
  <c r="J154" i="9"/>
  <c r="J310" i="9" s="1"/>
  <c r="J236" i="9"/>
  <c r="J392" i="9" s="1"/>
  <c r="J166" i="9"/>
  <c r="J322" i="9" s="1"/>
  <c r="J235" i="9"/>
  <c r="J391" i="9" s="1"/>
  <c r="J129" i="9"/>
  <c r="J292" i="9" s="1"/>
  <c r="J119" i="9"/>
  <c r="J282" i="9" s="1"/>
  <c r="J203" i="9"/>
  <c r="J359" i="9" s="1"/>
  <c r="J126" i="9"/>
  <c r="J234" i="9"/>
  <c r="J390" i="9" s="1"/>
  <c r="J115" i="9"/>
  <c r="J278" i="9" s="1"/>
  <c r="J232" i="9"/>
  <c r="J388" i="9" s="1"/>
  <c r="J222" i="9"/>
  <c r="J378" i="9" s="1"/>
  <c r="J198" i="9"/>
  <c r="J354" i="9" s="1"/>
  <c r="J113" i="9"/>
  <c r="J276" i="9" s="1"/>
  <c r="J177" i="9"/>
  <c r="J333" i="9" s="1"/>
  <c r="J223" i="9"/>
  <c r="J379" i="9" s="1"/>
  <c r="J181" i="9"/>
  <c r="J337" i="9" s="1"/>
  <c r="J90" i="9"/>
  <c r="J253" i="9" s="1"/>
  <c r="G258" i="9"/>
  <c r="B10" i="20"/>
  <c r="H11" i="6"/>
  <c r="D11" i="6"/>
  <c r="F11" i="6"/>
  <c r="J11" i="6"/>
  <c r="G27" i="6"/>
  <c r="E27" i="6"/>
  <c r="F27" i="6"/>
  <c r="H27" i="6"/>
  <c r="I27" i="6"/>
  <c r="J27" i="6"/>
  <c r="H28" i="6"/>
  <c r="H29" i="6"/>
  <c r="J40" i="7" s="1"/>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C89"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G10" i="5"/>
  <c r="A21" i="5"/>
  <c r="A20" i="5"/>
  <c r="A19" i="5"/>
  <c r="A18" i="5"/>
  <c r="A17" i="5"/>
  <c r="A16" i="5"/>
  <c r="A15" i="5"/>
  <c r="A14" i="5"/>
  <c r="A13" i="5"/>
  <c r="A12" i="5"/>
  <c r="A11" i="5"/>
  <c r="A10" i="5"/>
  <c r="A9" i="5"/>
  <c r="H425" i="9" l="1"/>
  <c r="H40" i="9" s="1"/>
  <c r="I35" i="9"/>
  <c r="I408" i="9"/>
  <c r="I420" i="9"/>
  <c r="I411" i="9"/>
  <c r="I39" i="9" s="1"/>
  <c r="I423" i="9"/>
  <c r="I414" i="9"/>
  <c r="G398" i="9"/>
  <c r="G400" i="9" s="1"/>
  <c r="J289" i="9"/>
  <c r="J134" i="9"/>
  <c r="J21" i="9" s="1"/>
  <c r="I59" i="11" s="1"/>
  <c r="J28" i="6"/>
  <c r="K12" i="15"/>
  <c r="I18" i="9"/>
  <c r="H56" i="11" s="1"/>
  <c r="J63" i="10"/>
  <c r="J62" i="10"/>
  <c r="J71" i="10" s="1"/>
  <c r="H55" i="11"/>
  <c r="H61" i="11" s="1"/>
  <c r="H30" i="6"/>
  <c r="J41" i="7" s="1"/>
  <c r="I12" i="15"/>
  <c r="H57" i="11"/>
  <c r="I31" i="9"/>
  <c r="I32" i="9" s="1"/>
  <c r="J8" i="13"/>
  <c r="J59" i="12"/>
  <c r="K10" i="7"/>
  <c r="J9" i="13"/>
  <c r="J8" i="12"/>
  <c r="J60" i="12" s="1"/>
  <c r="K10" i="9"/>
  <c r="G8" i="20"/>
  <c r="J81" i="10" s="1"/>
  <c r="J8" i="10"/>
  <c r="J8" i="4"/>
  <c r="J8" i="5" s="1"/>
  <c r="J256" i="9"/>
  <c r="J246" i="9"/>
  <c r="J86" i="9"/>
  <c r="I23" i="20"/>
  <c r="L88" i="10" s="1"/>
  <c r="L87" i="10"/>
  <c r="G28" i="6"/>
  <c r="H12" i="15"/>
  <c r="J106" i="9"/>
  <c r="J266" i="9"/>
  <c r="G10" i="4"/>
  <c r="E30" i="6"/>
  <c r="G41" i="7" s="1"/>
  <c r="F12" i="15"/>
  <c r="J274" i="9"/>
  <c r="J120" i="9"/>
  <c r="L84" i="10"/>
  <c r="L63" i="12"/>
  <c r="D19" i="20"/>
  <c r="G50" i="11" s="1"/>
  <c r="G49" i="11"/>
  <c r="F30" i="6"/>
  <c r="H41" i="7" s="1"/>
  <c r="G12" i="15"/>
  <c r="I239" i="9"/>
  <c r="I29" i="6"/>
  <c r="K40" i="7" s="1"/>
  <c r="J12" i="15"/>
  <c r="J300" i="9"/>
  <c r="J394" i="9" s="1"/>
  <c r="J238" i="9"/>
  <c r="D62" i="12"/>
  <c r="E83" i="10"/>
  <c r="B11" i="20"/>
  <c r="B22" i="20"/>
  <c r="B36" i="20"/>
  <c r="B37" i="20" s="1"/>
  <c r="G23" i="9"/>
  <c r="G30" i="6"/>
  <c r="I41" i="7" s="1"/>
  <c r="G29" i="6"/>
  <c r="I40" i="7" s="1"/>
  <c r="E29" i="6"/>
  <c r="G40" i="7" s="1"/>
  <c r="J29" i="6"/>
  <c r="L40" i="7" s="1"/>
  <c r="E28" i="6"/>
  <c r="L9" i="5"/>
  <c r="J30" i="6"/>
  <c r="L41" i="7" s="1"/>
  <c r="I28" i="6"/>
  <c r="I30" i="6"/>
  <c r="K41" i="7" s="1"/>
  <c r="K9" i="5"/>
  <c r="K12" i="5" s="1"/>
  <c r="F29" i="6"/>
  <c r="H40" i="7" s="1"/>
  <c r="G9" i="5"/>
  <c r="G12" i="5" s="1"/>
  <c r="I9" i="5"/>
  <c r="I12" i="5" s="1"/>
  <c r="F28" i="6"/>
  <c r="G27" i="5"/>
  <c r="C20" i="5"/>
  <c r="H9" i="5"/>
  <c r="H12" i="5" s="1"/>
  <c r="J9" i="5"/>
  <c r="J12" i="5" s="1"/>
  <c r="K47" i="5"/>
  <c r="C49" i="5"/>
  <c r="H27" i="5"/>
  <c r="C46" i="5"/>
  <c r="L47" i="5"/>
  <c r="L12" i="5"/>
  <c r="F31" i="5"/>
  <c r="F27" i="5"/>
  <c r="I23" i="5"/>
  <c r="I47" i="5"/>
  <c r="J23" i="5"/>
  <c r="J47" i="5"/>
  <c r="H47" i="5"/>
  <c r="K23" i="5"/>
  <c r="L23" i="5"/>
  <c r="G22" i="5"/>
  <c r="G48" i="5" s="1"/>
  <c r="H23" i="5"/>
  <c r="G31" i="5"/>
  <c r="G47" i="5"/>
  <c r="H31" i="5"/>
  <c r="H426" i="9" l="1"/>
  <c r="H37" i="9"/>
  <c r="H461" i="9"/>
  <c r="H42" i="9" s="1"/>
  <c r="F28" i="5"/>
  <c r="F41" i="5"/>
  <c r="F35" i="5"/>
  <c r="F32" i="5"/>
  <c r="G32" i="5"/>
  <c r="G35" i="5"/>
  <c r="H41" i="5"/>
  <c r="H35" i="5"/>
  <c r="H32" i="5"/>
  <c r="I26" i="5"/>
  <c r="I40" i="5" s="1"/>
  <c r="J22" i="9"/>
  <c r="I60" i="11" s="1"/>
  <c r="J239" i="9"/>
  <c r="K11" i="7"/>
  <c r="K7" i="4"/>
  <c r="K7" i="5" s="1"/>
  <c r="H7" i="20"/>
  <c r="K80" i="10" s="1"/>
  <c r="L9" i="9"/>
  <c r="L50" i="9" s="1"/>
  <c r="K7" i="12"/>
  <c r="K7" i="10"/>
  <c r="G41" i="5"/>
  <c r="I30" i="5"/>
  <c r="J94" i="9"/>
  <c r="J17" i="9"/>
  <c r="J249" i="9"/>
  <c r="G28" i="5"/>
  <c r="J271" i="9"/>
  <c r="I24" i="5"/>
  <c r="J108" i="9"/>
  <c r="J19" i="9"/>
  <c r="J136" i="9"/>
  <c r="G417" i="9"/>
  <c r="G405" i="9"/>
  <c r="G38" i="9" s="1"/>
  <c r="G459" i="9"/>
  <c r="G27" i="9"/>
  <c r="F21" i="5" s="1"/>
  <c r="G38" i="12"/>
  <c r="G22" i="12"/>
  <c r="G40" i="12"/>
  <c r="G17" i="12"/>
  <c r="B23" i="20"/>
  <c r="E88" i="10" s="1"/>
  <c r="E87" i="10"/>
  <c r="E84" i="10"/>
  <c r="D63" i="12"/>
  <c r="J297" i="9"/>
  <c r="J20" i="9"/>
  <c r="I58" i="11" s="1"/>
  <c r="I25" i="5"/>
  <c r="G411" i="9"/>
  <c r="G39" i="9" s="1"/>
  <c r="G420" i="9"/>
  <c r="G414" i="9"/>
  <c r="G35" i="9"/>
  <c r="G423" i="9"/>
  <c r="G408" i="9"/>
  <c r="J283" i="9"/>
  <c r="K167" i="9"/>
  <c r="K323" i="9" s="1"/>
  <c r="K190" i="9"/>
  <c r="K346" i="9" s="1"/>
  <c r="K118" i="9"/>
  <c r="K281" i="9" s="1"/>
  <c r="K216" i="9"/>
  <c r="K372" i="9" s="1"/>
  <c r="K228" i="9"/>
  <c r="K384" i="9" s="1"/>
  <c r="K214" i="9"/>
  <c r="K370" i="9" s="1"/>
  <c r="K187" i="9"/>
  <c r="K343" i="9" s="1"/>
  <c r="K221" i="9"/>
  <c r="K377" i="9" s="1"/>
  <c r="K166" i="9"/>
  <c r="K322" i="9" s="1"/>
  <c r="K181" i="9"/>
  <c r="K337" i="9" s="1"/>
  <c r="K175" i="9"/>
  <c r="K331" i="9" s="1"/>
  <c r="K16" i="9"/>
  <c r="K218" i="9"/>
  <c r="K374" i="9" s="1"/>
  <c r="K194" i="9"/>
  <c r="K350" i="9" s="1"/>
  <c r="K184" i="9"/>
  <c r="K340" i="9" s="1"/>
  <c r="K199" i="9"/>
  <c r="K355" i="9" s="1"/>
  <c r="K117" i="9"/>
  <c r="K280" i="9" s="1"/>
  <c r="K178" i="9"/>
  <c r="K334" i="9" s="1"/>
  <c r="K127" i="9"/>
  <c r="K290" i="9" s="1"/>
  <c r="K132" i="9"/>
  <c r="K295" i="9" s="1"/>
  <c r="K217" i="9"/>
  <c r="K373" i="9" s="1"/>
  <c r="K222" i="9"/>
  <c r="K378" i="9" s="1"/>
  <c r="K191" i="9"/>
  <c r="K347" i="9" s="1"/>
  <c r="K230" i="9"/>
  <c r="K386" i="9" s="1"/>
  <c r="K196" i="9"/>
  <c r="K352" i="9" s="1"/>
  <c r="K114" i="9"/>
  <c r="K277" i="9" s="1"/>
  <c r="K156" i="9"/>
  <c r="K312" i="9" s="1"/>
  <c r="K144" i="9"/>
  <c r="K186" i="9"/>
  <c r="K342" i="9" s="1"/>
  <c r="K205" i="9"/>
  <c r="K361" i="9" s="1"/>
  <c r="K168" i="9"/>
  <c r="K324" i="9" s="1"/>
  <c r="K226" i="9"/>
  <c r="K382" i="9" s="1"/>
  <c r="K173" i="9"/>
  <c r="K329" i="9" s="1"/>
  <c r="K111" i="9"/>
  <c r="K131" i="9"/>
  <c r="K294" i="9" s="1"/>
  <c r="K185" i="9"/>
  <c r="K341" i="9" s="1"/>
  <c r="K202" i="9"/>
  <c r="K358" i="9" s="1"/>
  <c r="K165" i="9"/>
  <c r="K321" i="9" s="1"/>
  <c r="K206" i="9"/>
  <c r="K362" i="9" s="1"/>
  <c r="K154" i="9"/>
  <c r="K310" i="9" s="1"/>
  <c r="K89" i="9"/>
  <c r="K252" i="9" s="1"/>
  <c r="K200" i="9"/>
  <c r="K356" i="9" s="1"/>
  <c r="K229" i="9"/>
  <c r="K385" i="9" s="1"/>
  <c r="K215" i="9"/>
  <c r="K371" i="9" s="1"/>
  <c r="K227" i="9"/>
  <c r="K383" i="9" s="1"/>
  <c r="K234" i="9"/>
  <c r="K390" i="9" s="1"/>
  <c r="K90" i="9"/>
  <c r="K253" i="9" s="1"/>
  <c r="K112" i="9"/>
  <c r="K275" i="9" s="1"/>
  <c r="K179" i="9"/>
  <c r="K335" i="9" s="1"/>
  <c r="K119" i="9"/>
  <c r="K282" i="9" s="1"/>
  <c r="K203" i="9"/>
  <c r="K359" i="9" s="1"/>
  <c r="K126" i="9"/>
  <c r="K51" i="9"/>
  <c r="K197" i="9"/>
  <c r="K353" i="9" s="1"/>
  <c r="K150" i="9"/>
  <c r="K306" i="9" s="1"/>
  <c r="K235" i="9"/>
  <c r="K391" i="9" s="1"/>
  <c r="K101" i="9"/>
  <c r="K104" i="9"/>
  <c r="K269" i="9" s="1"/>
  <c r="K129" i="9"/>
  <c r="K292" i="9" s="1"/>
  <c r="K115" i="9"/>
  <c r="K278" i="9" s="1"/>
  <c r="K162" i="9"/>
  <c r="K318" i="9" s="1"/>
  <c r="K220" i="9"/>
  <c r="K376" i="9" s="1"/>
  <c r="K116" i="9"/>
  <c r="K279" i="9" s="1"/>
  <c r="K180" i="9"/>
  <c r="K336" i="9" s="1"/>
  <c r="K103" i="9"/>
  <c r="K268" i="9" s="1"/>
  <c r="K211" i="9"/>
  <c r="K367" i="9" s="1"/>
  <c r="K212" i="9"/>
  <c r="K368" i="9" s="1"/>
  <c r="K224" i="9"/>
  <c r="K380" i="9" s="1"/>
  <c r="K171" i="9"/>
  <c r="K327" i="9" s="1"/>
  <c r="K198" i="9"/>
  <c r="K354" i="9" s="1"/>
  <c r="K113" i="9"/>
  <c r="K276" i="9" s="1"/>
  <c r="K177" i="9"/>
  <c r="K333" i="9" s="1"/>
  <c r="K223" i="9"/>
  <c r="K379" i="9" s="1"/>
  <c r="K208" i="9"/>
  <c r="K364" i="9" s="1"/>
  <c r="K209" i="9"/>
  <c r="K365" i="9" s="1"/>
  <c r="K163" i="9"/>
  <c r="K319" i="9" s="1"/>
  <c r="K83" i="9"/>
  <c r="K247" i="9" s="1"/>
  <c r="K105" i="9"/>
  <c r="K270" i="9" s="1"/>
  <c r="K193" i="9"/>
  <c r="K349" i="9" s="1"/>
  <c r="K172" i="9"/>
  <c r="K328" i="9" s="1"/>
  <c r="K233" i="9"/>
  <c r="K389" i="9" s="1"/>
  <c r="K145" i="9"/>
  <c r="K301" i="9" s="1"/>
  <c r="K192" i="9"/>
  <c r="K348" i="9" s="1"/>
  <c r="K236" i="9"/>
  <c r="K392" i="9" s="1"/>
  <c r="K183" i="9"/>
  <c r="K339" i="9" s="1"/>
  <c r="K133" i="9"/>
  <c r="K296" i="9" s="1"/>
  <c r="K174" i="9"/>
  <c r="K330" i="9" s="1"/>
  <c r="K82" i="9"/>
  <c r="K232" i="9"/>
  <c r="K388" i="9" s="1"/>
  <c r="K102" i="9"/>
  <c r="K267" i="9" s="1"/>
  <c r="K210" i="9"/>
  <c r="K366" i="9" s="1"/>
  <c r="K130" i="9"/>
  <c r="K293" i="9" s="1"/>
  <c r="K169" i="9"/>
  <c r="K325" i="9" s="1"/>
  <c r="K204" i="9"/>
  <c r="K360" i="9" s="1"/>
  <c r="K189" i="9"/>
  <c r="K345" i="9" s="1"/>
  <c r="I23" i="9"/>
  <c r="H28" i="5"/>
  <c r="C119" i="5"/>
  <c r="C121" i="5"/>
  <c r="C47" i="5"/>
  <c r="C117" i="5"/>
  <c r="C116" i="5"/>
  <c r="C103" i="5"/>
  <c r="C114" i="5"/>
  <c r="C100" i="5"/>
  <c r="C102" i="5"/>
  <c r="C99" i="5"/>
  <c r="C104" i="5"/>
  <c r="C95" i="5"/>
  <c r="C94" i="5"/>
  <c r="C101" i="5"/>
  <c r="C96" i="5"/>
  <c r="C98" i="5"/>
  <c r="C93" i="5"/>
  <c r="C120" i="5"/>
  <c r="G44" i="4" l="1"/>
  <c r="I27" i="5"/>
  <c r="J137" i="9"/>
  <c r="I55" i="11"/>
  <c r="I31" i="5"/>
  <c r="L10" i="7"/>
  <c r="K8" i="12"/>
  <c r="K60" i="12" s="1"/>
  <c r="L10" i="9"/>
  <c r="H8" i="20"/>
  <c r="K81" i="10" s="1"/>
  <c r="K8" i="10"/>
  <c r="K8" i="4"/>
  <c r="K8" i="5" s="1"/>
  <c r="K9" i="13"/>
  <c r="K266" i="9"/>
  <c r="K106" i="9"/>
  <c r="G425" i="9"/>
  <c r="G43" i="12"/>
  <c r="D12" i="20"/>
  <c r="H39" i="12"/>
  <c r="H23" i="12"/>
  <c r="H40" i="12"/>
  <c r="H17" i="12"/>
  <c r="H94" i="11"/>
  <c r="H105" i="11" s="1"/>
  <c r="H22" i="12"/>
  <c r="H12" i="12"/>
  <c r="H38" i="12"/>
  <c r="I417" i="9"/>
  <c r="I405" i="9"/>
  <c r="I38" i="9" s="1"/>
  <c r="I459" i="9"/>
  <c r="I27" i="9"/>
  <c r="H21" i="5" s="1"/>
  <c r="J18" i="9"/>
  <c r="I56" i="11" s="1"/>
  <c r="F10" i="4"/>
  <c r="F22" i="5"/>
  <c r="F48" i="5" s="1"/>
  <c r="F10" i="5"/>
  <c r="G113" i="5"/>
  <c r="K86" i="9"/>
  <c r="K246" i="9"/>
  <c r="K238" i="9"/>
  <c r="K300" i="9"/>
  <c r="K394" i="9" s="1"/>
  <c r="K63" i="10"/>
  <c r="K62" i="10"/>
  <c r="K71" i="10" s="1"/>
  <c r="I57" i="11"/>
  <c r="J31" i="9"/>
  <c r="J32" i="9" s="1"/>
  <c r="K274" i="9"/>
  <c r="K120" i="9"/>
  <c r="K256" i="9"/>
  <c r="K289" i="9"/>
  <c r="K134" i="9"/>
  <c r="K21" i="9" s="1"/>
  <c r="J59" i="11" s="1"/>
  <c r="K8" i="13"/>
  <c r="K59" i="12"/>
  <c r="J258" i="9"/>
  <c r="I35" i="5" l="1"/>
  <c r="I32" i="5"/>
  <c r="H43" i="12"/>
  <c r="D13" i="20"/>
  <c r="H43" i="9" s="1"/>
  <c r="D14" i="20"/>
  <c r="K271" i="9"/>
  <c r="K297" i="9"/>
  <c r="H10" i="4"/>
  <c r="H10" i="5"/>
  <c r="H22" i="5"/>
  <c r="H48" i="5" s="1"/>
  <c r="J26" i="5"/>
  <c r="J40" i="5" s="1"/>
  <c r="K22" i="9"/>
  <c r="J60" i="11" s="1"/>
  <c r="L105" i="9"/>
  <c r="L270" i="9" s="1"/>
  <c r="L198" i="9"/>
  <c r="L354" i="9" s="1"/>
  <c r="L233" i="9"/>
  <c r="L389" i="9" s="1"/>
  <c r="L145" i="9"/>
  <c r="L301" i="9" s="1"/>
  <c r="L189" i="9"/>
  <c r="L345" i="9" s="1"/>
  <c r="L236" i="9"/>
  <c r="L392" i="9" s="1"/>
  <c r="L232" i="9"/>
  <c r="L388" i="9" s="1"/>
  <c r="L129" i="9"/>
  <c r="L292" i="9" s="1"/>
  <c r="L113" i="9"/>
  <c r="L276" i="9" s="1"/>
  <c r="L175" i="9"/>
  <c r="L331" i="9" s="1"/>
  <c r="L217" i="9"/>
  <c r="L373" i="9" s="1"/>
  <c r="L133" i="9"/>
  <c r="L296" i="9" s="1"/>
  <c r="L169" i="9"/>
  <c r="L325" i="9" s="1"/>
  <c r="L218" i="9"/>
  <c r="L374" i="9" s="1"/>
  <c r="L229" i="9"/>
  <c r="L385" i="9" s="1"/>
  <c r="L171" i="9"/>
  <c r="L327" i="9" s="1"/>
  <c r="L185" i="9"/>
  <c r="L341" i="9" s="1"/>
  <c r="L115" i="9"/>
  <c r="L278" i="9" s="1"/>
  <c r="L82" i="9"/>
  <c r="L131" i="9"/>
  <c r="L294" i="9" s="1"/>
  <c r="L172" i="9"/>
  <c r="L328" i="9" s="1"/>
  <c r="L210" i="9"/>
  <c r="L366" i="9" s="1"/>
  <c r="L130" i="9"/>
  <c r="L293" i="9" s="1"/>
  <c r="L166" i="9"/>
  <c r="L322" i="9" s="1"/>
  <c r="L204" i="9"/>
  <c r="L360" i="9" s="1"/>
  <c r="L227" i="9"/>
  <c r="L383" i="9" s="1"/>
  <c r="L119" i="9"/>
  <c r="L282" i="9" s="1"/>
  <c r="L203" i="9"/>
  <c r="L359" i="9" s="1"/>
  <c r="L202" i="9"/>
  <c r="L358" i="9" s="1"/>
  <c r="L177" i="9"/>
  <c r="L333" i="9" s="1"/>
  <c r="L90" i="9"/>
  <c r="L253" i="9" s="1"/>
  <c r="L112" i="9"/>
  <c r="L275" i="9" s="1"/>
  <c r="L212" i="9"/>
  <c r="L368" i="9" s="1"/>
  <c r="L214" i="9"/>
  <c r="L370" i="9" s="1"/>
  <c r="L187" i="9"/>
  <c r="L343" i="9" s="1"/>
  <c r="L199" i="9"/>
  <c r="L355" i="9" s="1"/>
  <c r="L117" i="9"/>
  <c r="L280" i="9" s="1"/>
  <c r="L181" i="9"/>
  <c r="L337" i="9" s="1"/>
  <c r="L216" i="9"/>
  <c r="L372" i="9" s="1"/>
  <c r="L103" i="9"/>
  <c r="L268" i="9" s="1"/>
  <c r="L215" i="9"/>
  <c r="L371" i="9" s="1"/>
  <c r="L102" i="9"/>
  <c r="L267" i="9" s="1"/>
  <c r="L194" i="9"/>
  <c r="L350" i="9" s="1"/>
  <c r="L184" i="9"/>
  <c r="L340" i="9" s="1"/>
  <c r="L196" i="9"/>
  <c r="L352" i="9" s="1"/>
  <c r="L114" i="9"/>
  <c r="L277" i="9" s="1"/>
  <c r="L178" i="9"/>
  <c r="L334" i="9" s="1"/>
  <c r="L193" i="9"/>
  <c r="L349" i="9" s="1"/>
  <c r="L211" i="9"/>
  <c r="L367" i="9" s="1"/>
  <c r="L16" i="9"/>
  <c r="L191" i="9"/>
  <c r="L347" i="9" s="1"/>
  <c r="L230" i="9"/>
  <c r="L386" i="9" s="1"/>
  <c r="L173" i="9"/>
  <c r="L329" i="9" s="1"/>
  <c r="L111" i="9"/>
  <c r="L200" i="9"/>
  <c r="L356" i="9" s="1"/>
  <c r="L190" i="9"/>
  <c r="L346" i="9" s="1"/>
  <c r="L156" i="9"/>
  <c r="L312" i="9" s="1"/>
  <c r="L168" i="9"/>
  <c r="L324" i="9" s="1"/>
  <c r="L226" i="9"/>
  <c r="L382" i="9" s="1"/>
  <c r="L154" i="9"/>
  <c r="L310" i="9" s="1"/>
  <c r="L89" i="9"/>
  <c r="L252" i="9" s="1"/>
  <c r="L197" i="9"/>
  <c r="L353" i="9" s="1"/>
  <c r="L222" i="9"/>
  <c r="L378" i="9" s="1"/>
  <c r="L167" i="9"/>
  <c r="L323" i="9" s="1"/>
  <c r="L234" i="9"/>
  <c r="L390" i="9" s="1"/>
  <c r="L163" i="9"/>
  <c r="L319" i="9" s="1"/>
  <c r="L228" i="9"/>
  <c r="L384" i="9" s="1"/>
  <c r="L165" i="9"/>
  <c r="L321" i="9" s="1"/>
  <c r="L206" i="9"/>
  <c r="L362" i="9" s="1"/>
  <c r="L126" i="9"/>
  <c r="L51" i="9"/>
  <c r="L174" i="9"/>
  <c r="L330" i="9" s="1"/>
  <c r="L205" i="9"/>
  <c r="L361" i="9" s="1"/>
  <c r="L186" i="9"/>
  <c r="L342" i="9" s="1"/>
  <c r="L224" i="9"/>
  <c r="L380" i="9" s="1"/>
  <c r="L183" i="9"/>
  <c r="L339" i="9" s="1"/>
  <c r="L118" i="9"/>
  <c r="L281" i="9" s="1"/>
  <c r="L221" i="9"/>
  <c r="L377" i="9" s="1"/>
  <c r="L116" i="9"/>
  <c r="L279" i="9" s="1"/>
  <c r="L180" i="9"/>
  <c r="L336" i="9" s="1"/>
  <c r="L223" i="9"/>
  <c r="L379" i="9" s="1"/>
  <c r="L208" i="9"/>
  <c r="L364" i="9" s="1"/>
  <c r="L127" i="9"/>
  <c r="L290" i="9" s="1"/>
  <c r="L179" i="9"/>
  <c r="L335" i="9" s="1"/>
  <c r="L104" i="9"/>
  <c r="L269" i="9" s="1"/>
  <c r="L209" i="9"/>
  <c r="L365" i="9" s="1"/>
  <c r="L83" i="9"/>
  <c r="L247" i="9" s="1"/>
  <c r="L220" i="9"/>
  <c r="L376" i="9" s="1"/>
  <c r="L235" i="9"/>
  <c r="L391" i="9" s="1"/>
  <c r="L150" i="9"/>
  <c r="L306" i="9" s="1"/>
  <c r="L192" i="9"/>
  <c r="L348" i="9" s="1"/>
  <c r="L162" i="9"/>
  <c r="L318" i="9" s="1"/>
  <c r="L101" i="9"/>
  <c r="L132" i="9"/>
  <c r="L295" i="9" s="1"/>
  <c r="L144" i="9"/>
  <c r="J23" i="9"/>
  <c r="I61" i="11"/>
  <c r="K283" i="9"/>
  <c r="J30" i="5"/>
  <c r="K17" i="9"/>
  <c r="K94" i="9"/>
  <c r="I425" i="9"/>
  <c r="L11" i="7"/>
  <c r="L7" i="4"/>
  <c r="L7" i="5" s="1"/>
  <c r="M9" i="9"/>
  <c r="M50" i="9" s="1"/>
  <c r="L7" i="12"/>
  <c r="I7" i="20"/>
  <c r="L80" i="10" s="1"/>
  <c r="L7" i="10"/>
  <c r="J398" i="9"/>
  <c r="J400" i="9" s="1"/>
  <c r="K20" i="9"/>
  <c r="J58" i="11" s="1"/>
  <c r="J25" i="5"/>
  <c r="K249" i="9"/>
  <c r="G49" i="4"/>
  <c r="D24" i="20"/>
  <c r="I28" i="5"/>
  <c r="I41" i="5"/>
  <c r="G426" i="9"/>
  <c r="G37" i="9"/>
  <c r="G40" i="9"/>
  <c r="G461" i="9"/>
  <c r="H106" i="11"/>
  <c r="H195" i="11"/>
  <c r="H197" i="11" s="1"/>
  <c r="J24" i="5"/>
  <c r="K136" i="9"/>
  <c r="K137" i="9" s="1"/>
  <c r="K108" i="9"/>
  <c r="K19" i="9"/>
  <c r="L106" i="9" l="1"/>
  <c r="L266" i="9"/>
  <c r="J57" i="11"/>
  <c r="K31" i="9"/>
  <c r="K32" i="9" s="1"/>
  <c r="K258" i="9"/>
  <c r="J36" i="5"/>
  <c r="L8" i="13"/>
  <c r="L59" i="12"/>
  <c r="L300" i="9"/>
  <c r="L394" i="9" s="1"/>
  <c r="L238" i="9"/>
  <c r="H199" i="11"/>
  <c r="H46" i="4" s="1"/>
  <c r="E16" i="20"/>
  <c r="I40" i="9"/>
  <c r="I37" i="9"/>
  <c r="I426" i="9"/>
  <c r="I461" i="9"/>
  <c r="L86" i="9"/>
  <c r="L246" i="9"/>
  <c r="L274" i="9"/>
  <c r="L120" i="9"/>
  <c r="K18" i="9"/>
  <c r="J56" i="11" s="1"/>
  <c r="J33" i="5"/>
  <c r="J55" i="11"/>
  <c r="J61" i="11" s="1"/>
  <c r="G64" i="12"/>
  <c r="D25" i="20"/>
  <c r="G65" i="12" s="1"/>
  <c r="D26" i="20"/>
  <c r="J38" i="5"/>
  <c r="J35" i="9"/>
  <c r="J411" i="9"/>
  <c r="J39" i="9" s="1"/>
  <c r="J414" i="9"/>
  <c r="J408" i="9"/>
  <c r="J420" i="9"/>
  <c r="J423" i="9"/>
  <c r="J31" i="5"/>
  <c r="D38" i="20"/>
  <c r="F44" i="4"/>
  <c r="F113" i="5" s="1"/>
  <c r="F122" i="5" s="1"/>
  <c r="F124" i="5" s="1"/>
  <c r="G42" i="9"/>
  <c r="C12" i="20" s="1"/>
  <c r="C13" i="20" s="1"/>
  <c r="G118" i="5"/>
  <c r="F14" i="15"/>
  <c r="J39" i="5"/>
  <c r="H44" i="9"/>
  <c r="D15" i="20"/>
  <c r="H45" i="9" s="1"/>
  <c r="L134" i="9"/>
  <c r="L21" i="9" s="1"/>
  <c r="K59" i="11" s="1"/>
  <c r="L289" i="9"/>
  <c r="J27" i="5"/>
  <c r="L63" i="10"/>
  <c r="L71" i="10" s="1"/>
  <c r="L62" i="10"/>
  <c r="L256" i="9"/>
  <c r="L9" i="13"/>
  <c r="I8" i="20"/>
  <c r="L81" i="10" s="1"/>
  <c r="L8" i="10"/>
  <c r="L8" i="4"/>
  <c r="L8" i="5" s="1"/>
  <c r="L8" i="12"/>
  <c r="L60" i="12" s="1"/>
  <c r="M10" i="9"/>
  <c r="I40" i="12"/>
  <c r="I17" i="12"/>
  <c r="I23" i="12"/>
  <c r="I39" i="12"/>
  <c r="I94" i="11"/>
  <c r="I105" i="11" s="1"/>
  <c r="I22" i="12"/>
  <c r="I12" i="12"/>
  <c r="I38" i="12"/>
  <c r="J417" i="9"/>
  <c r="J459" i="9"/>
  <c r="J405" i="9"/>
  <c r="J38" i="9" s="1"/>
  <c r="J27" i="9"/>
  <c r="I21" i="5" s="1"/>
  <c r="K239" i="9"/>
  <c r="H49" i="4"/>
  <c r="E24" i="20"/>
  <c r="A102" i="4"/>
  <c r="A101" i="4"/>
  <c r="A100" i="4"/>
  <c r="A99" i="4"/>
  <c r="A98" i="4"/>
  <c r="A97" i="4"/>
  <c r="A96" i="4"/>
  <c r="A95" i="4"/>
  <c r="A94" i="4"/>
  <c r="A93" i="4"/>
  <c r="A92" i="4"/>
  <c r="A91" i="4"/>
  <c r="A90" i="4"/>
  <c r="A89" i="4"/>
  <c r="A88" i="4"/>
  <c r="A87" i="4"/>
  <c r="A86" i="4"/>
  <c r="A85" i="4"/>
  <c r="A84" i="4"/>
  <c r="A83" i="4"/>
  <c r="A82" i="4"/>
  <c r="A81" i="4"/>
  <c r="A80" i="4"/>
  <c r="A79" i="4"/>
  <c r="L78" i="4"/>
  <c r="K78" i="4"/>
  <c r="J78" i="4"/>
  <c r="I78" i="4"/>
  <c r="H78" i="4"/>
  <c r="G78" i="4"/>
  <c r="F78"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C22" i="4"/>
  <c r="A22" i="4"/>
  <c r="A21" i="4"/>
  <c r="A20" i="4"/>
  <c r="A19" i="4"/>
  <c r="A18" i="4"/>
  <c r="A17" i="4"/>
  <c r="A16" i="4"/>
  <c r="A15" i="4"/>
  <c r="A14" i="4"/>
  <c r="A13" i="4"/>
  <c r="G12" i="4"/>
  <c r="A12" i="4"/>
  <c r="K12" i="4"/>
  <c r="A11" i="4"/>
  <c r="A10" i="4"/>
  <c r="A9" i="4"/>
  <c r="L43" i="4"/>
  <c r="K43" i="4"/>
  <c r="J43" i="4"/>
  <c r="I43" i="4"/>
  <c r="H43" i="4"/>
  <c r="G43" i="4"/>
  <c r="F43" i="4"/>
  <c r="A4" i="4"/>
  <c r="A2" i="4"/>
  <c r="F126" i="5" l="1"/>
  <c r="F125" i="5"/>
  <c r="L283" i="9"/>
  <c r="I106" i="11"/>
  <c r="I195" i="11"/>
  <c r="I197" i="11" s="1"/>
  <c r="J425" i="9"/>
  <c r="K23" i="9"/>
  <c r="L20" i="9"/>
  <c r="K58" i="11" s="1"/>
  <c r="K25" i="5"/>
  <c r="H115" i="5"/>
  <c r="G122" i="5"/>
  <c r="L249" i="9"/>
  <c r="L297" i="9"/>
  <c r="C14" i="20"/>
  <c r="C38" i="20"/>
  <c r="C39" i="20" s="1"/>
  <c r="H44" i="4"/>
  <c r="H52" i="4" s="1"/>
  <c r="H53" i="4" s="1"/>
  <c r="I42" i="9"/>
  <c r="H64" i="12"/>
  <c r="E25" i="20"/>
  <c r="H65" i="12" s="1"/>
  <c r="E26" i="20"/>
  <c r="E14" i="15"/>
  <c r="J34" i="5"/>
  <c r="J37" i="5"/>
  <c r="L271" i="9"/>
  <c r="K30" i="5"/>
  <c r="L94" i="9"/>
  <c r="L17" i="9"/>
  <c r="D27" i="20"/>
  <c r="G67" i="12" s="1"/>
  <c r="G66" i="12"/>
  <c r="K24" i="5"/>
  <c r="L136" i="9"/>
  <c r="L137" i="9" s="1"/>
  <c r="L108" i="9"/>
  <c r="L19" i="9"/>
  <c r="H118" i="5"/>
  <c r="D39" i="20"/>
  <c r="G51" i="11"/>
  <c r="G68" i="12"/>
  <c r="H46" i="9"/>
  <c r="G89" i="10"/>
  <c r="K26" i="5"/>
  <c r="L22" i="9"/>
  <c r="K60" i="11" s="1"/>
  <c r="L239" i="9"/>
  <c r="J41" i="5"/>
  <c r="J35" i="5"/>
  <c r="J32" i="5"/>
  <c r="J28" i="5"/>
  <c r="K398" i="9"/>
  <c r="K400" i="9" s="1"/>
  <c r="I43" i="12"/>
  <c r="I10" i="4"/>
  <c r="I10" i="5"/>
  <c r="I22" i="5"/>
  <c r="M202" i="9"/>
  <c r="M358" i="9" s="1"/>
  <c r="M179" i="9"/>
  <c r="M335" i="9" s="1"/>
  <c r="M127" i="9"/>
  <c r="M290" i="9" s="1"/>
  <c r="C290" i="9" s="1"/>
  <c r="M217" i="9"/>
  <c r="M373" i="9" s="1"/>
  <c r="M130" i="9"/>
  <c r="M293" i="9" s="1"/>
  <c r="C293" i="9" s="1"/>
  <c r="M166" i="9"/>
  <c r="M322" i="9" s="1"/>
  <c r="M204" i="9"/>
  <c r="M360" i="9" s="1"/>
  <c r="M216" i="9"/>
  <c r="M372" i="9" s="1"/>
  <c r="M183" i="9"/>
  <c r="M339" i="9" s="1"/>
  <c r="M197" i="9"/>
  <c r="M353" i="9" s="1"/>
  <c r="M177" i="9"/>
  <c r="M333" i="9" s="1"/>
  <c r="M236" i="9"/>
  <c r="M392" i="9" s="1"/>
  <c r="M205" i="9"/>
  <c r="M361" i="9" s="1"/>
  <c r="M210" i="9"/>
  <c r="M366" i="9" s="1"/>
  <c r="M228" i="9"/>
  <c r="M384" i="9" s="1"/>
  <c r="M117" i="9"/>
  <c r="M280" i="9" s="1"/>
  <c r="C280" i="9" s="1"/>
  <c r="M181" i="9"/>
  <c r="M337" i="9" s="1"/>
  <c r="M193" i="9"/>
  <c r="M349" i="9" s="1"/>
  <c r="M220" i="9"/>
  <c r="M376" i="9" s="1"/>
  <c r="M198" i="9"/>
  <c r="M354" i="9" s="1"/>
  <c r="M118" i="9"/>
  <c r="M281" i="9" s="1"/>
  <c r="C281" i="9" s="1"/>
  <c r="M222" i="9"/>
  <c r="M378" i="9" s="1"/>
  <c r="M105" i="9"/>
  <c r="M270" i="9" s="1"/>
  <c r="C270" i="9" s="1"/>
  <c r="M209" i="9"/>
  <c r="M365" i="9" s="1"/>
  <c r="M187" i="9"/>
  <c r="M343" i="9" s="1"/>
  <c r="M199" i="9"/>
  <c r="M355" i="9" s="1"/>
  <c r="M114" i="9"/>
  <c r="M277" i="9" s="1"/>
  <c r="C277" i="9" s="1"/>
  <c r="M178" i="9"/>
  <c r="M334" i="9" s="1"/>
  <c r="M190" i="9"/>
  <c r="M346" i="9" s="1"/>
  <c r="M208" i="9"/>
  <c r="M364" i="9" s="1"/>
  <c r="M232" i="9"/>
  <c r="M388" i="9" s="1"/>
  <c r="M129" i="9"/>
  <c r="M292" i="9" s="1"/>
  <c r="C292" i="9" s="1"/>
  <c r="M83" i="9"/>
  <c r="M247" i="9" s="1"/>
  <c r="C247" i="9" s="1"/>
  <c r="M119" i="9"/>
  <c r="M282" i="9" s="1"/>
  <c r="C282" i="9" s="1"/>
  <c r="M224" i="9"/>
  <c r="M380" i="9" s="1"/>
  <c r="M184" i="9"/>
  <c r="M340" i="9" s="1"/>
  <c r="M196" i="9"/>
  <c r="M352" i="9" s="1"/>
  <c r="M111" i="9"/>
  <c r="M156" i="9"/>
  <c r="M312" i="9" s="1"/>
  <c r="M167" i="9"/>
  <c r="M323" i="9" s="1"/>
  <c r="M175" i="9"/>
  <c r="M331" i="9" s="1"/>
  <c r="M131" i="9"/>
  <c r="M294" i="9" s="1"/>
  <c r="C294" i="9" s="1"/>
  <c r="M112" i="9"/>
  <c r="M275" i="9" s="1"/>
  <c r="C275" i="9" s="1"/>
  <c r="M180" i="9"/>
  <c r="M336" i="9" s="1"/>
  <c r="M185" i="9"/>
  <c r="M341" i="9" s="1"/>
  <c r="M16" i="9"/>
  <c r="M163" i="9"/>
  <c r="M319" i="9" s="1"/>
  <c r="M144" i="9"/>
  <c r="M221" i="9"/>
  <c r="M377" i="9" s="1"/>
  <c r="M226" i="9"/>
  <c r="M382" i="9" s="1"/>
  <c r="M173" i="9"/>
  <c r="M329" i="9" s="1"/>
  <c r="M89" i="9"/>
  <c r="M252" i="9" s="1"/>
  <c r="M172" i="9"/>
  <c r="M328" i="9" s="1"/>
  <c r="M214" i="9"/>
  <c r="M370" i="9" s="1"/>
  <c r="M235" i="9"/>
  <c r="M391" i="9" s="1"/>
  <c r="M230" i="9"/>
  <c r="M386" i="9" s="1"/>
  <c r="M206" i="9"/>
  <c r="M362" i="9" s="1"/>
  <c r="M154" i="9"/>
  <c r="M310" i="9" s="1"/>
  <c r="M51" i="9"/>
  <c r="M234" i="9"/>
  <c r="M390" i="9" s="1"/>
  <c r="M115" i="9"/>
  <c r="M278" i="9" s="1"/>
  <c r="C278" i="9" s="1"/>
  <c r="M102" i="9"/>
  <c r="M267" i="9" s="1"/>
  <c r="C267" i="9" s="1"/>
  <c r="M223" i="9"/>
  <c r="M379" i="9" s="1"/>
  <c r="M194" i="9"/>
  <c r="M350" i="9" s="1"/>
  <c r="M227" i="9"/>
  <c r="M383" i="9" s="1"/>
  <c r="M203" i="9"/>
  <c r="M359" i="9" s="1"/>
  <c r="M126" i="9"/>
  <c r="M211" i="9"/>
  <c r="M367" i="9" s="1"/>
  <c r="M200" i="9"/>
  <c r="M356" i="9" s="1"/>
  <c r="M90" i="9"/>
  <c r="M253" i="9" s="1"/>
  <c r="C253" i="9" s="1"/>
  <c r="M174" i="9"/>
  <c r="M330" i="9" s="1"/>
  <c r="M189" i="9"/>
  <c r="M345" i="9" s="1"/>
  <c r="M104" i="9"/>
  <c r="M269" i="9" s="1"/>
  <c r="C269" i="9" s="1"/>
  <c r="M113" i="9"/>
  <c r="M276" i="9" s="1"/>
  <c r="C276" i="9" s="1"/>
  <c r="M168" i="9"/>
  <c r="M324" i="9" s="1"/>
  <c r="M215" i="9"/>
  <c r="M371" i="9" s="1"/>
  <c r="M132" i="9"/>
  <c r="M295" i="9" s="1"/>
  <c r="C295" i="9" s="1"/>
  <c r="M145" i="9"/>
  <c r="M301" i="9" s="1"/>
  <c r="M116" i="9"/>
  <c r="M279" i="9" s="1"/>
  <c r="C279" i="9" s="1"/>
  <c r="M101" i="9"/>
  <c r="M191" i="9"/>
  <c r="M347" i="9" s="1"/>
  <c r="M150" i="9"/>
  <c r="M306" i="9" s="1"/>
  <c r="M192" i="9"/>
  <c r="M348" i="9" s="1"/>
  <c r="M162" i="9"/>
  <c r="M318" i="9" s="1"/>
  <c r="M171" i="9"/>
  <c r="M327" i="9" s="1"/>
  <c r="M212" i="9"/>
  <c r="M368" i="9" s="1"/>
  <c r="M165" i="9"/>
  <c r="M321" i="9" s="1"/>
  <c r="M103" i="9"/>
  <c r="M268" i="9" s="1"/>
  <c r="C268" i="9" s="1"/>
  <c r="M233" i="9"/>
  <c r="M389" i="9" s="1"/>
  <c r="M133" i="9"/>
  <c r="M296" i="9" s="1"/>
  <c r="C296" i="9" s="1"/>
  <c r="M169" i="9"/>
  <c r="M325" i="9" s="1"/>
  <c r="M218" i="9"/>
  <c r="M374" i="9" s="1"/>
  <c r="M229" i="9"/>
  <c r="M385" i="9" s="1"/>
  <c r="M186" i="9"/>
  <c r="M342" i="9" s="1"/>
  <c r="M82" i="9"/>
  <c r="H47" i="11"/>
  <c r="E17" i="20"/>
  <c r="H48" i="11" s="1"/>
  <c r="E18" i="20"/>
  <c r="D23" i="4"/>
  <c r="D26" i="4"/>
  <c r="D28" i="4"/>
  <c r="C23" i="4"/>
  <c r="C9" i="4"/>
  <c r="F14" i="4"/>
  <c r="D34" i="4"/>
  <c r="D25" i="4"/>
  <c r="C24" i="4"/>
  <c r="D45" i="4"/>
  <c r="D24" i="4"/>
  <c r="D18" i="4"/>
  <c r="C21" i="4"/>
  <c r="L12" i="4"/>
  <c r="D17" i="4"/>
  <c r="C20" i="4"/>
  <c r="C28" i="4"/>
  <c r="C31" i="4"/>
  <c r="G14" i="4"/>
  <c r="G35" i="4" s="1"/>
  <c r="H14" i="4"/>
  <c r="C16" i="4"/>
  <c r="D20" i="4"/>
  <c r="C27" i="4"/>
  <c r="H12" i="4"/>
  <c r="J14" i="4"/>
  <c r="D16" i="4"/>
  <c r="D19" i="4"/>
  <c r="D27" i="4"/>
  <c r="D30" i="4"/>
  <c r="C34" i="4"/>
  <c r="C45" i="4"/>
  <c r="C48" i="4"/>
  <c r="L14" i="4"/>
  <c r="D48" i="4"/>
  <c r="D51" i="4"/>
  <c r="I12" i="4"/>
  <c r="J12" i="4"/>
  <c r="C19" i="4"/>
  <c r="D31" i="4"/>
  <c r="C15" i="4"/>
  <c r="C18" i="4"/>
  <c r="C26" i="4"/>
  <c r="C29" i="4"/>
  <c r="F52" i="4"/>
  <c r="F44" i="5" s="1"/>
  <c r="C51" i="4"/>
  <c r="D15" i="4"/>
  <c r="D21" i="4"/>
  <c r="D29" i="4"/>
  <c r="G52" i="4"/>
  <c r="C47" i="4"/>
  <c r="C50" i="4"/>
  <c r="C25" i="4"/>
  <c r="D47" i="4"/>
  <c r="F12" i="4"/>
  <c r="D22" i="4"/>
  <c r="D50" i="4"/>
  <c r="I14" i="4"/>
  <c r="F35" i="4"/>
  <c r="K14" i="4"/>
  <c r="C17" i="4"/>
  <c r="C30" i="4"/>
  <c r="F69" i="12" l="1"/>
  <c r="F52" i="11"/>
  <c r="G47" i="9"/>
  <c r="G105" i="5"/>
  <c r="F70" i="5"/>
  <c r="F43" i="5"/>
  <c r="F45" i="5" s="1"/>
  <c r="T36" i="4"/>
  <c r="G44" i="9"/>
  <c r="C15" i="20"/>
  <c r="K71" i="5"/>
  <c r="J71" i="5"/>
  <c r="I71" i="5"/>
  <c r="G71" i="5"/>
  <c r="G70" i="5"/>
  <c r="L71" i="5"/>
  <c r="F147" i="7"/>
  <c r="F38" i="4"/>
  <c r="F40" i="4" s="1"/>
  <c r="H71" i="5"/>
  <c r="F54" i="5"/>
  <c r="U31" i="4"/>
  <c r="F53" i="5"/>
  <c r="F61" i="5"/>
  <c r="F62" i="5"/>
  <c r="F56" i="5"/>
  <c r="M266" i="9"/>
  <c r="M106" i="9"/>
  <c r="H44" i="5"/>
  <c r="M289" i="9"/>
  <c r="M134" i="9"/>
  <c r="M21" i="9" s="1"/>
  <c r="L59" i="11" s="1"/>
  <c r="L18" i="9"/>
  <c r="K56" i="11" s="1"/>
  <c r="K33" i="5"/>
  <c r="I48" i="5"/>
  <c r="K55" i="11"/>
  <c r="I56" i="5"/>
  <c r="K31" i="5"/>
  <c r="E27" i="20"/>
  <c r="H67" i="12" s="1"/>
  <c r="H66" i="12"/>
  <c r="J56" i="5"/>
  <c r="E12" i="20"/>
  <c r="J17" i="12"/>
  <c r="J23" i="12"/>
  <c r="J39" i="12"/>
  <c r="J94" i="11"/>
  <c r="J105" i="11" s="1"/>
  <c r="J22" i="12"/>
  <c r="J12" i="12"/>
  <c r="J38" i="12"/>
  <c r="J40" i="12"/>
  <c r="K417" i="9"/>
  <c r="K27" i="9"/>
  <c r="J21" i="5" s="1"/>
  <c r="K459" i="9"/>
  <c r="K405" i="9"/>
  <c r="K38" i="9" s="1"/>
  <c r="G85" i="5"/>
  <c r="G44" i="5"/>
  <c r="M256" i="9"/>
  <c r="C252" i="9"/>
  <c r="F24" i="20"/>
  <c r="I49" i="4"/>
  <c r="K38" i="5"/>
  <c r="H113" i="5"/>
  <c r="J426" i="9"/>
  <c r="J37" i="9"/>
  <c r="J40" i="9"/>
  <c r="J461" i="9"/>
  <c r="F89" i="10"/>
  <c r="F51" i="11"/>
  <c r="F68" i="12"/>
  <c r="G46" i="9"/>
  <c r="K411" i="9"/>
  <c r="K39" i="9" s="1"/>
  <c r="K414" i="9"/>
  <c r="K423" i="9"/>
  <c r="K408" i="9"/>
  <c r="K420" i="9"/>
  <c r="K35" i="9"/>
  <c r="K57" i="11"/>
  <c r="L31" i="9"/>
  <c r="L32" i="9" s="1"/>
  <c r="E19" i="20"/>
  <c r="H50" i="11" s="1"/>
  <c r="H49" i="11"/>
  <c r="M274" i="9"/>
  <c r="M120" i="9"/>
  <c r="K36" i="5"/>
  <c r="L258" i="9"/>
  <c r="I199" i="11"/>
  <c r="I46" i="4" s="1"/>
  <c r="F16" i="20"/>
  <c r="L56" i="5"/>
  <c r="H56" i="5"/>
  <c r="M300" i="9"/>
  <c r="M394" i="9" s="1"/>
  <c r="M238" i="9"/>
  <c r="K40" i="5"/>
  <c r="G90" i="10"/>
  <c r="G69" i="12"/>
  <c r="G52" i="11"/>
  <c r="H47" i="9"/>
  <c r="K27" i="5"/>
  <c r="G43" i="5"/>
  <c r="G73" i="5"/>
  <c r="G84" i="5"/>
  <c r="G147" i="7"/>
  <c r="G148" i="7" s="1"/>
  <c r="G56" i="5"/>
  <c r="G61" i="5"/>
  <c r="G69" i="5"/>
  <c r="G80" i="5"/>
  <c r="G79" i="5"/>
  <c r="G68" i="5"/>
  <c r="G83" i="5"/>
  <c r="G67" i="5"/>
  <c r="G82" i="5"/>
  <c r="G77" i="5"/>
  <c r="G62" i="5"/>
  <c r="G53" i="5"/>
  <c r="G78" i="5"/>
  <c r="G76" i="5"/>
  <c r="G81" i="5"/>
  <c r="F53" i="4"/>
  <c r="F85" i="5"/>
  <c r="F73" i="5"/>
  <c r="F84" i="5"/>
  <c r="F69" i="5"/>
  <c r="F80" i="5"/>
  <c r="F82" i="5"/>
  <c r="F67" i="5"/>
  <c r="F83" i="5"/>
  <c r="F68" i="5"/>
  <c r="F81" i="5"/>
  <c r="F79" i="5"/>
  <c r="F77" i="5"/>
  <c r="F78" i="5"/>
  <c r="K56" i="5"/>
  <c r="M86" i="9"/>
  <c r="M246" i="9"/>
  <c r="G14" i="15"/>
  <c r="F76" i="5"/>
  <c r="K39" i="5"/>
  <c r="G53" i="4"/>
  <c r="G41" i="4"/>
  <c r="G37" i="4"/>
  <c r="G38" i="4"/>
  <c r="G40" i="4" s="1"/>
  <c r="G55" i="4"/>
  <c r="F41" i="4"/>
  <c r="F55" i="4"/>
  <c r="F15" i="5" s="1"/>
  <c r="F16" i="5" s="1"/>
  <c r="F37" i="4"/>
  <c r="G110" i="5" l="1"/>
  <c r="H105" i="5"/>
  <c r="H110" i="5" s="1"/>
  <c r="H35" i="4"/>
  <c r="F64" i="4"/>
  <c r="F68" i="4"/>
  <c r="F69" i="4" s="1"/>
  <c r="G64" i="4"/>
  <c r="G68" i="4"/>
  <c r="F56" i="4"/>
  <c r="F87" i="5" s="1"/>
  <c r="I64" i="12"/>
  <c r="F25" i="20"/>
  <c r="I65" i="12" s="1"/>
  <c r="F26" i="20"/>
  <c r="M249" i="9"/>
  <c r="C246" i="9"/>
  <c r="H122" i="5"/>
  <c r="C256" i="9"/>
  <c r="G15" i="5"/>
  <c r="G16" i="5" s="1"/>
  <c r="G86" i="5"/>
  <c r="G56" i="4"/>
  <c r="G87" i="5" s="1"/>
  <c r="K34" i="5"/>
  <c r="K37" i="5"/>
  <c r="I47" i="11"/>
  <c r="F17" i="20"/>
  <c r="I48" i="11" s="1"/>
  <c r="F18" i="20"/>
  <c r="J43" i="12"/>
  <c r="L23" i="9"/>
  <c r="M297" i="9"/>
  <c r="C297" i="9" s="1"/>
  <c r="C289" i="9"/>
  <c r="I115" i="5"/>
  <c r="K61" i="11"/>
  <c r="L30" i="5"/>
  <c r="M17" i="9"/>
  <c r="M94" i="9"/>
  <c r="K32" i="5"/>
  <c r="K41" i="5"/>
  <c r="K35" i="5"/>
  <c r="K28" i="5"/>
  <c r="J10" i="4"/>
  <c r="J10" i="5"/>
  <c r="J22" i="5"/>
  <c r="F86" i="5"/>
  <c r="L398" i="9"/>
  <c r="L400" i="9" s="1"/>
  <c r="I44" i="4"/>
  <c r="H14" i="15" s="1"/>
  <c r="J42" i="9"/>
  <c r="L24" i="5"/>
  <c r="M19" i="9"/>
  <c r="L57" i="11" s="1"/>
  <c r="M108" i="9"/>
  <c r="M136" i="9"/>
  <c r="G45" i="5"/>
  <c r="L26" i="5"/>
  <c r="C26" i="5" s="1"/>
  <c r="M22" i="9"/>
  <c r="I118" i="5"/>
  <c r="M271" i="9"/>
  <c r="C266" i="9"/>
  <c r="J106" i="11"/>
  <c r="J195" i="11"/>
  <c r="J197" i="11" s="1"/>
  <c r="C394" i="9"/>
  <c r="M20" i="9"/>
  <c r="L58" i="11" s="1"/>
  <c r="L25" i="5"/>
  <c r="C25" i="5" s="1"/>
  <c r="K425" i="9"/>
  <c r="M283" i="9"/>
  <c r="C274" i="9"/>
  <c r="E13" i="20"/>
  <c r="I43" i="9" s="1"/>
  <c r="E38" i="20"/>
  <c r="E14" i="20"/>
  <c r="F81" i="4"/>
  <c r="F82" i="4" s="1"/>
  <c r="F57" i="4"/>
  <c r="G81" i="4"/>
  <c r="H70" i="5" l="1"/>
  <c r="H78" i="5"/>
  <c r="H67" i="5"/>
  <c r="H76" i="5"/>
  <c r="H79" i="5"/>
  <c r="H80" i="5"/>
  <c r="H53" i="5"/>
  <c r="H61" i="5"/>
  <c r="H69" i="5"/>
  <c r="H83" i="5"/>
  <c r="H37" i="4"/>
  <c r="H55" i="4"/>
  <c r="H41" i="4"/>
  <c r="H38" i="4"/>
  <c r="H40" i="4" s="1"/>
  <c r="H68" i="5"/>
  <c r="H81" i="5"/>
  <c r="H147" i="7"/>
  <c r="H148" i="7" s="1"/>
  <c r="H43" i="5"/>
  <c r="H82" i="5"/>
  <c r="H84" i="5"/>
  <c r="H73" i="5"/>
  <c r="H77" i="5"/>
  <c r="H85" i="5"/>
  <c r="H62" i="5"/>
  <c r="I105" i="5"/>
  <c r="I110" i="5" s="1"/>
  <c r="I35" i="4"/>
  <c r="I70" i="5"/>
  <c r="G124" i="5"/>
  <c r="G57" i="4"/>
  <c r="F58" i="4"/>
  <c r="E17" i="5" s="1"/>
  <c r="F17" i="5" s="1"/>
  <c r="F89" i="5" s="1"/>
  <c r="G69" i="4"/>
  <c r="G82" i="4"/>
  <c r="F70" i="4"/>
  <c r="F66" i="4"/>
  <c r="L40" i="5"/>
  <c r="C40" i="5" s="1"/>
  <c r="H124" i="5"/>
  <c r="L414" i="9"/>
  <c r="L420" i="9"/>
  <c r="L423" i="9"/>
  <c r="L408" i="9"/>
  <c r="L411" i="9"/>
  <c r="L39" i="9" s="1"/>
  <c r="L35" i="9"/>
  <c r="G24" i="20"/>
  <c r="J49" i="4"/>
  <c r="M239" i="9"/>
  <c r="M137" i="9"/>
  <c r="K17" i="12"/>
  <c r="K40" i="12"/>
  <c r="K23" i="12"/>
  <c r="K39" i="12"/>
  <c r="K22" i="12"/>
  <c r="K94" i="11"/>
  <c r="K105" i="11" s="1"/>
  <c r="K12" i="12"/>
  <c r="K38" i="12"/>
  <c r="L405" i="9"/>
  <c r="L38" i="9" s="1"/>
  <c r="L27" i="9"/>
  <c r="K21" i="5" s="1"/>
  <c r="L417" i="9"/>
  <c r="L459" i="9"/>
  <c r="E15" i="20"/>
  <c r="I45" i="9" s="1"/>
  <c r="I44" i="9"/>
  <c r="E39" i="20"/>
  <c r="H68" i="12"/>
  <c r="I46" i="9"/>
  <c r="H51" i="11"/>
  <c r="H89" i="10"/>
  <c r="J199" i="11"/>
  <c r="J46" i="4" s="1"/>
  <c r="G16" i="20"/>
  <c r="L27" i="5"/>
  <c r="C24" i="5"/>
  <c r="F19" i="20"/>
  <c r="I50" i="11" s="1"/>
  <c r="I49" i="11"/>
  <c r="M258" i="9"/>
  <c r="C258" i="9" s="1"/>
  <c r="L36" i="5"/>
  <c r="C36" i="5" s="1"/>
  <c r="C249" i="9"/>
  <c r="M31" i="9"/>
  <c r="M32" i="9" s="1"/>
  <c r="L60" i="11"/>
  <c r="L39" i="5"/>
  <c r="C39" i="5" s="1"/>
  <c r="C283" i="9"/>
  <c r="M18" i="9"/>
  <c r="L56" i="11" s="1"/>
  <c r="L33" i="5"/>
  <c r="F27" i="20"/>
  <c r="I67" i="12" s="1"/>
  <c r="I66" i="12"/>
  <c r="L55" i="11"/>
  <c r="M23" i="9"/>
  <c r="L38" i="5"/>
  <c r="C38" i="5" s="1"/>
  <c r="C271" i="9"/>
  <c r="L31" i="5"/>
  <c r="C31" i="5" s="1"/>
  <c r="C30" i="5"/>
  <c r="K40" i="9"/>
  <c r="K37" i="9"/>
  <c r="K426" i="9"/>
  <c r="K461" i="9"/>
  <c r="F12" i="20"/>
  <c r="I76" i="5"/>
  <c r="I113" i="5"/>
  <c r="I52" i="4"/>
  <c r="J48" i="5"/>
  <c r="H57" i="4" l="1"/>
  <c r="H45" i="5"/>
  <c r="I79" i="5"/>
  <c r="I61" i="5"/>
  <c r="I80" i="5"/>
  <c r="I37" i="4"/>
  <c r="I69" i="5"/>
  <c r="I43" i="5"/>
  <c r="I82" i="5"/>
  <c r="I73" i="5"/>
  <c r="I77" i="5"/>
  <c r="I38" i="4"/>
  <c r="I40" i="4" s="1"/>
  <c r="I84" i="5"/>
  <c r="I62" i="5"/>
  <c r="I41" i="4"/>
  <c r="I83" i="5"/>
  <c r="I147" i="7"/>
  <c r="I148" i="7" s="1"/>
  <c r="I53" i="5"/>
  <c r="I67" i="5"/>
  <c r="I68" i="5"/>
  <c r="I81" i="5"/>
  <c r="I78" i="5"/>
  <c r="G17" i="5"/>
  <c r="H17" i="5" s="1"/>
  <c r="H18" i="5" s="1"/>
  <c r="J105" i="5"/>
  <c r="J35" i="4"/>
  <c r="J70" i="5" s="1"/>
  <c r="G126" i="5"/>
  <c r="G125" i="5"/>
  <c r="H64" i="4"/>
  <c r="H68" i="4"/>
  <c r="H69" i="4" s="1"/>
  <c r="H15" i="5"/>
  <c r="H16" i="5" s="1"/>
  <c r="H86" i="5"/>
  <c r="H56" i="4"/>
  <c r="H87" i="5" s="1"/>
  <c r="H81" i="4"/>
  <c r="H82" i="4" s="1"/>
  <c r="F79" i="4"/>
  <c r="G58" i="4"/>
  <c r="L61" i="11"/>
  <c r="K43" i="12"/>
  <c r="K10" i="4"/>
  <c r="K10" i="5"/>
  <c r="K22" i="5"/>
  <c r="K48" i="5" s="1"/>
  <c r="J47" i="11"/>
  <c r="G17" i="20"/>
  <c r="J48" i="11" s="1"/>
  <c r="G18" i="20"/>
  <c r="F13" i="20"/>
  <c r="J43" i="9" s="1"/>
  <c r="F14" i="20"/>
  <c r="F38" i="20"/>
  <c r="J115" i="5"/>
  <c r="J78" i="5"/>
  <c r="L425" i="9"/>
  <c r="I44" i="5"/>
  <c r="I85" i="5"/>
  <c r="I53" i="4"/>
  <c r="I55" i="4"/>
  <c r="K106" i="11"/>
  <c r="K195" i="11"/>
  <c r="K197" i="11" s="1"/>
  <c r="I122" i="5"/>
  <c r="L35" i="5"/>
  <c r="C35" i="5" s="1"/>
  <c r="L41" i="5"/>
  <c r="C41" i="5" s="1"/>
  <c r="L28" i="5"/>
  <c r="C28" i="5" s="1"/>
  <c r="L32" i="5"/>
  <c r="C32" i="5" s="1"/>
  <c r="C27" i="5"/>
  <c r="J44" i="4"/>
  <c r="I14" i="15" s="1"/>
  <c r="K42" i="9"/>
  <c r="L34" i="5"/>
  <c r="C34" i="5" s="1"/>
  <c r="L37" i="5"/>
  <c r="C37" i="5" s="1"/>
  <c r="C33" i="5"/>
  <c r="H90" i="10"/>
  <c r="H69" i="12"/>
  <c r="H52" i="11"/>
  <c r="I47" i="9"/>
  <c r="J81" i="5"/>
  <c r="J118" i="5"/>
  <c r="H125" i="5"/>
  <c r="H126" i="5"/>
  <c r="L39" i="12"/>
  <c r="L23" i="12"/>
  <c r="L94" i="11"/>
  <c r="L105" i="11" s="1"/>
  <c r="L22" i="12"/>
  <c r="L12" i="12"/>
  <c r="L38" i="12"/>
  <c r="L40" i="12"/>
  <c r="L17" i="12"/>
  <c r="M459" i="9"/>
  <c r="C459" i="9" s="1"/>
  <c r="M27" i="9"/>
  <c r="L21" i="5" s="1"/>
  <c r="C21" i="5" s="1"/>
  <c r="M417" i="9"/>
  <c r="M405" i="9"/>
  <c r="M38" i="9" s="1"/>
  <c r="J64" i="12"/>
  <c r="G25" i="20"/>
  <c r="J65" i="12" s="1"/>
  <c r="G26" i="20"/>
  <c r="M398" i="9"/>
  <c r="M400" i="9" s="1"/>
  <c r="J110" i="5" l="1"/>
  <c r="G18" i="5"/>
  <c r="G89" i="5"/>
  <c r="H89" i="5"/>
  <c r="J38" i="4"/>
  <c r="J40" i="4" s="1"/>
  <c r="J80" i="5"/>
  <c r="J37" i="4"/>
  <c r="J43" i="5"/>
  <c r="J82" i="5"/>
  <c r="J73" i="5"/>
  <c r="J77" i="5"/>
  <c r="J84" i="5"/>
  <c r="J62" i="5"/>
  <c r="J147" i="7"/>
  <c r="J148" i="7" s="1"/>
  <c r="J53" i="5"/>
  <c r="J69" i="5"/>
  <c r="J83" i="5"/>
  <c r="J61" i="5"/>
  <c r="J67" i="5"/>
  <c r="J79" i="5"/>
  <c r="J41" i="4"/>
  <c r="J68" i="5"/>
  <c r="K105" i="5"/>
  <c r="K110" i="5" s="1"/>
  <c r="C32" i="4"/>
  <c r="K35" i="4"/>
  <c r="K70" i="5"/>
  <c r="G79" i="4"/>
  <c r="H58" i="4"/>
  <c r="H79" i="4" s="1"/>
  <c r="I17" i="5"/>
  <c r="I18" i="5" s="1"/>
  <c r="F73" i="4"/>
  <c r="F74" i="4" s="1"/>
  <c r="F71" i="4"/>
  <c r="G63" i="4" s="1"/>
  <c r="L43" i="12"/>
  <c r="L10" i="4"/>
  <c r="C10" i="4" s="1"/>
  <c r="L10" i="5"/>
  <c r="L22" i="5"/>
  <c r="I124" i="5"/>
  <c r="I45" i="5"/>
  <c r="F39" i="20"/>
  <c r="J46" i="9"/>
  <c r="I89" i="10"/>
  <c r="I68" i="12"/>
  <c r="I51" i="11"/>
  <c r="L37" i="9"/>
  <c r="L40" i="9"/>
  <c r="L426" i="9"/>
  <c r="L461" i="9"/>
  <c r="F15" i="20"/>
  <c r="J45" i="9" s="1"/>
  <c r="J44" i="9"/>
  <c r="M35" i="9"/>
  <c r="C35" i="9" s="1"/>
  <c r="M420" i="9"/>
  <c r="M423" i="9"/>
  <c r="M408" i="9"/>
  <c r="M414" i="9"/>
  <c r="M411" i="9"/>
  <c r="M39" i="9" s="1"/>
  <c r="C400" i="9"/>
  <c r="G12" i="20"/>
  <c r="H24" i="20"/>
  <c r="K49" i="4"/>
  <c r="C43" i="12"/>
  <c r="G27" i="20"/>
  <c r="J67" i="12" s="1"/>
  <c r="J66" i="12"/>
  <c r="I15" i="5"/>
  <c r="I16" i="5" s="1"/>
  <c r="I86" i="5"/>
  <c r="I56" i="4"/>
  <c r="I87" i="5" s="1"/>
  <c r="I68" i="4"/>
  <c r="I69" i="4" s="1"/>
  <c r="I64" i="4"/>
  <c r="I81" i="4"/>
  <c r="I82" i="4" s="1"/>
  <c r="I57" i="4"/>
  <c r="L106" i="11"/>
  <c r="L195" i="11"/>
  <c r="L197" i="11" s="1"/>
  <c r="J76" i="5"/>
  <c r="J113" i="5"/>
  <c r="J52" i="4"/>
  <c r="K199" i="11"/>
  <c r="H16" i="20"/>
  <c r="G19" i="20"/>
  <c r="J50" i="11" s="1"/>
  <c r="J49" i="11"/>
  <c r="D32" i="4" l="1"/>
  <c r="K38" i="4"/>
  <c r="K40" i="4" s="1"/>
  <c r="K61" i="5"/>
  <c r="K37" i="4"/>
  <c r="K79" i="5"/>
  <c r="K80" i="5"/>
  <c r="K41" i="4"/>
  <c r="K67" i="5"/>
  <c r="K69" i="5"/>
  <c r="K73" i="5"/>
  <c r="K82" i="5"/>
  <c r="K84" i="5"/>
  <c r="K77" i="5"/>
  <c r="K147" i="7"/>
  <c r="K148" i="7" s="1"/>
  <c r="K62" i="5"/>
  <c r="K68" i="5"/>
  <c r="K43" i="5"/>
  <c r="K53" i="5"/>
  <c r="K83" i="5"/>
  <c r="L105" i="5"/>
  <c r="L110" i="5" s="1"/>
  <c r="C110" i="5" s="1"/>
  <c r="L35" i="4"/>
  <c r="D35" i="4" s="1"/>
  <c r="C35" i="4"/>
  <c r="I58" i="4"/>
  <c r="I79" i="4" s="1"/>
  <c r="G65" i="4"/>
  <c r="G66" i="4" s="1"/>
  <c r="I89" i="5"/>
  <c r="L199" i="11"/>
  <c r="L46" i="4" s="1"/>
  <c r="I16" i="20"/>
  <c r="C197" i="11"/>
  <c r="L48" i="5"/>
  <c r="C48" i="5" s="1"/>
  <c r="C22" i="5"/>
  <c r="I24" i="20"/>
  <c r="B24" i="20" s="1"/>
  <c r="L49" i="4"/>
  <c r="D49" i="4" s="1"/>
  <c r="K47" i="11"/>
  <c r="H17" i="20"/>
  <c r="K48" i="11" s="1"/>
  <c r="H18" i="20"/>
  <c r="K81" i="5"/>
  <c r="K118" i="5"/>
  <c r="I90" i="10"/>
  <c r="I69" i="12"/>
  <c r="I52" i="11"/>
  <c r="J47" i="9"/>
  <c r="C199" i="11"/>
  <c r="K46" i="4"/>
  <c r="K64" i="12"/>
  <c r="H25" i="20"/>
  <c r="K65" i="12" s="1"/>
  <c r="H26" i="20"/>
  <c r="M425" i="9"/>
  <c r="J53" i="4"/>
  <c r="J44" i="5"/>
  <c r="J85" i="5"/>
  <c r="J55" i="4"/>
  <c r="G13" i="20"/>
  <c r="K43" i="9" s="1"/>
  <c r="G38" i="20"/>
  <c r="G14" i="20"/>
  <c r="J122" i="5"/>
  <c r="K44" i="4"/>
  <c r="L42" i="9"/>
  <c r="I125" i="5"/>
  <c r="I126" i="5"/>
  <c r="C105" i="5" l="1"/>
  <c r="E32" i="4"/>
  <c r="E35" i="4"/>
  <c r="E50" i="4"/>
  <c r="E31" i="4"/>
  <c r="E21" i="4"/>
  <c r="E16" i="4"/>
  <c r="E17" i="4"/>
  <c r="E23" i="4"/>
  <c r="E18" i="4"/>
  <c r="E20" i="4"/>
  <c r="E47" i="4"/>
  <c r="E30" i="4"/>
  <c r="E26" i="4"/>
  <c r="E24" i="4"/>
  <c r="E34" i="4"/>
  <c r="E15" i="4"/>
  <c r="E28" i="4"/>
  <c r="E51" i="4"/>
  <c r="E22" i="4"/>
  <c r="E29" i="4"/>
  <c r="E19" i="4"/>
  <c r="E48" i="4"/>
  <c r="E45" i="4"/>
  <c r="E25" i="4"/>
  <c r="E27" i="4"/>
  <c r="D41" i="4"/>
  <c r="L70" i="5"/>
  <c r="C72" i="5"/>
  <c r="C55" i="5"/>
  <c r="C60" i="5"/>
  <c r="C63" i="5"/>
  <c r="C53" i="5"/>
  <c r="C71" i="5"/>
  <c r="C56" i="5"/>
  <c r="C59" i="5"/>
  <c r="C58" i="5"/>
  <c r="C54" i="5"/>
  <c r="C67" i="5"/>
  <c r="C68" i="5"/>
  <c r="C66" i="5"/>
  <c r="C73" i="5"/>
  <c r="C77" i="5"/>
  <c r="C61" i="5"/>
  <c r="C79" i="5"/>
  <c r="C62" i="5"/>
  <c r="C80" i="5"/>
  <c r="C82" i="5"/>
  <c r="C57" i="5"/>
  <c r="C83" i="5"/>
  <c r="C41" i="4"/>
  <c r="C64" i="5"/>
  <c r="C69" i="5"/>
  <c r="C65" i="5"/>
  <c r="C84" i="5"/>
  <c r="E49" i="4"/>
  <c r="L68" i="5"/>
  <c r="L84" i="5"/>
  <c r="L67" i="5"/>
  <c r="L61" i="5"/>
  <c r="L38" i="4"/>
  <c r="L40" i="4" s="1"/>
  <c r="L73" i="5"/>
  <c r="L82" i="5"/>
  <c r="L77" i="5"/>
  <c r="L37" i="4"/>
  <c r="L41" i="4"/>
  <c r="L147" i="7"/>
  <c r="L148" i="7" s="1"/>
  <c r="L62" i="5"/>
  <c r="L43" i="5"/>
  <c r="C43" i="5" s="1"/>
  <c r="L53" i="5"/>
  <c r="L69" i="5"/>
  <c r="L80" i="5"/>
  <c r="L79" i="5"/>
  <c r="L83" i="5"/>
  <c r="C70" i="5"/>
  <c r="G70" i="4"/>
  <c r="J57" i="4"/>
  <c r="C49" i="4"/>
  <c r="C81" i="5" s="1"/>
  <c r="M40" i="9"/>
  <c r="M37" i="9"/>
  <c r="C37" i="9" s="1"/>
  <c r="M426" i="9"/>
  <c r="M461" i="9"/>
  <c r="H19" i="20"/>
  <c r="K50" i="11" s="1"/>
  <c r="K49" i="11"/>
  <c r="B25" i="20"/>
  <c r="D65" i="12" s="1"/>
  <c r="D64" i="12"/>
  <c r="B26" i="20"/>
  <c r="H27" i="20"/>
  <c r="K67" i="12" s="1"/>
  <c r="K66" i="12"/>
  <c r="G15" i="20"/>
  <c r="K45" i="9" s="1"/>
  <c r="K44" i="9"/>
  <c r="H12" i="20"/>
  <c r="K113" i="5"/>
  <c r="K76" i="5"/>
  <c r="K52" i="4"/>
  <c r="J15" i="5"/>
  <c r="J16" i="5" s="1"/>
  <c r="J86" i="5"/>
  <c r="J56" i="4"/>
  <c r="J87" i="5" s="1"/>
  <c r="J81" i="4"/>
  <c r="J82" i="4" s="1"/>
  <c r="J68" i="4"/>
  <c r="J69" i="4" s="1"/>
  <c r="J64" i="4"/>
  <c r="J17" i="5"/>
  <c r="J58" i="4"/>
  <c r="J79" i="4" s="1"/>
  <c r="J45" i="5"/>
  <c r="J14" i="15"/>
  <c r="G39" i="20"/>
  <c r="K46" i="9"/>
  <c r="J89" i="10"/>
  <c r="J51" i="11"/>
  <c r="J68" i="12"/>
  <c r="L118" i="5"/>
  <c r="C118" i="5" s="1"/>
  <c r="L81" i="5"/>
  <c r="L47" i="11"/>
  <c r="C47" i="11" s="1"/>
  <c r="I17" i="20"/>
  <c r="L48" i="11" s="1"/>
  <c r="I18" i="20"/>
  <c r="B16" i="20"/>
  <c r="J124" i="5"/>
  <c r="K115" i="5"/>
  <c r="K78" i="5"/>
  <c r="D46" i="4"/>
  <c r="E46" i="4" s="1"/>
  <c r="C46" i="4"/>
  <c r="C78" i="5" s="1"/>
  <c r="L64" i="12"/>
  <c r="I25" i="20"/>
  <c r="L65" i="12" s="1"/>
  <c r="I26" i="20"/>
  <c r="L78" i="5"/>
  <c r="L115" i="5"/>
  <c r="E41" i="4" l="1"/>
  <c r="G73" i="4"/>
  <c r="G74" i="4" s="1"/>
  <c r="G71" i="4"/>
  <c r="H63" i="4" s="1"/>
  <c r="K44" i="5"/>
  <c r="K85" i="5"/>
  <c r="K53" i="4"/>
  <c r="K55" i="4"/>
  <c r="L44" i="4"/>
  <c r="M42" i="9"/>
  <c r="C461" i="9"/>
  <c r="I27" i="20"/>
  <c r="L67" i="12" s="1"/>
  <c r="L66" i="12"/>
  <c r="D66" i="12"/>
  <c r="B27" i="20"/>
  <c r="D67" i="12" s="1"/>
  <c r="K122" i="5"/>
  <c r="J125" i="5"/>
  <c r="J126" i="5"/>
  <c r="H13" i="20"/>
  <c r="L43" i="9" s="1"/>
  <c r="H38" i="20"/>
  <c r="H14" i="20"/>
  <c r="J90" i="10"/>
  <c r="J69" i="12"/>
  <c r="J52" i="11"/>
  <c r="K47" i="9"/>
  <c r="J18" i="5"/>
  <c r="J89" i="5"/>
  <c r="C115" i="5"/>
  <c r="B18" i="20"/>
  <c r="B19" i="20" s="1"/>
  <c r="C50" i="11" s="1"/>
  <c r="B17" i="20"/>
  <c r="C48" i="11" s="1"/>
  <c r="I19" i="20"/>
  <c r="L50" i="11" s="1"/>
  <c r="L49" i="11"/>
  <c r="C49" i="11" s="1"/>
  <c r="H65" i="4" l="1"/>
  <c r="H70" i="4" s="1"/>
  <c r="H73" i="4" s="1"/>
  <c r="H74" i="4" s="1"/>
  <c r="K17" i="5"/>
  <c r="K89" i="5" s="1"/>
  <c r="K58" i="4"/>
  <c r="K79" i="4" s="1"/>
  <c r="H39" i="20"/>
  <c r="L46" i="9"/>
  <c r="K89" i="10"/>
  <c r="K51" i="11"/>
  <c r="K68" i="12"/>
  <c r="K124" i="5"/>
  <c r="K81" i="4"/>
  <c r="K82" i="4" s="1"/>
  <c r="K15" i="5"/>
  <c r="K16" i="5" s="1"/>
  <c r="K86" i="5"/>
  <c r="K56" i="4"/>
  <c r="K87" i="5" s="1"/>
  <c r="K64" i="4"/>
  <c r="K57" i="4"/>
  <c r="K45" i="5"/>
  <c r="L113" i="5"/>
  <c r="L76" i="5"/>
  <c r="L52" i="4"/>
  <c r="C44" i="4"/>
  <c r="K14" i="15"/>
  <c r="D14" i="15" s="1"/>
  <c r="D44" i="4"/>
  <c r="E44" i="4" s="1"/>
  <c r="H15" i="20"/>
  <c r="L45" i="9" s="1"/>
  <c r="L44" i="9"/>
  <c r="I12" i="20"/>
  <c r="I38" i="20" s="1"/>
  <c r="C42" i="9"/>
  <c r="K18" i="5" l="1"/>
  <c r="H66" i="4"/>
  <c r="H71" i="4"/>
  <c r="I63" i="4" s="1"/>
  <c r="L122" i="5"/>
  <c r="C113" i="5"/>
  <c r="K90" i="10"/>
  <c r="K69" i="12"/>
  <c r="K52" i="11"/>
  <c r="L47" i="9"/>
  <c r="L53" i="4"/>
  <c r="L44" i="5"/>
  <c r="L85" i="5"/>
  <c r="L55" i="4"/>
  <c r="D52" i="4"/>
  <c r="E52" i="4" s="1"/>
  <c r="C76" i="5"/>
  <c r="C52" i="4"/>
  <c r="I13" i="20"/>
  <c r="M43" i="9" s="1"/>
  <c r="C43" i="9" s="1"/>
  <c r="I14" i="20"/>
  <c r="B12" i="20"/>
  <c r="K126" i="5"/>
  <c r="K125" i="5"/>
  <c r="I65" i="4" l="1"/>
  <c r="I66" i="4" s="1"/>
  <c r="L57" i="4"/>
  <c r="L124" i="5"/>
  <c r="C122" i="5"/>
  <c r="C124" i="5" s="1"/>
  <c r="L45" i="5"/>
  <c r="C45" i="5" s="1"/>
  <c r="C44" i="5"/>
  <c r="L86" i="5"/>
  <c r="L15" i="5"/>
  <c r="L16" i="5" s="1"/>
  <c r="L56" i="4"/>
  <c r="L87" i="5" s="1"/>
  <c r="L81" i="4"/>
  <c r="L82" i="4" s="1"/>
  <c r="L64" i="4"/>
  <c r="D55" i="4"/>
  <c r="E55" i="4" s="1"/>
  <c r="L58" i="4"/>
  <c r="L79" i="4" s="1"/>
  <c r="L17" i="5"/>
  <c r="C55" i="4"/>
  <c r="C86" i="5" s="1"/>
  <c r="C85" i="5"/>
  <c r="B13" i="20"/>
  <c r="B38" i="20"/>
  <c r="B14" i="20"/>
  <c r="B15" i="20" s="1"/>
  <c r="I39" i="20"/>
  <c r="M46" i="9"/>
  <c r="C46" i="9" s="1"/>
  <c r="L89" i="10"/>
  <c r="L51" i="11"/>
  <c r="L68" i="12"/>
  <c r="I15" i="20"/>
  <c r="M45" i="9" s="1"/>
  <c r="C45" i="9" s="1"/>
  <c r="M44" i="9"/>
  <c r="C44" i="9" s="1"/>
  <c r="I70" i="4" l="1"/>
  <c r="I73" i="4" s="1"/>
  <c r="I74" i="4" s="1"/>
  <c r="C58" i="4"/>
  <c r="L18" i="5"/>
  <c r="L89" i="5"/>
  <c r="L69" i="12"/>
  <c r="L52" i="11"/>
  <c r="M47" i="9"/>
  <c r="C47" i="9" s="1"/>
  <c r="L90" i="10"/>
  <c r="B39" i="20"/>
  <c r="E89" i="10"/>
  <c r="D68" i="12"/>
  <c r="C51" i="11"/>
  <c r="L125" i="5"/>
  <c r="L126" i="5"/>
  <c r="I71" i="4" l="1"/>
  <c r="J63" i="4" s="1"/>
  <c r="J65" i="4" s="1"/>
  <c r="J70" i="4" s="1"/>
  <c r="J73" i="4" s="1"/>
  <c r="J74" i="4" s="1"/>
  <c r="E90" i="10"/>
  <c r="D69" i="12"/>
  <c r="C52" i="11"/>
  <c r="J71" i="4" l="1"/>
  <c r="K63" i="4" s="1"/>
  <c r="J66" i="4"/>
  <c r="A35" i="3"/>
  <c r="A34" i="3"/>
  <c r="A33" i="3"/>
  <c r="A32" i="3"/>
  <c r="A31" i="3"/>
  <c r="A30" i="3"/>
  <c r="A29" i="3"/>
  <c r="A28" i="3"/>
  <c r="A27" i="3"/>
  <c r="A26" i="3"/>
  <c r="A25" i="3"/>
  <c r="A24" i="3"/>
  <c r="A23" i="3"/>
  <c r="A22" i="3"/>
  <c r="A21" i="3"/>
  <c r="A20" i="3"/>
  <c r="A19" i="3"/>
  <c r="A18" i="3"/>
  <c r="A17" i="3"/>
  <c r="A16" i="3"/>
  <c r="A15" i="3"/>
  <c r="A14" i="3"/>
  <c r="A13" i="3"/>
  <c r="A12" i="3"/>
  <c r="A11" i="3"/>
  <c r="A10" i="3"/>
  <c r="A9" i="3"/>
  <c r="A4" i="3"/>
  <c r="A2" i="3"/>
  <c r="B27" i="2"/>
  <c r="B26" i="2"/>
  <c r="B25" i="2"/>
  <c r="B24" i="2"/>
  <c r="B23" i="2"/>
  <c r="B22" i="2"/>
  <c r="B21" i="2"/>
  <c r="B20" i="2"/>
  <c r="B19" i="2"/>
  <c r="B18" i="2"/>
  <c r="B17" i="2"/>
  <c r="B16" i="2"/>
  <c r="B15" i="2"/>
  <c r="B14" i="2"/>
  <c r="B13" i="2"/>
  <c r="F12" i="2"/>
  <c r="E12" i="2"/>
  <c r="B12" i="2"/>
  <c r="F11" i="2"/>
  <c r="B11" i="2"/>
  <c r="B10" i="2"/>
  <c r="B9" i="2"/>
  <c r="A5" i="2"/>
  <c r="A2" i="2"/>
  <c r="A5" i="1"/>
  <c r="K65" i="4" l="1"/>
  <c r="K68" i="4"/>
  <c r="K69" i="4" s="1"/>
  <c r="K70" i="4" l="1"/>
  <c r="K73" i="4" s="1"/>
  <c r="K74" i="4" s="1"/>
  <c r="K66" i="4"/>
  <c r="K71" i="4" l="1"/>
  <c r="L63" i="4" s="1"/>
  <c r="L65" i="4" s="1"/>
  <c r="L70" i="4" s="1"/>
  <c r="L73" i="4" s="1"/>
  <c r="L74" i="4" s="1"/>
  <c r="L68" i="4"/>
  <c r="L69" i="4" s="1"/>
  <c r="L66" i="4" l="1"/>
  <c r="L71"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tc={BB9E8B16-2901-42AB-8E19-B45A705FF198}</author>
    <author>tc={082FCBC4-A2E3-4E20-87D4-EB2B17C0EBD7}</author>
    <author>Michael Dang</author>
    <author>tc={37C28FDB-297C-4F5C-9BD5-21C6C53ADB9B}</author>
    <author>tc={76E49DC5-89E4-460C-813A-5B0EC564AAB6}</author>
  </authors>
  <commentList>
    <comment ref="C9" authorId="0" shapeId="0" xr:uid="{BB9E8B16-2901-42AB-8E19-B45A705FF198}">
      <text>
        <t>[Threaded comment]
Your version of Excel allows you to read this threaded comment; however, any edits to it will get removed if the file is opened in a newer version of Excel. Learn more: https://go.microsoft.com/fwlink/?linkid=870924
Comment:
    Freeze pane anchor cell.</t>
      </text>
    </comment>
    <comment ref="B15" authorId="1" shapeId="0" xr:uid="{082FCBC4-A2E3-4E20-87D4-EB2B17C0EBD7}">
      <text>
        <t>[Threaded comment]
Your version of Excel allows you to read this threaded comment; however, any edits to it will get removed if the file is opened in a newer version of Excel. Learn more: https://go.microsoft.com/fwlink/?linkid=870924
Comment:
    Lines renamed to match profile</t>
      </text>
    </comment>
    <comment ref="B26" authorId="2" shapeId="0" xr:uid="{8F6BF288-DD2B-4075-8839-92E8B398DBD7}">
      <text>
        <r>
          <rPr>
            <b/>
            <sz val="9"/>
            <color indexed="81"/>
            <rFont val="Tahoma"/>
            <family val="2"/>
          </rPr>
          <t>Michael Dang:</t>
        </r>
        <r>
          <rPr>
            <sz val="9"/>
            <color indexed="81"/>
            <rFont val="Tahoma"/>
            <family val="2"/>
          </rPr>
          <t xml:space="preserve">
Great Schools for Nevada is a federal Charter School Program (CSP) Grant facilitated by Opportunity 180 to lead the launch and expansion of high-quality public charter schools across our state. As a public education champion and advocacy organization based in Southern Nevada, one key portion of our work is to seek out, vet, and support innovative leaders and high-performing school models. 
https://opportunity180.org/great-schools-for-nevada/ </t>
        </r>
      </text>
    </comment>
    <comment ref="B44" authorId="3" shapeId="0" xr:uid="{37C28FDB-297C-4F5C-9BD5-21C6C53ADB9B}">
      <text>
        <t>[Threaded comment]
Your version of Excel allows you to read this threaded comment; however, any edits to it will get removed if the file is opened in a newer version of Excel. Learn more: https://go.microsoft.com/fwlink/?linkid=870924
Comment:
    Lines renamed to match profile and other tabs</t>
      </text>
    </comment>
    <comment ref="C44" authorId="4" shapeId="0" xr:uid="{76E49DC5-89E4-460C-813A-5B0EC564AAB6}">
      <text>
        <t>[Threaded comment]
Your version of Excel allows you to read this threaded comment; however, any edits to it will get removed if the file is opened in a newer version of Excel. Learn more: https://go.microsoft.com/fwlink/?linkid=870924
Comment:
    Numbers now pulling from depreciation based expenses instead of cash acquisition cost.</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tc={D5FA572C-1A37-44CD-9465-740D888E304E}</author>
    <author>tc={55045738-87C7-4787-BC43-FD7740220A1D}</author>
    <author>tc={4313CB7B-C656-494A-9E6D-A3AA26D274A4}</author>
    <author>Michael Dang</author>
    <author>tc={CC2371A9-2845-4991-AD1E-1CC772767FC6}</author>
  </authors>
  <commentList>
    <comment ref="C9" authorId="0" shapeId="0" xr:uid="{D5FA572C-1A37-44CD-9465-740D888E304E}">
      <text>
        <t>[Threaded comment]
Your version of Excel allows you to read this threaded comment; however, any edits to it will get removed if the file is opened in a newer version of Excel. Learn more: https://go.microsoft.com/fwlink/?linkid=870924
Comment:
    Freeze pane anchor cell.</t>
      </text>
    </comment>
    <comment ref="B76" authorId="1" shapeId="0" xr:uid="{55045738-87C7-4787-BC43-FD7740220A1D}">
      <text>
        <t>[Threaded comment]
Your version of Excel allows you to read this threaded comment; however, any edits to it will get removed if the file is opened in a newer version of Excel. Learn more: https://go.microsoft.com/fwlink/?linkid=870924
Comment:
    lines changed for consistency</t>
      </text>
    </comment>
    <comment ref="B93" authorId="2" shapeId="0" xr:uid="{4313CB7B-C656-494A-9E6D-A3AA26D274A4}">
      <text>
        <t>[Threaded comment]
Your version of Excel allows you to read this threaded comment; however, any edits to it will get removed if the file is opened in a newer version of Excel. Learn more: https://go.microsoft.com/fwlink/?linkid=870924
Comment:
    lines changed for consistency</t>
      </text>
    </comment>
    <comment ref="B99" authorId="3" shapeId="0" xr:uid="{E2E682E7-94EB-4501-AEE5-BECE00A9C964}">
      <text>
        <r>
          <rPr>
            <b/>
            <sz val="9"/>
            <color indexed="81"/>
            <rFont val="Tahoma"/>
            <family val="2"/>
          </rPr>
          <t>Michael Dang:</t>
        </r>
        <r>
          <rPr>
            <sz val="9"/>
            <color indexed="81"/>
            <rFont val="Tahoma"/>
            <family val="2"/>
          </rPr>
          <t xml:space="preserve">
Great Schools for Nevada is a federal Charter School Program (CSP) Grant facilitated by Opportunity 180 to lead the launch and expansion of high-quality public charter schools across our state. As a public education champion and advocacy organization based in Southern Nevada, one key portion of our work is to seek out, vet, and support innovative leaders and high-performing school models. 
https://opportunity180.org/great-schools-for-nevada/ </t>
        </r>
      </text>
    </comment>
    <comment ref="B113" authorId="4" shapeId="0" xr:uid="{CC2371A9-2845-4991-AD1E-1CC772767FC6}">
      <text>
        <t>[Threaded comment]
Your version of Excel allows you to read this threaded comment; however, any edits to it will get removed if the file is opened in a newer version of Excel. Learn more: https://go.microsoft.com/fwlink/?linkid=870924
Comment:
    lines changed for consistency</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tc={A9A8E1EA-613E-4590-ADCA-38CF86A143C3}</author>
    <author>tc={7EAC1B63-7663-4B38-8F29-D74E9386B986}</author>
    <author>tc={536A97DD-C7E0-429D-905C-118DA7D7DDF0}</author>
    <author>tc={FCE9B433-CBA9-44CE-B684-43E550706C1C}</author>
  </authors>
  <commentList>
    <comment ref="B34" authorId="0" shapeId="0" xr:uid="{A9A8E1EA-613E-4590-ADCA-38CF86A143C3}">
      <text>
        <t>[Threaded comment]
Your version of Excel allows you to read this threaded comment; however, any edits to it will get removed if the file is opened in a newer version of Excel. Learn more: https://go.microsoft.com/fwlink/?linkid=870924
Comment:
    A five mile distance as the crow flies or by google maps travel distance.</t>
      </text>
    </comment>
    <comment ref="I34" authorId="1" shapeId="0" xr:uid="{7EAC1B63-7663-4B38-8F29-D74E9386B986}">
      <text>
        <t>[Threaded comment]
Your version of Excel allows you to read this threaded comment; however, any edits to it will get removed if the file is opened in a newer version of Excel. Learn more: https://go.microsoft.com/fwlink/?linkid=870924
Comment:
    Based on Google Maps or another mapping program of your choice.
The distance from the school can be to your targeted location or to nearby cross-streets.</t>
      </text>
    </comment>
    <comment ref="B66" authorId="2" shapeId="0" xr:uid="{536A97DD-C7E0-429D-905C-118DA7D7DDF0}">
      <text>
        <t>[Threaded comment]
Your version of Excel allows you to read this threaded comment; however, any edits to it will get removed if the file is opened in a newer version of Excel. Learn more: https://go.microsoft.com/fwlink/?linkid=870924
Comment:
    A five mile distance as the crow flies or by google maps travel distance.</t>
      </text>
    </comment>
    <comment ref="I66" authorId="3" shapeId="0" xr:uid="{FCE9B433-CBA9-44CE-B684-43E550706C1C}">
      <text>
        <t>[Threaded comment]
Your version of Excel allows you to read this threaded comment; however, any edits to it will get removed if the file is opened in a newer version of Excel. Learn more: https://go.microsoft.com/fwlink/?linkid=870924
Comment:
    Based on Google Maps or another mapping program of your choice.
The distance from the school can be to your targeted location or to nearby cross-streets.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tc={A3036F47-2BC1-41C5-AA02-FB5BAA9F79F9}</author>
    <author>tc={C56F7B53-5083-487A-8A11-F5DF2B36882A}</author>
    <author>Michael Dang</author>
    <author>tc={055E61E2-3B94-45D6-8374-EEED34105E20}</author>
    <author>tc={F89EC3C5-693A-44FE-95E7-E9D8FFD9F83C}</author>
  </authors>
  <commentList>
    <comment ref="D12" authorId="0" shapeId="0" xr:uid="{A3036F47-2BC1-41C5-AA02-FB5BAA9F79F9}">
      <text>
        <t xml:space="preserve">[Threaded comment]
Your version of Excel allows you to read this threaded comment; however, any edits to it will get removed if the file is opened in a newer version of Excel. Learn more: https://go.microsoft.com/fwlink/?linkid=870924
Comment:
    Freeze Pane Anchor cell.
Place cursor here if you wish to freeze the panes so you can see which e so you can continue to see the years for the columns you want to review. </t>
      </text>
    </comment>
    <comment ref="B47" authorId="1" shapeId="0" xr:uid="{C56F7B53-5083-487A-8A11-F5DF2B36882A}">
      <text>
        <t>[Threaded comment]
Your version of Excel allows you to read this threaded comment; however, any edits to it will get removed if the file is opened in a newer version of Excel. Learn more: https://go.microsoft.com/fwlink/?linkid=870924
Comment:
    I would call this "ENROLLMENT BY STUDENT GROUP (Federally Fundable)
Reply:
    Thank you.  It's updated.</t>
      </text>
    </comment>
    <comment ref="B60" authorId="2" shapeId="0" xr:uid="{9E96EB65-83D3-4C49-87E2-36866D804918}">
      <text>
        <r>
          <rPr>
            <b/>
            <sz val="9"/>
            <color indexed="81"/>
            <rFont val="Tahoma"/>
            <family val="2"/>
          </rPr>
          <t>Michael Dang:</t>
        </r>
        <r>
          <rPr>
            <sz val="9"/>
            <color indexed="81"/>
            <rFont val="Tahoma"/>
            <family val="2"/>
          </rPr>
          <t xml:space="preserve">
Your revenue estimates begin with the State Adjusted...section.
Fill in the Total Enrollment section first.
Background information: The Nevada Legislature recently enacted a weighted funding formula. Under this formula, special education students, English learners, gifted and talented students, and at risk students (currently identified as students qualifying for free or reduced-price lunch) receive additional funding. (see SB 439 and SB 458 from the 2021 session of the Nevada Legilsature). Under this funding model, "a pupil who belongs to more than one category of pupils or for whom a school district, charter school or university school for profoundly gifted pupils is eligible to receive the statewide multiplier pursuant to NRS 387.122 must receive only the weighted funding for the single category to which the pupil belongs which has the largest multiplier or the statewide multiplier, whichever is larger. (See NRS 387.1214 as amended by section 4 of SB439). Currently, the largest weighted funding is provided for special educaiton students, followed by English learners, followed by gifted and talented students, followed by at risk students. The SPCSA has used prior year data to develop a formula for an approximate unduplicated count for the purpose of weighted funding. However, schools may choose to override this formula.
There is a one-year lag for adjusted funds...</t>
        </r>
      </text>
    </comment>
    <comment ref="B73" authorId="2" shapeId="0" xr:uid="{2D67A78C-661C-4EE0-B95C-592AA400D780}">
      <text>
        <r>
          <rPr>
            <b/>
            <sz val="9"/>
            <color indexed="81"/>
            <rFont val="Tahoma"/>
            <family val="2"/>
          </rPr>
          <t>Michael Dang:</t>
        </r>
        <r>
          <rPr>
            <sz val="9"/>
            <color indexed="81"/>
            <rFont val="Tahoma"/>
            <family val="2"/>
          </rPr>
          <t xml:space="preserve">
The Nevada Legislature recently enacted a weighted funding formula. Under this formula, special education students, English learners, gifted and talented students, and at risk students (currently identified as students qualifying for free or reduced-price lunch) receive additional funding. (see SB 439 and SB 458 from the 2021 session of the Nevada Legilsature). Under this funding model, "a pupil who belongs to more than one category of pupils or for whom a school district, charter school or university school for profoundly gifted pupils is eligible to receive the statewide multiplier pursuant to NRS 387.122 must receive only the weighted funding for the single category to which the pupil belongs which has the largest multiplier or the statewide multiplier, whichever is larger. 
(See NRS 387.1214 as amended by section 4 of SB439). Currently, the largest weighted funding is provided for special educaiton students, followed by English learners, followed by gifted and talented students, followed by at risk students. 
The SPCSA has used prior year data to develop a formula for an approximate unduplicated count for the purpose of weighted funding. 
However, schools may choose to override this formula.
There is a one-year lag for these adjusted funds. Schools do not receive these funds in the first year of operation.
</t>
        </r>
      </text>
    </comment>
    <comment ref="C73" authorId="2" shapeId="0" xr:uid="{CBF3FB0D-4FBF-4312-BD7F-338B08EB2215}">
      <text>
        <r>
          <rPr>
            <b/>
            <sz val="9"/>
            <color indexed="81"/>
            <rFont val="Tahoma"/>
            <family val="2"/>
          </rPr>
          <t>Michael Dang:</t>
        </r>
        <r>
          <rPr>
            <sz val="9"/>
            <color indexed="81"/>
            <rFont val="Tahoma"/>
            <family val="2"/>
          </rPr>
          <t xml:space="preserve">
This may go over 100% as it is showing an estimate of overlap which is addressed in the rest of the table.</t>
        </r>
      </text>
    </comment>
    <comment ref="B76" authorId="2" shapeId="0" xr:uid="{E21F33E7-E179-445B-AFF5-3F3820DD99F0}">
      <text>
        <r>
          <rPr>
            <b/>
            <sz val="9"/>
            <color indexed="81"/>
            <rFont val="Tahoma"/>
            <family val="2"/>
          </rPr>
          <t>Michael Dang:</t>
        </r>
        <r>
          <rPr>
            <sz val="9"/>
            <color indexed="81"/>
            <rFont val="Tahoma"/>
            <family val="2"/>
          </rPr>
          <t xml:space="preserve">
Greater accuracy will reduce over/under payments and payment adjustments.</t>
        </r>
      </text>
    </comment>
    <comment ref="G76" authorId="2" shapeId="0" xr:uid="{112DFFA5-4472-450E-A353-779B705CB725}">
      <text>
        <r>
          <rPr>
            <b/>
            <sz val="9"/>
            <color indexed="81"/>
            <rFont val="Tahoma"/>
            <family val="2"/>
          </rPr>
          <t>Michael Dang:</t>
        </r>
        <r>
          <rPr>
            <sz val="9"/>
            <color indexed="81"/>
            <rFont val="Tahoma"/>
            <family val="2"/>
          </rPr>
          <t xml:space="preserve">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H76" authorId="2" shapeId="0" xr:uid="{33FA4B2F-9292-497F-930A-AE7C0EF309A5}">
      <text>
        <r>
          <rPr>
            <b/>
            <sz val="9"/>
            <color indexed="81"/>
            <rFont val="Tahoma"/>
            <family val="2"/>
          </rPr>
          <t>Michael Dang:</t>
        </r>
        <r>
          <rPr>
            <sz val="9"/>
            <color indexed="81"/>
            <rFont val="Tahoma"/>
            <family val="2"/>
          </rPr>
          <t xml:space="preserve">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I76" authorId="2" shapeId="0" xr:uid="{81D86F29-29E6-44F9-BC16-06CEAA5E0625}">
      <text>
        <r>
          <rPr>
            <b/>
            <sz val="9"/>
            <color indexed="81"/>
            <rFont val="Tahoma"/>
            <family val="2"/>
          </rPr>
          <t>Michael Dang:</t>
        </r>
        <r>
          <rPr>
            <sz val="9"/>
            <color indexed="81"/>
            <rFont val="Tahoma"/>
            <family val="2"/>
          </rPr>
          <t xml:space="preserve">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J76" authorId="2" shapeId="0" xr:uid="{0DC7FD53-EF60-418E-87A8-5B4294D18D66}">
      <text>
        <r>
          <rPr>
            <b/>
            <sz val="9"/>
            <color indexed="81"/>
            <rFont val="Tahoma"/>
            <family val="2"/>
          </rPr>
          <t>Michael Dang:</t>
        </r>
        <r>
          <rPr>
            <sz val="9"/>
            <color indexed="81"/>
            <rFont val="Tahoma"/>
            <family val="2"/>
          </rPr>
          <t xml:space="preserve">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K76" authorId="2" shapeId="0" xr:uid="{FEFF312F-DAA4-45C8-926D-4ACEFB3FA474}">
      <text>
        <r>
          <rPr>
            <b/>
            <sz val="9"/>
            <color indexed="81"/>
            <rFont val="Tahoma"/>
            <family val="2"/>
          </rPr>
          <t>Michael Dang:</t>
        </r>
        <r>
          <rPr>
            <sz val="9"/>
            <color indexed="81"/>
            <rFont val="Tahoma"/>
            <family val="2"/>
          </rPr>
          <t xml:space="preserve">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L76" authorId="2" shapeId="0" xr:uid="{EE0986A8-C944-4722-929E-0AC651E0E699}">
      <text>
        <r>
          <rPr>
            <b/>
            <sz val="9"/>
            <color indexed="81"/>
            <rFont val="Tahoma"/>
            <family val="2"/>
          </rPr>
          <t>Michael Dang:</t>
        </r>
        <r>
          <rPr>
            <sz val="9"/>
            <color indexed="81"/>
            <rFont val="Tahoma"/>
            <family val="2"/>
          </rPr>
          <t xml:space="preserve">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B78" authorId="2" shapeId="0" xr:uid="{3983F842-E762-440C-BAC7-01DBC394D00A}">
      <text>
        <r>
          <rPr>
            <b/>
            <sz val="9"/>
            <color indexed="81"/>
            <rFont val="Tahoma"/>
            <family val="2"/>
          </rPr>
          <t>Michael Dang:</t>
        </r>
        <r>
          <rPr>
            <sz val="9"/>
            <color indexed="81"/>
            <rFont val="Tahoma"/>
            <family val="2"/>
          </rPr>
          <t xml:space="preserve">
The same Per Pupil Revenue (PPR) amount is now paid for all Distance Education students--regardless of the county/district they are in.
All other applications should select the appropriate District/County where they will be conducting In Person teaching.</t>
        </r>
      </text>
    </comment>
    <comment ref="D84" authorId="2" shapeId="0" xr:uid="{A06C6214-E029-4524-9FCD-8605F2D5CD17}">
      <text>
        <r>
          <rPr>
            <b/>
            <sz val="9"/>
            <color indexed="81"/>
            <rFont val="Tahoma"/>
            <family val="2"/>
          </rPr>
          <t>Michael Dang:</t>
        </r>
        <r>
          <rPr>
            <sz val="9"/>
            <color indexed="81"/>
            <rFont val="Tahoma"/>
            <family val="2"/>
          </rPr>
          <t xml:space="preserve">
2025 Rates: $3,845 PP
$3,694 PP w/o inflation, replaces
$2,755.30 per pupil (subject to change depending on actual enrollment of SPED students) 
SPED FY22 Payment Book- 7.6.21</t>
        </r>
      </text>
    </comment>
    <comment ref="C99" authorId="3" shapeId="0" xr:uid="{055E61E2-3B94-45D6-8374-EEED34105E20}">
      <text>
        <t>[Threaded comment]
Your version of Excel allows you to read this threaded comment; however, any edits to it will get removed if the file is opened in a newer version of Excel. Learn more: https://go.microsoft.com/fwlink/?linkid=870924
Comment:
    From $350. 2019.11.14
Reply:
    August 26, 2021 em from RF: $400 PP
Reply:
    RF 8/26/21 em @ $400</t>
      </text>
    </comment>
    <comment ref="C100" authorId="2" shapeId="0" xr:uid="{B59CBA5A-79BA-4B3C-8F37-96D7A9776293}">
      <text>
        <r>
          <rPr>
            <b/>
            <sz val="9"/>
            <color indexed="81"/>
            <rFont val="Tahoma"/>
            <family val="2"/>
          </rPr>
          <t>Michael Dang:</t>
        </r>
        <r>
          <rPr>
            <sz val="9"/>
            <color indexed="81"/>
            <rFont val="Tahoma"/>
            <family val="2"/>
          </rPr>
          <t xml:space="preserve">
RF 8/26/21 em @ $66</t>
        </r>
      </text>
    </comment>
    <comment ref="C101" authorId="2" shapeId="0" xr:uid="{E9D09A76-8E03-44CF-BBA0-3F8809BFFD80}">
      <text>
        <r>
          <rPr>
            <b/>
            <sz val="9"/>
            <color indexed="81"/>
            <rFont val="Tahoma"/>
            <family val="2"/>
          </rPr>
          <t>Michael Dang:</t>
        </r>
        <r>
          <rPr>
            <sz val="9"/>
            <color indexed="81"/>
            <rFont val="Tahoma"/>
            <family val="2"/>
          </rPr>
          <t xml:space="preserve">
RF 8/26/21 em @ $4</t>
        </r>
      </text>
    </comment>
    <comment ref="C102" authorId="2" shapeId="0" xr:uid="{06E63A4D-6EF5-411B-9956-7F204508B595}">
      <text>
        <r>
          <rPr>
            <b/>
            <sz val="9"/>
            <color indexed="81"/>
            <rFont val="Tahoma"/>
            <family val="2"/>
          </rPr>
          <t>Michael Dang:</t>
        </r>
        <r>
          <rPr>
            <sz val="9"/>
            <color indexed="81"/>
            <rFont val="Tahoma"/>
            <family val="2"/>
          </rPr>
          <t xml:space="preserve">
RF 8/26/21 em @ $97</t>
        </r>
      </text>
    </comment>
    <comment ref="C104" authorId="2" shapeId="0" xr:uid="{81F4EB87-CBD0-41D4-85BA-6EFA325A14EC}">
      <text>
        <r>
          <rPr>
            <b/>
            <sz val="9"/>
            <color indexed="81"/>
            <rFont val="Tahoma"/>
            <family val="2"/>
          </rPr>
          <t>Michael Dang:</t>
        </r>
        <r>
          <rPr>
            <sz val="9"/>
            <color indexed="81"/>
            <rFont val="Tahoma"/>
            <family val="2"/>
          </rPr>
          <t xml:space="preserve">
8/26/2021 RF em
IDEA SPED-B @ $1005/Special Education Student</t>
        </r>
      </text>
    </comment>
    <comment ref="B118" authorId="4" shapeId="0" xr:uid="{F89EC3C5-693A-44FE-95E7-E9D8FFD9F83C}">
      <text>
        <t>[Threaded comment]
Your version of Excel allows you to read this threaded comment; however, any edits to it will get removed if the file is opened in a newer version of Excel. Learn more: https://go.microsoft.com/fwlink/?linkid=870924
Comment:
    Inflation adjustor applied to base rate only, to be conservative.</t>
      </text>
    </comment>
    <comment ref="B133" authorId="2" shapeId="0" xr:uid="{0B9D38B6-79E1-459F-8206-2E60B97DF57B}">
      <text>
        <r>
          <rPr>
            <b/>
            <sz val="9"/>
            <color indexed="81"/>
            <rFont val="Tahoma"/>
            <family val="2"/>
          </rPr>
          <t>Michael Dang:</t>
        </r>
        <r>
          <rPr>
            <sz val="9"/>
            <color indexed="81"/>
            <rFont val="Tahoma"/>
            <family val="2"/>
          </rPr>
          <t xml:space="preserve">
Replication and Expansion of High-Quality Schools 
Grants for the Replication and Expansion of High-Quality Schools (R&amp;E grants) provide funding for nonprofit charter management organizations (CMOs) serving two or more schools. These funds do not flow through state education agencies; they are awarded directly by the U.S. Department of Education to CMOs that have successful track records in improving student achievement. These charter school leaders must show evidence of increasing academic achievement and attainment for all students, have sound financial and business management plans, and have plans in place to close schools that do not meet high standards of academic performance. Since 2010, 24 nonprofit CMOs have opened more than 400 new schools in 23 states and the District of Columbia. 
http://www.publiccharters.org/sites/default/files/migrated/wp-content/uploads/2016/01/National-Alliance-Federal-Role-Charters.pdf</t>
        </r>
      </text>
    </comment>
    <comment ref="B135" authorId="2" shapeId="0" xr:uid="{E9052204-4684-46D2-9E8F-447117B226FC}">
      <text>
        <r>
          <rPr>
            <b/>
            <sz val="9"/>
            <color indexed="81"/>
            <rFont val="Tahoma"/>
            <family val="2"/>
          </rPr>
          <t>Michael Dang:</t>
        </r>
        <r>
          <rPr>
            <sz val="9"/>
            <color indexed="81"/>
            <rFont val="Tahoma"/>
            <family val="2"/>
          </rPr>
          <t xml:space="preserve">
State Education Agency grant program (SEA grants)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tc={7A40A35B-9C1D-4D1C-A822-550C7B75143D}</author>
    <author>tc={C40B2D5A-0BEF-4C02-8FCF-FEA7F914C08D}</author>
    <author>tc={53A0089D-3BEE-42BA-9584-E0B9CD52AD0B}</author>
    <author>tc={83710158-A20C-4DD6-A7B2-27BECBF398C5}</author>
    <author>tc={E8468B49-FCE9-4534-922A-0DD55AA6AC7C}</author>
    <author>tc={4523562A-0602-46F6-8118-FD9A1D5599BC}</author>
    <author>Michael Dang</author>
    <author>tc={9DBB9C74-13CC-45F4-9311-3D66D8BAD4A5}</author>
  </authors>
  <commentList>
    <comment ref="C59" authorId="0" shapeId="0" xr:uid="{7A40A35B-9C1D-4D1C-A822-550C7B75143D}">
      <text>
        <t xml:space="preserve">[Threaded comment]
Your version of Excel allows you to read this threaded comment; however, any edits to it will get removed if the file is opened in a newer version of Excel. Learn more: https://go.microsoft.com/fwlink/?linkid=870924
Comment:
    7.65% for employees on Social Security
1.45% for employees on PERS
Applicants should derive a weighted average estimate FICA rate depending on how many SS employees they plan to have versus PERS employees.
FICA is the Federal Insurance Contributions Act.  
https://defcomp.nv.gov/Resources/FICA_Info___FAQ_s/#:~:text=How%20much%20do%20I%20have,on%20a%20tax%20deferred%20basis.
How much do I have to contribute from my paycheck?
You must contribute 7.5% of your gross compensation per pay period to the Plan. Your contributions are made on a tax deferred basis.
</t>
      </text>
    </comment>
    <comment ref="C60" authorId="1" shapeId="0" xr:uid="{C40B2D5A-0BEF-4C02-8FCF-FEA7F914C08D}">
      <text>
        <t>[Threaded comment]
Your version of Excel allows you to read this threaded comment; however, any edits to it will get removed if the file is opened in a newer version of Excel. Learn more: https://go.microsoft.com/fwlink/?linkid=870924
Comment:
    For full EPC, use new rate:  Contribution Rate Changes – Employer Pay Contribution (EPC) Plan:  Regular Members – will increase from 29.75% to 33.50.
As of July 1, 2023
Use a blended rate between the EPC and the EE/Er rates, depending on your estimates of type of participation by your employees. 
https://www.nvpers.org/sites/default/files/publications/21735_NV_PERS_News_2022_p6_1.pdf</t>
      </text>
    </comment>
    <comment ref="C62" authorId="2" shapeId="0" xr:uid="{53A0089D-3BEE-42BA-9584-E0B9CD52AD0B}">
      <text>
        <t xml:space="preserve">[Threaded comment]
Your version of Excel allows you to read this threaded comment; however, any edits to it will get removed if the file is opened in a newer version of Excel. Learn more: https://go.microsoft.com/fwlink/?linkid=870924
Comment:
    8/10/20  
GASB Statement No. 45 (Superseded by GASB Statement 75 eff. FY 2018)
GASB 45 recognizes the liability within a footnote of the financial statements, with only a portion of the total liability going on the book through the Net OPEB Obligation. GASB 75 does away with the Net OPEB Obligation, requiring the full liability to be recognized immediately on the balance sheet.
Move over GASB 45, here comes GASB 75​ | The Burke Groupburkegroup.com 
GASB 75 = Accounting and Financial Reporting for Postemployment Benefits Other Than Pensionshttps://www.gasb.org/jsp/GASB/Document_C/DocumentPage?cid=1176166144750&amp;acceptedDisclaimer=true
Notes re GASB 45
https://www.trs.texas.gov/Pages/re_gasb_45.aspx 
GASB Statement No. 45, Accounting and Financial Reporting by Employers for Postemployment Benefits Other Than Pensions became effective in three phases based on a government's total annual revenues in the first fiscal year ending after June 15, 1999 with all employers implementing by periods beginning after December 15, 2008 or earlier.
This statement establishes standards for the measurement, recognition, and display of other postemployment benefits (OPEB) expense/expenditure and related liabilities (assets), note disclosures, and if applicable required supplementary information (RSI) in the financial reports of state and local government employers.
The Teacher Retirement System of Texas is furnishing this information to assist reporting employer in complying with the GASB requirements. Certain information required by GASB 45 will have to be derived from the reporting employer's payroll records. Please forward this document to your reporting employer's financial/accounting manager and your auditor.
</t>
      </text>
    </comment>
    <comment ref="C63" authorId="3" shapeId="0" xr:uid="{83710158-A20C-4DD6-A7B2-27BECBF398C5}">
      <text>
        <t>[Threaded comment]
Your version of Excel allows you to read this threaded comment; however, any edits to it will get removed if the file is opened in a newer version of Excel. Learn more: https://go.microsoft.com/fwlink/?linkid=870924
Comment:
    Unemployment Insurance Information 
https://ui.nv.gov/ESSHTML/ui_information.htm
Unemployment Insurance Rates:
Employing Units in Nevada, who meet registration requirements, must pay unemployment insurance (UI) tax at a rate of 2.95 percent (.0295) of wages paid to each employee up to the taxable wage limit.  The employer retains this rate for a period of 14 to 17 calendar quarters (this is dependent on the quarter in which the employer becomes subject to the law), after which the rate will be determined under the "Experience Rating" system. An additional .05 percent (.0005) tax is charged for the Career Enhancement Program (CEP).
See website for more information.</t>
      </text>
    </comment>
    <comment ref="C64" authorId="4" shapeId="0" xr:uid="{E8468B49-FCE9-4534-922A-0DD55AA6AC7C}">
      <text>
        <t xml:space="preserve">[Threaded comment]
Your version of Excel allows you to read this threaded comment; however, any edits to it will get removed if the file is opened in a newer version of Excel. Learn more: https://go.microsoft.com/fwlink/?linkid=870924
Comment:
    Employer costs for workers’ compensation insurance (per $100 of covered wages)
https://pieinsurance.com/blog/workers-comp/workers-comp-how-much/
</t>
      </text>
    </comment>
    <comment ref="G142" authorId="5" shapeId="0" xr:uid="{4523562A-0602-46F6-8118-FD9A1D5599BC}">
      <text>
        <t>[Threaded comment]
Your version of Excel allows you to read this threaded comment; however, any edits to it will get removed if the file is opened in a newer version of Excel. Learn more: https://go.microsoft.com/fwlink/?linkid=870924
Comment:
    You may now increase/decrease staff counts in this section of the model.</t>
      </text>
    </comment>
    <comment ref="B398" authorId="6" shapeId="0" xr:uid="{B15DB142-3460-4265-B7BA-F2C9620A0C27}">
      <text>
        <r>
          <rPr>
            <b/>
            <sz val="9"/>
            <color indexed="81"/>
            <rFont val="Tahoma"/>
            <family val="2"/>
          </rPr>
          <t>Michael Dang:</t>
        </r>
        <r>
          <rPr>
            <sz val="9"/>
            <color indexed="81"/>
            <rFont val="Tahoma"/>
            <family val="2"/>
          </rPr>
          <t xml:space="preserve">
This inflation formula provides a compound estimated inflation amount applied to the total of alll salaries above it.  The user does not need to apply a compounding inflator to their salaries as the formula being used here will apply the inflator each year.
We could allow for a custom inflator, if the demand is sufficient for it.
This model allows direct or manual data entry into the data entry cells--though not to the collecting/totalling cells.   </t>
        </r>
      </text>
    </comment>
    <comment ref="B431" authorId="7" shapeId="0" xr:uid="{9DBB9C74-13CC-45F4-9311-3D66D8BAD4A5}">
      <text>
        <t>[Threaded comment]
Your version of Excel allows you to read this threaded comment; however, any edits to it will get removed if the file is opened in a newer version of Excel. Learn more: https://go.microsoft.com/fwlink/?linkid=870924
Comment:
    E.g., 0.5 + 0.5 + 0.25 + 0.6 = 1.85 PTE</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tc={48C2A621-6B13-4C46-BB1B-BEEBC9EED570}</author>
    <author>Michael Dang</author>
    <author>tc={D806F001-185D-42C8-A14E-9738FBA04213}</author>
    <author>tc={00CE8DC1-E86A-4DDB-A5AD-3148CAF60DC3}</author>
    <author>tc={A5CB8C2E-6CB9-4BB2-B4CA-39FBFBAC1014}</author>
    <author>tc={0FE79C03-DFB1-4194-BD85-CC71D4EBAAAE}</author>
    <author>tc={E93D1CA9-B29F-4CD6-93E1-5144CCD1A228}</author>
    <author>tc={DE963E80-988E-4557-BDFB-3D52FD37A9DE}</author>
    <author>tc={B05B5C98-9D5D-4EFA-A91D-F10DD99284DF}</author>
    <author>tc={56EB2932-9C75-4111-9CC8-0C523580C53C}</author>
    <author>tc={4BFA54E0-D5EC-488B-A11D-B0892F63D52B}</author>
    <author>tc={7A663282-E6E4-48CC-A3CB-2F67C116C297}</author>
    <author>tc={DA68091B-4A61-47C0-809B-4EC1053880FB}</author>
    <author>tc={CE73B9F6-92F3-40FE-BEC7-8013847310D1}</author>
    <author>tc={B4CB54F2-A139-4040-A82E-A277C8B0A818}</author>
    <author>tc={FD4924AC-BA3F-4D5D-B1D6-28FC934B00AF}</author>
  </authors>
  <commentList>
    <comment ref="C9" authorId="0" shapeId="0" xr:uid="{48C2A621-6B13-4C46-BB1B-BEEBC9EED570}">
      <text>
        <t>[Threaded comment]
Your version of Excel allows you to read this threaded comment; however, any edits to it will get removed if the file is opened in a newer version of Excel. Learn more: https://go.microsoft.com/fwlink/?linkid=870924
Comment:
    Freeze Pane Anchor cell</t>
      </text>
    </comment>
    <comment ref="F23" authorId="1" shapeId="0" xr:uid="{FB66D5DD-807D-4007-B825-CEEA70721070}">
      <text>
        <r>
          <rPr>
            <b/>
            <sz val="9"/>
            <color indexed="81"/>
            <rFont val="Tahoma"/>
            <family val="2"/>
          </rPr>
          <t>Michael Dang:</t>
        </r>
        <r>
          <rPr>
            <sz val="9"/>
            <color indexed="81"/>
            <rFont val="Tahoma"/>
            <family val="2"/>
          </rPr>
          <t xml:space="preserve">
Overwrite this with the actual lease rate likely for a new occupancy and partial year.</t>
        </r>
      </text>
    </comment>
    <comment ref="F40" authorId="2" shapeId="0" xr:uid="{D806F001-185D-42C8-A14E-9738FBA04213}">
      <text>
        <t>[Threaded comment]
Your version of Excel allows you to read this threaded comment; however, any edits to it will get removed if the file is opened in a newer version of Excel. Learn more: https://go.microsoft.com/fwlink/?linkid=870924
Comment:
    added capitalization assumption for capital outlay.  15 year depreciation schedule used based on Nevada Personal Property Manual (PPM)</t>
      </text>
    </comment>
    <comment ref="G40" authorId="3" shapeId="0" xr:uid="{00CE8DC1-E86A-4DDB-A5AD-3148CAF60DC3}">
      <text>
        <t>[Threaded comment]
Your version of Excel allows you to read this threaded comment; however, any edits to it will get removed if the file is opened in a newer version of Excel. Learn more: https://go.microsoft.com/fwlink/?linkid=870924
Comment:
    added capitalization assumption for capital outlay.  15 year depreciation schedule used based on Nevada Personal Property Manual (PPM)</t>
      </text>
    </comment>
    <comment ref="F41" authorId="4" shapeId="0" xr:uid="{A5CB8C2E-6CB9-4BB2-B4CA-39FBFBAC1014}">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G41" authorId="5" shapeId="0" xr:uid="{0FE79C03-DFB1-4194-BD85-CC71D4EBAAAE}">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H41" authorId="6" shapeId="0" xr:uid="{E93D1CA9-B29F-4CD6-93E1-5144CCD1A228}">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I41" authorId="7" shapeId="0" xr:uid="{DE963E80-988E-4557-BDFB-3D52FD37A9DE}">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J41" authorId="8" shapeId="0" xr:uid="{B05B5C98-9D5D-4EFA-A91D-F10DD99284DF}">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K41" authorId="9" shapeId="0" xr:uid="{56EB2932-9C75-4111-9CC8-0C523580C53C}">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L41" authorId="10" shapeId="0" xr:uid="{4BFA54E0-D5EC-488B-A11D-B0892F63D52B}">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F71" authorId="11" shapeId="0" xr:uid="{7A663282-E6E4-48CC-A3CB-2F67C116C297}">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G71" authorId="12" shapeId="0" xr:uid="{DA68091B-4A61-47C0-809B-4EC1053880FB}">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F72" authorId="13" shapeId="0" xr:uid="{CE73B9F6-92F3-40FE-BEC7-8013847310D1}">
      <text>
        <t>[Threaded comment]
Your version of Excel allows you to read this threaded comment; however, any edits to it will get removed if the file is opened in a newer version of Excel. Learn more: https://go.microsoft.com/fwlink/?linkid=870924
Comment:
    Added a depreciation schedule for new building purchase/construction using a 50 year asset life per the Nevada PPM.</t>
      </text>
    </comment>
    <comment ref="G72" authorId="14" shapeId="0" xr:uid="{B4CB54F2-A139-4040-A82E-A277C8B0A818}">
      <text>
        <t>[Threaded comment]
Your version of Excel allows you to read this threaded comment; however, any edits to it will get removed if the file is opened in a newer version of Excel. Learn more: https://go.microsoft.com/fwlink/?linkid=870924
Comment:
    Added a depreciation schedule for new building purchase/construction using a 50 year asset life per the Nevada PPM.</t>
      </text>
    </comment>
    <comment ref="F76" authorId="15" shapeId="0" xr:uid="{FD4924AC-BA3F-4D5D-B1D6-28FC934B00AF}">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tc={068CCA76-9343-4D78-B2D9-7AB7B1A275E3}</author>
    <author>tc={6BEAB8F9-2851-47CB-81D3-55DFE1CD0587}</author>
    <author>tc={6D7E21B9-B08B-4527-8A51-24FAAE665BD5}</author>
    <author>tc={8B9D2174-21A5-4C9F-BCCF-4B34E06D41FE}</author>
    <author>tc={10454E59-067C-42C2-A703-158F52048543}</author>
    <author>tc={4A42571C-612B-44E4-863E-E6FE470F00A2}</author>
    <author>Michael Dang</author>
  </authors>
  <commentList>
    <comment ref="D12" authorId="0" shapeId="0" xr:uid="{068CCA76-9343-4D78-B2D9-7AB7B1A275E3}">
      <text>
        <t xml:space="preserve">[Threaded comment]
Your version of Excel allows you to read this threaded comment; however, any edits to it will get removed if the file is opened in a newer version of Excel. Learn more: https://go.microsoft.com/fwlink/?linkid=870924
Comment:
    Freeze Pane Anchor cell.
Place cursor here if you wish to freeze the panes so you can see which e so you can continue to see the years for the columns you want to review. </t>
      </text>
    </comment>
    <comment ref="B66" authorId="1" shapeId="0" xr:uid="{6BEAB8F9-2851-47CB-81D3-55DFE1CD0587}">
      <text>
        <t>[Threaded comment]
Your version of Excel allows you to read this threaded comment; however, any edits to it will get removed if the file is opened in a newer version of Excel. Learn more: https://go.microsoft.com/fwlink/?linkid=870924
Comment:
    removed marketing from this section</t>
      </text>
    </comment>
    <comment ref="D146" authorId="2" shapeId="0" xr:uid="{6D7E21B9-B08B-4527-8A51-24FAAE665BD5}">
      <text>
        <t>[Threaded comment]
Your version of Excel allows you to read this threaded comment; however, any edits to it will get removed if the file is opened in a newer version of Excel. Learn more: https://go.microsoft.com/fwlink/?linkid=870924
Comment:
    Per student</t>
      </text>
    </comment>
    <comment ref="D147" authorId="3" shapeId="0" xr:uid="{8B9D2174-21A5-4C9F-BCCF-4B34E06D41FE}">
      <text>
        <t>[Threaded comment]
Your version of Excel allows you to read this threaded comment; however, any edits to it will get removed if the file is opened in a newer version of Excel. Learn more: https://go.microsoft.com/fwlink/?linkid=870924
Comment:
    Per student (not covered by Title I)</t>
      </text>
    </comment>
    <comment ref="D148" authorId="4" shapeId="0" xr:uid="{10454E59-067C-42C2-A703-158F52048543}">
      <text>
        <t>[Threaded comment]
Your version of Excel allows you to read this threaded comment; however, any edits to it will get removed if the file is opened in a newer version of Excel. Learn more: https://go.microsoft.com/fwlink/?linkid=870924
Comment:
    Per student</t>
      </text>
    </comment>
    <comment ref="D149" authorId="5" shapeId="0" xr:uid="{4A42571C-612B-44E4-863E-E6FE470F00A2}">
      <text>
        <t>[Threaded comment]
Your version of Excel allows you to read this threaded comment; however, any edits to it will get removed if the file is opened in a newer version of Excel. Learn more: https://go.microsoft.com/fwlink/?linkid=870924
Comment:
    Input "yes or "no"</t>
      </text>
    </comment>
    <comment ref="B195" authorId="6" shapeId="0" xr:uid="{8CA635EC-210D-4D94-B158-8C9E7CD05EB3}">
      <text>
        <r>
          <rPr>
            <b/>
            <sz val="9"/>
            <color indexed="81"/>
            <rFont val="Tahoma"/>
            <family val="2"/>
          </rPr>
          <t>Michael Dang:</t>
        </r>
        <r>
          <rPr>
            <sz val="9"/>
            <color indexed="81"/>
            <rFont val="Tahoma"/>
            <family val="2"/>
          </rPr>
          <t xml:space="preserve">
Current formula assumes costs above are entered at today's costs and this formula will inflate those costs for future years.
Otherwise we would want to use this formula, starting in G121:
=SUM(G119,G110,G102)*$C$121</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tc={F97CC90A-6DAF-4D7E-998B-8F4ECD0B3F7E}</author>
    <author>tc={B4669308-3D82-42EE-85DE-D4225B3F4812}</author>
  </authors>
  <commentList>
    <comment ref="C13" authorId="0" shapeId="0" xr:uid="{F97CC90A-6DAF-4D7E-998B-8F4ECD0B3F7E}">
      <text>
        <t>[Threaded comment]
Your version of Excel allows you to read this threaded comment; however, any edits to it will get removed if the file is opened in a newer version of Excel. Learn more: https://go.microsoft.com/fwlink/?linkid=870924
Comment:
    added depreciation schedules with asset lives based on their category in the Nevada PPM</t>
      </text>
    </comment>
    <comment ref="C18" authorId="1" shapeId="0" xr:uid="{B4669308-3D82-42EE-85DE-D4225B3F4812}">
      <text>
        <t>[Threaded comment]
Your version of Excel allows you to read this threaded comment; however, any edits to it will get removed if the file is opened in a newer version of Excel. Learn more: https://go.microsoft.com/fwlink/?linkid=870924
Comment:
    you can comment here</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tc={1987EE7F-FBB3-419B-A306-AA480037A858}</author>
  </authors>
  <commentList>
    <comment ref="B36" authorId="0" shapeId="0" xr:uid="{1987EE7F-FBB3-419B-A306-AA480037A858}">
      <text>
        <t xml:space="preserve">[Threaded comment]
Your version of Excel allows you to read this threaded comment; however, any edits to it will get removed if the file is opened in a newer version of Excel. Learn more: https://go.microsoft.com/fwlink/?linkid=870924
Comment:
    Keep at &gt;=1 in FTE section; use PT section for PT, like 0.5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<sst xmlns="http://schemas.openxmlformats.org/spreadsheetml/2006/main" count="2564" uniqueCount="1423">
  <si>
    <t>APPLICATION START PAGE</t>
  </si>
  <si>
    <t>Instructions</t>
  </si>
  <si>
    <t>Mike Dang, 702.486.8879</t>
  </si>
  <si>
    <t>TOC</t>
  </si>
  <si>
    <t>FINANCIAL PLAN WORKBOOK INSTRUCTIONS</t>
  </si>
  <si>
    <t xml:space="preserve">This New School Application Financial Plan/Pro Forma workbook was designed to show the financial implications of a school plan and assumptions before and during a six-year school contract.  It enables the applicant, the SPCSA and other stakeholders to analyze potential fiscal impacts of that plan.  This is a protected workbook and data should only be entered in the unprotected cells (yellow cells). To maximize usage of the Financial Plan Workbook, please familiarize yourself with the following general instructions prior to data entry.  
We have tried to design this to be as simple as possible yet as comprehensive as possible to help applicants think through fiscal impacting assumptions and for reviewers to see the impacts of those assumptions.
Contact us with any questions.  </t>
  </si>
  <si>
    <t>School Inputs</t>
  </si>
  <si>
    <t xml:space="preserve">Enter your assumptions in the light yellow cells of the various tabs of this workbook, beginning with the Cover "tab" or "worksheet."  Overwrite any placeholder assumptions currently in those cells.
FTE stands for Full-Time Equivalent.  If this term is unfamiliar, please consult with an individual experienced in budgeting and pupil accounting. If your budget plans include staff less than full time use a decimal to indicate the portion.  Contact or inform the State Public Charter School Authority of this if you perceive any issues in the related expennses and other impacts in this budget tool. </t>
  </si>
  <si>
    <t>Cover tab</t>
  </si>
  <si>
    <t>Begin filling out your application on this tab. Information loaded there is used and shown on other tabs.</t>
  </si>
  <si>
    <t>Checklist &amp; TOC tab</t>
  </si>
  <si>
    <t>Use this Checklist and Table of Contents tab to help ensure your application is complete and to navigate this pro forma part of your  application.</t>
  </si>
  <si>
    <t>Summary tab</t>
  </si>
  <si>
    <t>No entry needed on this tab</t>
  </si>
  <si>
    <t>Statistics tab</t>
  </si>
  <si>
    <t>Use this tab to review and contextualize your school plan in a fiscal/financial context.</t>
  </si>
  <si>
    <t>Market Research tab</t>
  </si>
  <si>
    <t>Use this tab to show your target market, planned enrollments, potential demand, estimated conversion rates and demographics of the "feeder" schools in your  planned service area.</t>
  </si>
  <si>
    <t>Enrol &amp; Rev tab</t>
  </si>
  <si>
    <t>Basic Information</t>
  </si>
  <si>
    <r>
      <rPr>
        <b/>
        <sz val="11"/>
        <color indexed="8"/>
        <rFont val="Calibri"/>
        <family val="2"/>
      </rPr>
      <t>1.</t>
    </r>
    <r>
      <rPr>
        <sz val="11"/>
        <color theme="1"/>
        <rFont val="Aptos Narrow"/>
        <family val="2"/>
        <scheme val="minor"/>
      </rPr>
      <t xml:space="preserve"> Please enter a Base Year into 'H2'. Additionally, please enter the appropriate school years in cells H5 through N5 as well as H6 through N6.</t>
    </r>
  </si>
  <si>
    <r>
      <rPr>
        <b/>
        <sz val="11"/>
        <color indexed="8"/>
        <rFont val="Calibri"/>
        <family val="2"/>
      </rPr>
      <t>2.</t>
    </r>
    <r>
      <rPr>
        <sz val="11"/>
        <color theme="1"/>
        <rFont val="Aptos Narrow"/>
        <family val="2"/>
        <scheme val="minor"/>
      </rPr>
      <t xml:space="preserve"> Next, be sure to enter your projected student enrollment in the enrollment section. This section caputres the number of students by grade level (Rows 7-21) and by school year (Columns H-N). </t>
    </r>
  </si>
  <si>
    <r>
      <rPr>
        <b/>
        <sz val="11"/>
        <color indexed="8"/>
        <rFont val="Calibri"/>
        <family val="2"/>
      </rPr>
      <t>3.</t>
    </r>
    <r>
      <rPr>
        <sz val="11"/>
        <color theme="1"/>
        <rFont val="Aptos Narrow"/>
        <family val="2"/>
        <scheme val="minor"/>
      </rPr>
      <t xml:space="preserve"> In cells I24 through N25, please enter your school's percentage of Title 1 students. Similarly, in cells I24 through N24, enter your institution's percentage of special education students.</t>
    </r>
  </si>
  <si>
    <t xml:space="preserve">The Pupil Centered Funding Plan (PCFP) funding per student is automatically populated depending on the county where the school is located (Cell F57).   If the school will be a single-district or multi-district  virtual school with a Distance Education program, then under the PCFP, one PPR rate will apply--regardless of NV County/District.  </t>
  </si>
  <si>
    <t>The Inflation Adjuster in 'B67' is designed to account for any increases in PCFP Revenue. Please be sure to enter a cost of inflation in this cell. You may wish to test inflation rates of 0 to 3%.  Be sure you can still operate with a surplus even with a 0% inflator/escalator.</t>
  </si>
  <si>
    <t>Enter your Title 1, IDEA (cost per SPED student) and school level fundraising income per student. Each of these entries will automatically calculate the revenue line items for BEP, Title 1, IDEA and school level funding.</t>
  </si>
  <si>
    <t>Any remaining revenue entries can be manually accounted for in the following subgroups:</t>
  </si>
  <si>
    <t xml:space="preserve">                               Charter Start-Up Funds</t>
  </si>
  <si>
    <t xml:space="preserve">                               Other Start-Up Grant Funds</t>
  </si>
  <si>
    <t xml:space="preserve">                               Student Fees (As allowed by other public schools)</t>
  </si>
  <si>
    <t xml:space="preserve">                               Investment Income</t>
  </si>
  <si>
    <t xml:space="preserve">                               Private fundraising (foundations, corporate)</t>
  </si>
  <si>
    <t xml:space="preserve">                               Private Fundraising</t>
  </si>
  <si>
    <t>Cashflow Year 1 (CF Y1 Mo) tab</t>
  </si>
  <si>
    <t>Use this tab to "spread" your year 1 expenses out on a monthly basis. All funds must be distributed to avoid an error message.</t>
  </si>
  <si>
    <t>Staff tab</t>
  </si>
  <si>
    <t>The staffing and compensation assumptions section will require input data on not only the charter school's staffing levels and average salaries, but it will also require the preparer to provide benefits data in order to provide the charter school with realistic financial projections. Please follow the instructions below:</t>
  </si>
  <si>
    <t>Instructional Days (Staff tab, row 65)</t>
  </si>
  <si>
    <r>
      <rPr>
        <b/>
        <sz val="11"/>
        <color indexed="8"/>
        <rFont val="Calibri"/>
        <family val="2"/>
      </rPr>
      <t>1.</t>
    </r>
    <r>
      <rPr>
        <sz val="11"/>
        <color theme="1"/>
        <rFont val="Aptos Narrow"/>
        <family val="2"/>
        <scheme val="minor"/>
      </rPr>
      <t xml:space="preserve"> Enter the average medical benefits for employees with both single and family coverage into cells 'F62' and 'F63'. </t>
    </r>
  </si>
  <si>
    <r>
      <rPr>
        <b/>
        <sz val="11"/>
        <color indexed="8"/>
        <rFont val="Calibri"/>
        <family val="2"/>
      </rPr>
      <t>2.</t>
    </r>
    <r>
      <rPr>
        <sz val="11"/>
        <color theme="1"/>
        <rFont val="Aptos Narrow"/>
        <family val="2"/>
        <scheme val="minor"/>
      </rPr>
      <t xml:space="preserve"> Second, enter the school's percentage of coverage.</t>
    </r>
  </si>
  <si>
    <r>
      <rPr>
        <b/>
        <sz val="11"/>
        <color indexed="8"/>
        <rFont val="Calibri"/>
        <family val="2"/>
      </rPr>
      <t>3.</t>
    </r>
    <r>
      <rPr>
        <sz val="11"/>
        <color theme="1"/>
        <rFont val="Aptos Narrow"/>
        <family val="2"/>
        <scheme val="minor"/>
      </rPr>
      <t xml:space="preserve"> Enter the assumed percentage of employees choosing single for their health benefits.</t>
    </r>
  </si>
  <si>
    <r>
      <rPr>
        <b/>
        <sz val="11"/>
        <color indexed="8"/>
        <rFont val="Calibri"/>
        <family val="2"/>
      </rPr>
      <t xml:space="preserve">4. </t>
    </r>
    <r>
      <rPr>
        <sz val="11"/>
        <color theme="1"/>
        <rFont val="Aptos Narrow"/>
        <family val="2"/>
        <scheme val="minor"/>
      </rPr>
      <t>Enter the percentage of your employee's salaries that will be allocated to FICA, State Retirement for Certified Employees, State Retirement for Non-Certified Employees and Life Insurance.</t>
    </r>
  </si>
  <si>
    <r>
      <rPr>
        <b/>
        <sz val="11"/>
        <color indexed="8"/>
        <rFont val="Calibri"/>
        <family val="2"/>
      </rPr>
      <t>5.</t>
    </r>
    <r>
      <rPr>
        <sz val="11"/>
        <color theme="1"/>
        <rFont val="Aptos Narrow"/>
        <family val="2"/>
        <scheme val="minor"/>
      </rPr>
      <t xml:space="preserve"> Enter any per-employee expenses associated with GASB 45 and Unemployment Insurance.</t>
    </r>
  </si>
  <si>
    <r>
      <rPr>
        <b/>
        <sz val="11"/>
        <color indexed="8"/>
        <rFont val="Calibri"/>
        <family val="2"/>
      </rPr>
      <t>6.</t>
    </r>
    <r>
      <rPr>
        <sz val="11"/>
        <color theme="1"/>
        <rFont val="Aptos Narrow"/>
        <family val="2"/>
        <scheme val="minor"/>
      </rPr>
      <t xml:space="preserve"> Payroll services are accounted for as a dollar value on a per employee/per month basis.</t>
    </r>
  </si>
  <si>
    <r>
      <rPr>
        <b/>
        <sz val="11"/>
        <color indexed="8"/>
        <rFont val="Calibri"/>
        <family val="2"/>
      </rPr>
      <t>7.</t>
    </r>
    <r>
      <rPr>
        <sz val="11"/>
        <color theme="1"/>
        <rFont val="Aptos Narrow"/>
        <family val="2"/>
        <scheme val="minor"/>
      </rPr>
      <t xml:space="preserve"> Any bonuses should be input and will be calculated as a percentage of salaried employees. </t>
    </r>
  </si>
  <si>
    <r>
      <rPr>
        <b/>
        <sz val="11"/>
        <color indexed="8"/>
        <rFont val="Calibri"/>
        <family val="2"/>
      </rPr>
      <t>8.</t>
    </r>
    <r>
      <rPr>
        <sz val="11"/>
        <color theme="1"/>
        <rFont val="Aptos Narrow"/>
        <family val="2"/>
        <scheme val="minor"/>
      </rPr>
      <t xml:space="preserve"> Be sure to enter your school's instructional days per year (required) as well as the Saturday schools per year, contractors required for Saturday school and price per contractor (if necessary).</t>
    </r>
  </si>
  <si>
    <r>
      <rPr>
        <b/>
        <sz val="11"/>
        <color indexed="8"/>
        <rFont val="Calibri"/>
        <family val="2"/>
      </rPr>
      <t>9.</t>
    </r>
    <r>
      <rPr>
        <sz val="11"/>
        <color theme="1"/>
        <rFont val="Aptos Narrow"/>
        <family val="2"/>
        <scheme val="minor"/>
      </rPr>
      <t xml:space="preserve"> The employee salaries and staffing levels should be entered in each designated area. For example, administrators such as the School Director should be entered into the Administrator section. The positions, salaries and staffing levels in this section are marked for input, so feel free to adjust the position levels, salaries and staffing levels as your charter school finds necessary. Please note that each line represents one position, multiple positions sharing a title will each need to entered on seperate lines.</t>
    </r>
  </si>
  <si>
    <r>
      <rPr>
        <b/>
        <sz val="11"/>
        <color indexed="8"/>
        <rFont val="Calibri"/>
        <family val="2"/>
      </rPr>
      <t>10.</t>
    </r>
    <r>
      <rPr>
        <sz val="11"/>
        <color theme="1"/>
        <rFont val="Aptos Narrow"/>
        <family val="2"/>
        <scheme val="minor"/>
      </rPr>
      <t xml:space="preserve"> For part-Time employees simply enter the average salary for each respective position and enter the number of employees per year. </t>
    </r>
  </si>
  <si>
    <r>
      <rPr>
        <b/>
        <sz val="11"/>
        <color indexed="8"/>
        <rFont val="Calibri"/>
        <family val="2"/>
      </rPr>
      <t>11.</t>
    </r>
    <r>
      <rPr>
        <sz val="11"/>
        <color theme="1"/>
        <rFont val="Aptos Narrow"/>
        <family val="2"/>
        <scheme val="minor"/>
      </rPr>
      <t xml:space="preserve"> Salaries and staffing levels work in unison with the inputs you entered to get to the total salary and benefits for your charter school. Feel free to adjust any of the staffing and compensation inputs to either decrease or increase your school's total compensation. </t>
    </r>
  </si>
  <si>
    <t>Facilities tab</t>
  </si>
  <si>
    <t>Complete either the Lease or the Purchase section.</t>
  </si>
  <si>
    <t>General Operating ("Gen Optg") Expense tab</t>
  </si>
  <si>
    <t>The general operating expense assumptions section houses the majority of the expenditures that are necessary to operate your charter school.</t>
  </si>
  <si>
    <t>Schools should set aside an amount of 4 to 5% of revenues into a general reserve account.</t>
  </si>
  <si>
    <r>
      <rPr>
        <b/>
        <sz val="11"/>
        <color indexed="8"/>
        <rFont val="Calibri"/>
        <family val="2"/>
      </rPr>
      <t>1.</t>
    </r>
    <r>
      <rPr>
        <sz val="11"/>
        <color theme="1"/>
        <rFont val="Aptos Narrow"/>
        <family val="2"/>
        <scheme val="minor"/>
      </rPr>
      <t xml:space="preserve"> This section is user-friendly for data entry. Each general operating expense line item is tied to a driver, i.e. per year or per student. The driver is then multiplied by the dollar value that was entered, which results in the amount of that expense line item for the given year. </t>
    </r>
  </si>
  <si>
    <r>
      <rPr>
        <b/>
        <sz val="11"/>
        <color indexed="8"/>
        <rFont val="Calibri"/>
        <family val="2"/>
      </rPr>
      <t>2.</t>
    </r>
    <r>
      <rPr>
        <sz val="11"/>
        <color theme="1"/>
        <rFont val="Aptos Narrow"/>
        <family val="2"/>
        <scheme val="minor"/>
      </rPr>
      <t xml:space="preserve"> The Contracted Services section should be completed in the same manner. Here the driver is per year, therefore any annual audits or legal services need to be calculated on an annual basis. </t>
    </r>
  </si>
  <si>
    <t>Transportation and Food Services are not funded for charter schools.</t>
  </si>
  <si>
    <t>FFE&amp;T (Furniture, Fixtures, Equipment &amp; Technology) tab</t>
  </si>
  <si>
    <t>See "Note FFE" tab for a note regarding the depreciation approach used in this model.</t>
  </si>
  <si>
    <t>Insurance tab</t>
  </si>
  <si>
    <t>Use this tab to show your insurance plan/budget. Note legal insurance requirements</t>
  </si>
  <si>
    <t>Marketing tab</t>
  </si>
  <si>
    <t>Use this tab to show your marketing plan to reach your target market.</t>
  </si>
  <si>
    <t>This tab differs from the Market tab. This  focuses not on where your pupils will come from but on marketing expenses to reach them.</t>
  </si>
  <si>
    <t>EMO-CMO tab</t>
  </si>
  <si>
    <t>Use this tab to show your plan/budget -- if you use a EMO/CMO.</t>
  </si>
  <si>
    <t>Demographics</t>
  </si>
  <si>
    <t>FYI</t>
  </si>
  <si>
    <t>PCFP Rates tab</t>
  </si>
  <si>
    <t>Facilities Wkst tab</t>
  </si>
  <si>
    <t xml:space="preserve">This sheet is optional.  It is provided to help you consider your space requirements.  Some schools may seek more/less space than </t>
  </si>
  <si>
    <t xml:space="preserve">is shown in the sample ranges.  You do not need to include this tab in your print range but leave it in the working Excel file you submit. </t>
  </si>
  <si>
    <t>Levers tab</t>
  </si>
  <si>
    <t xml:space="preserve">This page is intended to be a quick view of how each cost center is affecting overall financial performance. </t>
  </si>
  <si>
    <t>It will automatically populate as you complete the required tabs in the application. The use of this tab is completely optional and at your discretion.</t>
  </si>
  <si>
    <t>Other tabs</t>
  </si>
  <si>
    <t>Questions?  Contact:</t>
  </si>
  <si>
    <t xml:space="preserve">Mike Dang, 702.854.0691 (cell/text) 702.486.8879 (office), mdang@spcsa.nv.gov </t>
  </si>
  <si>
    <t>Michael Hutchins, 775.687.9239, M.Hutchins@spcsa.nv.gov</t>
  </si>
  <si>
    <t>Application Cover Sheet</t>
  </si>
  <si>
    <t>Mike Dang</t>
  </si>
  <si>
    <t>702.486.8879</t>
  </si>
  <si>
    <t>Proposed Name of School</t>
  </si>
  <si>
    <t>Odyssey Charter School</t>
  </si>
  <si>
    <t xml:space="preserve">Planned school year starting in August </t>
  </si>
  <si>
    <t>School Year Ending (SYE)</t>
  </si>
  <si>
    <t>Name of Committee To Form contact(s)</t>
  </si>
  <si>
    <t>Phone number</t>
  </si>
  <si>
    <t xml:space="preserve">  email address</t>
  </si>
  <si>
    <t>School Location(s) under consideration: (Addresses or cross streets, City)(1 minimum, 2 maximum)</t>
  </si>
  <si>
    <t>Site 2</t>
  </si>
  <si>
    <t>Specific address recommended but not required .  Target cross streets required at a minimum.</t>
  </si>
  <si>
    <t>Supporting documentation attached? (y/n)</t>
  </si>
  <si>
    <t>Three sample Listings of buildings in targeted/planned zip code being considered.</t>
  </si>
  <si>
    <t>Listing must show available square footage, lease rates, location. (E.g., Loopnet)</t>
  </si>
  <si>
    <t>For start-up funding</t>
  </si>
  <si>
    <t>For fundraising</t>
  </si>
  <si>
    <t>Table of Contents (TOC) &amp; Completeness Check</t>
  </si>
  <si>
    <t>Initialize, print (pdf) and attach:</t>
  </si>
  <si>
    <t>Complete?</t>
  </si>
  <si>
    <t>/Applicant</t>
  </si>
  <si>
    <t>/SPCSA</t>
  </si>
  <si>
    <t>TOC Notes</t>
  </si>
  <si>
    <t>Comments (Applicant/SPCSA) (Not in print range)</t>
  </si>
  <si>
    <t>Enter Initials and attach:</t>
  </si>
  <si>
    <t>Initials</t>
  </si>
  <si>
    <t>Instructions (start page)</t>
  </si>
  <si>
    <t>rlh</t>
  </si>
  <si>
    <t>Instructions -- Start here</t>
  </si>
  <si>
    <t>Cover (School Name) Page</t>
  </si>
  <si>
    <t>Beginning School Year entered on Cover Page?</t>
  </si>
  <si>
    <t>Checklist &amp; Table Of Contents</t>
  </si>
  <si>
    <t>School Financial Plan Summary</t>
  </si>
  <si>
    <t>Complete lower Net Position (Balance Sheet) information</t>
  </si>
  <si>
    <t>School Plan Statistics</t>
  </si>
  <si>
    <t>Market Research</t>
  </si>
  <si>
    <t>Market (Potential Students Populations)</t>
  </si>
  <si>
    <t>Enrollment &amp; Revenue</t>
  </si>
  <si>
    <t>Revenue &amp; Enrollment</t>
  </si>
  <si>
    <t>Cash Flow Year 1 Monthly</t>
  </si>
  <si>
    <t>Expenses: Year One--Month to Month</t>
  </si>
  <si>
    <t>Staff</t>
  </si>
  <si>
    <t>Expenses: Staff</t>
  </si>
  <si>
    <t>Facilities</t>
  </si>
  <si>
    <t>Expenses: Facility Lease/Purchase</t>
  </si>
  <si>
    <t>General Operating Plan</t>
  </si>
  <si>
    <t>Expenses: General Operating</t>
  </si>
  <si>
    <t>Furniture, Fixtures, Equipment 
&amp; Technology (FFE&amp;T)</t>
  </si>
  <si>
    <t>Expenses: Furniture, Fixtures, Equipment &amp; Technology</t>
  </si>
  <si>
    <t>Insurance</t>
  </si>
  <si>
    <t>Expenses: Insurance</t>
  </si>
  <si>
    <t>Marketing</t>
  </si>
  <si>
    <t>Expenses: Marketing Plan &amp; Implementation</t>
  </si>
  <si>
    <t>EMO, CMO, BOSP</t>
  </si>
  <si>
    <t>Expenses: Education/Charter Management Organization, 
Back Office Service Provider (If applicable)</t>
  </si>
  <si>
    <t>PCFP Rates (Information)</t>
  </si>
  <si>
    <t>NA</t>
  </si>
  <si>
    <t>Applicable Per Pupil Revenue estimates (No completion required)</t>
  </si>
  <si>
    <t>Facilities (worksheet)</t>
  </si>
  <si>
    <t>Worksheet which may help calculate Facilities costs (Not required)</t>
  </si>
  <si>
    <t>Scratchpad (worksheet)</t>
  </si>
  <si>
    <t>Free space for applicant tests, notes</t>
  </si>
  <si>
    <t>Special Population and Demographic percentages</t>
  </si>
  <si>
    <t>Attachments</t>
  </si>
  <si>
    <t>Supporting documents referred to below.</t>
  </si>
  <si>
    <t>Market report or Sample Listings of buildings in targeted/planned zip codes</t>
  </si>
  <si>
    <t>Must show building types (/raw land), square footages (/acres), lease rates.</t>
  </si>
  <si>
    <t xml:space="preserve">  </t>
  </si>
  <si>
    <t>Totals/Max'/Avg</t>
  </si>
  <si>
    <t>Key Metrics</t>
  </si>
  <si>
    <t>Comments (SPCSA STAFF) (Not in print range)</t>
  </si>
  <si>
    <t>Number of Students (Enrollment)</t>
  </si>
  <si>
    <t>Number of Employees (FTE)</t>
  </si>
  <si>
    <t>Facility Size (square footage)</t>
  </si>
  <si>
    <t xml:space="preserve">10.29 reointed cells one cell to the right on Facilities tab </t>
  </si>
  <si>
    <t xml:space="preserve">  Square feet PP</t>
  </si>
  <si>
    <t>REVENUE &amp; RESOURCES</t>
  </si>
  <si>
    <t>Total</t>
  </si>
  <si>
    <t>Avg/yr(1-6)</t>
  </si>
  <si>
    <t>%AvTot</t>
  </si>
  <si>
    <t>Title I</t>
  </si>
  <si>
    <t>Title IIA</t>
  </si>
  <si>
    <t>Title III</t>
  </si>
  <si>
    <t>Title IV</t>
  </si>
  <si>
    <t>Federal Breakfast Program</t>
  </si>
  <si>
    <t>IDEA</t>
  </si>
  <si>
    <t>State Special Education Funding</t>
  </si>
  <si>
    <t>"Replication &amp; Expansion" start-up funds</t>
  </si>
  <si>
    <t>Supporting documentation required</t>
  </si>
  <si>
    <t>Other start-up funds (incl' SEA grants)</t>
  </si>
  <si>
    <t>Student fees (Net)</t>
  </si>
  <si>
    <t>=Local SPED currently received from NV DOE (NOT FOOD SERVICE)</t>
  </si>
  <si>
    <t>Transportation</t>
  </si>
  <si>
    <t>=At-Risk currently received from NV DOE (NOT TRANSPORTATION)</t>
  </si>
  <si>
    <t>Investment Income</t>
  </si>
  <si>
    <t>School level fundraising</t>
  </si>
  <si>
    <t>Supporting documentation required (Award letters)</t>
  </si>
  <si>
    <t>TOTAL REVENUE</t>
  </si>
  <si>
    <t xml:space="preserve">   Enrol &amp; Rev tab</t>
  </si>
  <si>
    <t xml:space="preserve">   Total Revenue PP </t>
  </si>
  <si>
    <t xml:space="preserve">   Total Revenue PP (Check w/Enrol &amp; Rev tab)</t>
  </si>
  <si>
    <t xml:space="preserve">   In balance check PP</t>
  </si>
  <si>
    <t>Title, Fed Funds/Total Rev'-no CSP</t>
  </si>
  <si>
    <t>EXPENSES</t>
  </si>
  <si>
    <t xml:space="preserve">Personnel </t>
  </si>
  <si>
    <t>General Operating Expenses</t>
  </si>
  <si>
    <t>EMO Payments</t>
  </si>
  <si>
    <t>FFE&amp;T</t>
  </si>
  <si>
    <t>we only pay for bus passess, expense included in Gen Operating</t>
  </si>
  <si>
    <t>TOTAL EXPENSES</t>
  </si>
  <si>
    <t xml:space="preserve">   Total Expenses PP</t>
  </si>
  <si>
    <t>SURPLUS/(DEFICIT)/Period</t>
  </si>
  <si>
    <t>The school operates only with a surplus</t>
  </si>
  <si>
    <t xml:space="preserve">     Per student</t>
  </si>
  <si>
    <t>SURPLUS/(DEFICIT)(Cumu'; capital rqt)</t>
  </si>
  <si>
    <t>Acts as a temporary estimator of cash fund balance</t>
  </si>
  <si>
    <t xml:space="preserve">    Reserves </t>
  </si>
  <si>
    <t>Additional Funding/Borrowing  required/period</t>
  </si>
  <si>
    <t>Cumulative Additional Funding potentially required</t>
  </si>
  <si>
    <t>SPCSA does not encourage debt but understands borrowing may be required. Supporting documentation of any planned borrowing must be provided.</t>
  </si>
  <si>
    <t>Debt Balance, Beginning</t>
  </si>
  <si>
    <t>Borrowings in Period</t>
  </si>
  <si>
    <t>Interest on borrowings</t>
  </si>
  <si>
    <t>Hold off on this for now; don't want to encourage borrowing too early.</t>
  </si>
  <si>
    <t>Net Surplus (Deficit) and/or Borrowings</t>
  </si>
  <si>
    <t>Cumulative Net Surplus (Deficit) Borrowings/Surplus</t>
  </si>
  <si>
    <t>Debt Payments (Deb payments)</t>
  </si>
  <si>
    <t>Debt Balance, Ending</t>
  </si>
  <si>
    <t>Net Surplus (Deficit) Net of Borrowings and Payments</t>
  </si>
  <si>
    <t>Cumulative Net Surplus (Deficit) Net of Borrowings and Payments</t>
  </si>
  <si>
    <t>Debt Service Payments-Principal</t>
  </si>
  <si>
    <t>Debt Service Payments-Interest</t>
  </si>
  <si>
    <t>Total Debt Service Payments</t>
  </si>
  <si>
    <t>SURPLUS/(DEFICIT) After Debt Service &amp; Reserves</t>
  </si>
  <si>
    <t xml:space="preserve">Surplus/(Deficit)-Schl &amp; Pri' Fundraising-S Fees </t>
  </si>
  <si>
    <t>Surplus/(Deficit) (Cumu')</t>
  </si>
  <si>
    <t>x</t>
  </si>
  <si>
    <t>ABC Academy</t>
  </si>
  <si>
    <t>https://nv.sharepoint.com/sites/spcsa/Shared Documents/Authorizing/Application Packet/Template Financial Plan Workbook/[SPCSA-New-School-Application-Financial-Plan-Template-PCFP-2021 09 22.xlsx]Sheet1</t>
  </si>
  <si>
    <t>SY 0/Incu</t>
  </si>
  <si>
    <t>Number of Students</t>
  </si>
  <si>
    <t xml:space="preserve">  sq ft PP</t>
  </si>
  <si>
    <t>KEY STATISTICS</t>
  </si>
  <si>
    <t xml:space="preserve">   # students &gt; Bkeven</t>
  </si>
  <si>
    <t xml:space="preserve">   % students &gt; Bkeven</t>
  </si>
  <si>
    <t>Ending Fund Balance (cumulative)</t>
  </si>
  <si>
    <t>Cumulative Reserve/Expense</t>
  </si>
  <si>
    <t>Number of Occupants</t>
  </si>
  <si>
    <t>Growth, # students</t>
  </si>
  <si>
    <t>Number of Teachers (SPED)</t>
  </si>
  <si>
    <t>Number of Teachers (ELL)</t>
  </si>
  <si>
    <t>Number of Teachers (Grade)</t>
  </si>
  <si>
    <t>Number of Teachers (Total)</t>
  </si>
  <si>
    <t xml:space="preserve">   Student/Teacher</t>
  </si>
  <si>
    <t xml:space="preserve">   Student/Classroom w/o Teacher</t>
  </si>
  <si>
    <t>Number of Admin</t>
  </si>
  <si>
    <t xml:space="preserve">   Student/Admin ratio</t>
  </si>
  <si>
    <t xml:space="preserve">   Teacher/Admin ratio</t>
  </si>
  <si>
    <t>Number of Office (non Admin)</t>
  </si>
  <si>
    <t xml:space="preserve">   Student/Office ratio</t>
  </si>
  <si>
    <t xml:space="preserve">   Teacher/Office ratio</t>
  </si>
  <si>
    <t>Salaries: Administrator</t>
  </si>
  <si>
    <t>Salaries: Office staff</t>
  </si>
  <si>
    <t>Salaries: Teachers (SPED)</t>
  </si>
  <si>
    <t>Salaries: Teachers (ELL)</t>
  </si>
  <si>
    <t>Salaries/Teachers-Grade Level</t>
  </si>
  <si>
    <t xml:space="preserve">Title IIA Professional Dev </t>
  </si>
  <si>
    <t>Revenue/pupil</t>
  </si>
  <si>
    <t>Expenses/pupil</t>
  </si>
  <si>
    <t xml:space="preserve">  Net/p</t>
  </si>
  <si>
    <t>Square Feet (Facility, Conditioned)</t>
  </si>
  <si>
    <t>Sq ft / Students</t>
  </si>
  <si>
    <t>Sq ft / Occupants</t>
  </si>
  <si>
    <t>Student fees PP</t>
  </si>
  <si>
    <t>PERCENT TOTAL REVENUE</t>
  </si>
  <si>
    <t>REVENUE</t>
  </si>
  <si>
    <t>EMO/CMO Payments, Net</t>
  </si>
  <si>
    <t>Other Pre-approval &amp; Pre-Opening</t>
  </si>
  <si>
    <t>SURPLUS/(DEFICIT)</t>
  </si>
  <si>
    <t>Ending Fund Balance (Estimator)</t>
  </si>
  <si>
    <t>PER PUPIL (AVERAGES)</t>
  </si>
  <si>
    <t>REVENUE PP</t>
  </si>
  <si>
    <t>(Avg y1-6)</t>
  </si>
  <si>
    <t>TOTAL REVENUE PP</t>
  </si>
  <si>
    <t>EXPENSES PP</t>
  </si>
  <si>
    <t>TOTAL EXPENSES PP</t>
  </si>
  <si>
    <t>SURPLUS/(DEFICIT) Per Pupil</t>
  </si>
  <si>
    <t xml:space="preserve">     Surplus/(Deficit) Per Pupil</t>
  </si>
  <si>
    <t xml:space="preserve">   Margin: Surplus(Deficit)/Revenue (aka Annual ratio)</t>
  </si>
  <si>
    <t>Location(s) under consideration:</t>
  </si>
  <si>
    <t>Site 1</t>
  </si>
  <si>
    <t>This column area may not print but staff will review it for any notes.</t>
  </si>
  <si>
    <t>ENROLLMENT</t>
  </si>
  <si>
    <t>Number of grade levels</t>
  </si>
  <si>
    <t>Number of classrooms</t>
  </si>
  <si>
    <t>K</t>
  </si>
  <si>
    <t>1st</t>
  </si>
  <si>
    <t>2nd</t>
  </si>
  <si>
    <t>3rd</t>
  </si>
  <si>
    <t>4th</t>
  </si>
  <si>
    <t>5th</t>
  </si>
  <si>
    <t>6th</t>
  </si>
  <si>
    <t>7th</t>
  </si>
  <si>
    <t>8th</t>
  </si>
  <si>
    <t>9th</t>
  </si>
  <si>
    <t>10th</t>
  </si>
  <si>
    <t>11th</t>
  </si>
  <si>
    <t>12th</t>
  </si>
  <si>
    <t>Total Student Enrollment</t>
  </si>
  <si>
    <t>Student / Classroom (w/o teachers)</t>
  </si>
  <si>
    <t>Target Enrollment/Available Students Site 1</t>
  </si>
  <si>
    <t>Target Enrollment/Available Students Site 2</t>
  </si>
  <si>
    <t>For more accuracy you should enter below the enrollments of the relevant grades you are targeting. Otherwise, this is a general flag.</t>
  </si>
  <si>
    <t>Potential Site 1</t>
  </si>
  <si>
    <t>Relevant School Choices and/or
Feeders: Public, Private, Charter Schools w/in 4 miles</t>
  </si>
  <si>
    <t>Zip Codes</t>
  </si>
  <si>
    <t>NSPF Rtg</t>
  </si>
  <si>
    <t>Relevant Grade
Level(s)</t>
  </si>
  <si>
    <t xml:space="preserve">
Relevant Enrollments</t>
  </si>
  <si>
    <t>Distance fr school (miles)</t>
  </si>
  <si>
    <t>This section enables staff to understand the market depth in the area you are considering locating your school.</t>
  </si>
  <si>
    <t>Choices/Alternates</t>
  </si>
  <si>
    <t>Include all schools, not just 1 and 2 star schools</t>
  </si>
  <si>
    <t>Feeder/Source Schools</t>
  </si>
  <si>
    <t>The Demographics tab shows district percentages</t>
  </si>
  <si>
    <t>you may consider when developing your estimates for the Enrol &amp; Rev tab inputs.</t>
  </si>
  <si>
    <t>NDE Enrollment information by school and grade with demographic breadkown (xls)</t>
  </si>
  <si>
    <t>School data workbook (for 1-2 star schools by zip code</t>
  </si>
  <si>
    <t>List all schools from where it is reasonable that students could come from, whether or not they are 1 or 2 star schools</t>
  </si>
  <si>
    <t>The Ethnicity and Special Populations sections have been removed as new schools are approved for areas of demonstrated need.</t>
  </si>
  <si>
    <t>Potential Site 2 (if you are considering more than Site 1 above)</t>
  </si>
  <si>
    <t>Grade
Level(s)</t>
  </si>
  <si>
    <t xml:space="preserve">
Enrollment</t>
  </si>
  <si>
    <t>If you have narrowed your site to one location you do not need to fill
out this section.</t>
  </si>
  <si>
    <t>School Year 1 (Fall Start) Teaching Starts</t>
  </si>
  <si>
    <t>SY Ending</t>
  </si>
  <si>
    <t>Totals</t>
  </si>
  <si>
    <t>Total Student Enrollment (input below must match application narrative)</t>
  </si>
  <si>
    <t>ENROLLMENT (All Populations)</t>
  </si>
  <si>
    <t>Number of Students per Classroom (Goal)</t>
  </si>
  <si>
    <t>Number of classrooms (Planned)</t>
  </si>
  <si>
    <t>Student / Classroom, calculated</t>
  </si>
  <si>
    <t>Enrollment @ Target 100% Enrollment (@ "stabilization")</t>
  </si>
  <si>
    <t>% Plan vs. Target</t>
  </si>
  <si>
    <t>Growth in Enrollment, YOY</t>
  </si>
  <si>
    <t>Target Enrollment/Available Students Site 1 (Capture, conversion rate of nearby students)</t>
  </si>
  <si>
    <t>Target Enrollment/Available Students Site 2 (Capture, conversion rate of nearby students)</t>
  </si>
  <si>
    <t>Number of students tentatively committed to enroll, based on community engagement activities</t>
  </si>
  <si>
    <t xml:space="preserve">   Target Reenrollment (NRS 388A.273)</t>
  </si>
  <si>
    <t xml:space="preserve">  Estimated # students to newly enroll (above reenrollment)</t>
  </si>
  <si>
    <t>ENROLLMENT BY STUDENT GROUP (Federally Fundable)</t>
  </si>
  <si>
    <t>Est' with</t>
  </si>
  <si>
    <t>Dupli'n</t>
  </si>
  <si>
    <t>(Proportion of planned enrollment)</t>
  </si>
  <si>
    <t>State Special Education (SPED)</t>
  </si>
  <si>
    <t>I assume this is what came from CCSD--$1,080,000 in fy 24</t>
  </si>
  <si>
    <t>English Language Learners (EL)</t>
  </si>
  <si>
    <t>backed into this to match our FY 25 allocation of $423K</t>
  </si>
  <si>
    <t>Gifted &amp; Talented (GATE)</t>
  </si>
  <si>
    <t>At Risk Pupils (AR) (Computed separately and funded later)</t>
  </si>
  <si>
    <t>Totals on this line may exceed 100% and planned enrollments</t>
  </si>
  <si>
    <t>FYI: Overlap</t>
  </si>
  <si>
    <t>ENROLLMENT BY STUDENT GROUP (State unique qualifying enrollment estimates)</t>
  </si>
  <si>
    <t>State level weighted funding is provided to help schools educate and support students in special population categories. Categories include English Learners (EL), Gifted And Talented Education (GATE), Free and Reduced Lunch (aka At Risk) learners.</t>
  </si>
  <si>
    <t xml:space="preserve">Additional funding is also provided to help teach students with Special Education needs.  While a student may technically be a member of multiple special populations categories, state funding is provided for only one category, deemed to be the </t>
  </si>
  <si>
    <t>category qualified for which provides the highest additional funding.  The below Duplication calculations section is designed to estimate how many funding qualified students there are among the otherwise category qualified students.</t>
  </si>
  <si>
    <t>The highest funding is provided for SPED, followed by EL, followed by GATE, followed by At Risk.</t>
  </si>
  <si>
    <t>Estimated % w/</t>
  </si>
  <si>
    <t>Undupl'ed</t>
  </si>
  <si>
    <t>Est'd % wo</t>
  </si>
  <si>
    <t>Duplication</t>
  </si>
  <si>
    <t>Default %</t>
  </si>
  <si>
    <t>English Language Learners (ELL)</t>
  </si>
  <si>
    <t>At Risk (AR)</t>
  </si>
  <si>
    <t>Students not identified in any of the above groups (Adjusted Base funding only)</t>
  </si>
  <si>
    <t>Schools are paid for the higher category when duplication exists</t>
  </si>
  <si>
    <t xml:space="preserve">Students for which weighted funding may be received # </t>
  </si>
  <si>
    <t>Students for which weighted funding may be received %</t>
  </si>
  <si>
    <t xml:space="preserve">Above estimating table allows applicants to overwrite estimating formulas if they have reason to do so. </t>
  </si>
  <si>
    <t>County (In Person) / Distance Ed</t>
  </si>
  <si>
    <t>Clark</t>
  </si>
  <si>
    <t xml:space="preserve"> &lt;--Select base PCFP payment category here</t>
  </si>
  <si>
    <t>Rates based on SB503, 82nd 2023 Nevada legislative session for FY 25</t>
  </si>
  <si>
    <t>STATE FUNDING PORTION</t>
  </si>
  <si>
    <t>Add'l Funding Wts</t>
  </si>
  <si>
    <t>Note:State Weighted and SpEd funding are paid based on prior year verified special population enrollments.  Schools in year 1 do not receive weighted or SpEd  funds until year 2.</t>
  </si>
  <si>
    <t>Add'l Wts%</t>
  </si>
  <si>
    <t>Add'l Wts$</t>
  </si>
  <si>
    <t>At Risk Pupils (AR)(Determined later by NDE)</t>
  </si>
  <si>
    <t>General support base (All students)(FYE 25)</t>
  </si>
  <si>
    <t>Statewide Base Per Pupil</t>
  </si>
  <si>
    <t>ENROLLMENT % (FEDERAL FUNDING PORTION)</t>
  </si>
  <si>
    <t>At Risk (% of students)</t>
  </si>
  <si>
    <t>ELL (% of students)</t>
  </si>
  <si>
    <t>Special Education (% of students) (contact staff if &gt;25% SPED)</t>
  </si>
  <si>
    <t>Special Education (# of students)</t>
  </si>
  <si>
    <t>Inflation adjustor (% per year)</t>
  </si>
  <si>
    <t>Applies to PCFP and Sponsorship fee</t>
  </si>
  <si>
    <t>PCFP Sponsorship Fee</t>
  </si>
  <si>
    <t>% of Base</t>
  </si>
  <si>
    <t>Title IA</t>
  </si>
  <si>
    <t>/FRL Student</t>
  </si>
  <si>
    <t>Title IIA (For FRL students only)</t>
  </si>
  <si>
    <t>Title IIA (Fixed amt for all students)</t>
  </si>
  <si>
    <t>Title III ELL</t>
  </si>
  <si>
    <t>Per ELL student</t>
  </si>
  <si>
    <t>Title IV (Do not use)</t>
  </si>
  <si>
    <t>Do not use</t>
  </si>
  <si>
    <t>IDEA (total)</t>
  </si>
  <si>
    <t>Per SPED student</t>
  </si>
  <si>
    <t>based on FY 2024 award letter amount = award herein</t>
  </si>
  <si>
    <t>Breakfast Program -- Federal Reimbursement</t>
  </si>
  <si>
    <t>no</t>
  </si>
  <si>
    <t>"yes" or "no"</t>
  </si>
  <si>
    <t>Breakfast Program</t>
  </si>
  <si>
    <t>Per student per day</t>
  </si>
  <si>
    <t>Lunch Program</t>
  </si>
  <si>
    <t>Per student</t>
  </si>
  <si>
    <t>County where school is located</t>
  </si>
  <si>
    <t>Enrollment Detail</t>
  </si>
  <si>
    <t>STATE &amp; LOCAL (PCFP) FUNDING</t>
  </si>
  <si>
    <t>State PCFP Adj' Base Revenue</t>
  </si>
  <si>
    <t>State Weighted Funding (EL, GATE, no local AR)</t>
  </si>
  <si>
    <t>State SPED Funding</t>
  </si>
  <si>
    <t>SpEd revenue set for prior year SpEd count; Y6 would be received in Y7 (aka Y1 of a renewal)</t>
  </si>
  <si>
    <t>Local SPED Funding</t>
  </si>
  <si>
    <t>Inflation adjustor (on state Base only)</t>
  </si>
  <si>
    <t>Inflation adjusted Total Revenue</t>
  </si>
  <si>
    <t>PCFP Sponsorship Fee (on Base)</t>
  </si>
  <si>
    <t xml:space="preserve">   PCFP Revenue Net of Sponsor Fee</t>
  </si>
  <si>
    <t xml:space="preserve">   PCFP Revenue Net of Sponsor Fee pp</t>
  </si>
  <si>
    <t>FEDERAL &amp; OTHER FUNDING PORTION</t>
  </si>
  <si>
    <t>Schools may earn federal revenues in year 1 but not receive it until year 2; plan accordingly</t>
  </si>
  <si>
    <t>Title IIA (FRL only)</t>
  </si>
  <si>
    <t>Title IIA (FRL &amp; Non FRL)</t>
  </si>
  <si>
    <t>Do not use; estimates too difficult to accurately develop</t>
  </si>
  <si>
    <t xml:space="preserve">Federal Lunch Program </t>
  </si>
  <si>
    <t>Start-up funds (Federal Replication &amp; Expansion already awarded to operator--not SEA grant)</t>
  </si>
  <si>
    <t>Charter School Program (CSP) Grant (w/letter)</t>
  </si>
  <si>
    <t>Other start-up grant funds, incl' SEA Grants w/ltr</t>
  </si>
  <si>
    <t>School level fundraising w/supporting documentation</t>
  </si>
  <si>
    <t>Food Services Revenue</t>
  </si>
  <si>
    <t>Transportation Funding</t>
  </si>
  <si>
    <t>Private fundraising (foundations, corporate) w/ltr</t>
  </si>
  <si>
    <t>Fundraising / Donations w/ltrs</t>
  </si>
  <si>
    <t xml:space="preserve">  Per Pupil (Federal Funding Portion)</t>
  </si>
  <si>
    <t>Total PCFP Revenue PP</t>
  </si>
  <si>
    <t>Check (Revenue, Summary tab)</t>
  </si>
  <si>
    <t>Difference - Check (Revenue, Summary tab)</t>
  </si>
  <si>
    <t>Inlcude above only grants which may reasonably be seen as forgiveable</t>
  </si>
  <si>
    <t>REVENUES</t>
  </si>
  <si>
    <t>Security Deposits (Site Lease)</t>
  </si>
  <si>
    <t>Payroll Services</t>
  </si>
  <si>
    <t>Lease/Mortgage</t>
  </si>
  <si>
    <t>Custodial</t>
  </si>
  <si>
    <t>Utilities</t>
  </si>
  <si>
    <t>CAM/Maintenance</t>
  </si>
  <si>
    <t>Campus Security</t>
  </si>
  <si>
    <t>Capital Outlay (TI)</t>
  </si>
  <si>
    <t>Staffing Expenses</t>
  </si>
  <si>
    <t>You may wish to compare your planned staff compensation plan with what is shown on the Transparent Nevada website--for references.</t>
  </si>
  <si>
    <t>Summary will populate automatically, please begin data entry below in areas with yellow cells.</t>
  </si>
  <si>
    <t>Personnel Summary</t>
  </si>
  <si>
    <t>STAFF FTE COUNT (FT &amp; PT w/Benefits)</t>
  </si>
  <si>
    <t>You may paste this summary section into your narrative --&gt;</t>
  </si>
  <si>
    <t>Staff Summary</t>
  </si>
  <si>
    <t>Staff counts here must match your narrative staff count</t>
  </si>
  <si>
    <t>FTE - Administrators</t>
  </si>
  <si>
    <t>FTE - Office</t>
  </si>
  <si>
    <t>FTE - SPED Teachers</t>
  </si>
  <si>
    <t>FTE - ELL Teachers</t>
  </si>
  <si>
    <t>FTE - Guidance Counselors &amp; Other</t>
  </si>
  <si>
    <t>FTE - Grade Level Teachers</t>
  </si>
  <si>
    <t xml:space="preserve">   Total FTEs w/benefits @ School</t>
  </si>
  <si>
    <t>Part-Time Staff w/o benefits (FTE count)</t>
  </si>
  <si>
    <t>Total Staff w/w/o benefits (FTE count)</t>
  </si>
  <si>
    <t>Avg (no SY 0)</t>
  </si>
  <si>
    <t>Enrollment</t>
  </si>
  <si>
    <t xml:space="preserve">  FTE Teachers (SPED, ELL, Grade Level)</t>
  </si>
  <si>
    <t xml:space="preserve">  Student/Teacher ratio</t>
  </si>
  <si>
    <t>Total Revenue</t>
  </si>
  <si>
    <t>TOTAL SALARIES</t>
  </si>
  <si>
    <t>BENEFITS</t>
  </si>
  <si>
    <t>MEDICAL</t>
  </si>
  <si>
    <t>Retirement (PERS-Required)</t>
  </si>
  <si>
    <t>Other benefits</t>
  </si>
  <si>
    <t>Total Personnel Expense</t>
  </si>
  <si>
    <t>Total Personnel Expense per Student</t>
  </si>
  <si>
    <t>Net Surplus after Personnel</t>
  </si>
  <si>
    <t>Net Surplus after Personnel per Student</t>
  </si>
  <si>
    <t>Net Surplus/Deficit</t>
  </si>
  <si>
    <t>Net Surplus/Deficit per student</t>
  </si>
  <si>
    <t>STAFFING COSTS</t>
  </si>
  <si>
    <t>ASSUMPTIONS</t>
  </si>
  <si>
    <t>Payroll Tax and Benefits</t>
  </si>
  <si>
    <t>Medical</t>
  </si>
  <si>
    <t>Notes, Sources</t>
  </si>
  <si>
    <t>Single Coverage</t>
  </si>
  <si>
    <t>Per year</t>
  </si>
  <si>
    <t>$950 per month x 12 = 11,400 OCS cost per employee</t>
  </si>
  <si>
    <t>Family Coverage</t>
  </si>
  <si>
    <t xml:space="preserve">School's percentage of coverage </t>
  </si>
  <si>
    <t>Assumed percentage of employees choosing single coverage</t>
    <phoneticPr fontId="0" type="noConversion"/>
  </si>
  <si>
    <t>Weighted avg. cost for medical</t>
  </si>
  <si>
    <t>/ Employee/Year</t>
  </si>
  <si>
    <t>FICA</t>
  </si>
  <si>
    <t>% Wages</t>
  </si>
  <si>
    <t>per law</t>
  </si>
  <si>
    <t>State Retirement (PERS, Required)</t>
  </si>
  <si>
    <t>Current PERS Rate</t>
  </si>
  <si>
    <t>Life Insurance</t>
  </si>
  <si>
    <t>Other Benefits costs calculated based on FY 2024 actual ratio of benefits/payroll</t>
  </si>
  <si>
    <t>GASB 75 (replaces GASB 45)</t>
  </si>
  <si>
    <t>/ Employee</t>
  </si>
  <si>
    <t>we don't record pension costs other than the PERS contributions</t>
  </si>
  <si>
    <t>Unemployment Insurance</t>
  </si>
  <si>
    <t>had to be backed into, based on ($40,600 max/ee x 1.2% X FTE 122)/total salaries  (122 ee x 40600 x 1.2% =59439)</t>
  </si>
  <si>
    <t>Workers' Compensation Insurance</t>
  </si>
  <si>
    <t>had to be backed into, based on ($36,000 max/ee x .0045 X FTE 122)/total salaries  (122 ee x 36000 x .0045 =19764)</t>
  </si>
  <si>
    <t>/Emp'ee/month</t>
  </si>
  <si>
    <t>Performance Bonus</t>
  </si>
  <si>
    <t>Enter row ~379</t>
  </si>
  <si>
    <t>Inflation (Salaries &amp; related, COLA)</t>
  </si>
  <si>
    <t>Medical benefits costs tied to salaries, rise w/Inflation.</t>
  </si>
  <si>
    <t>Instructional days per year (Minimum)</t>
  </si>
  <si>
    <t>(180 days minimum)</t>
  </si>
  <si>
    <t>Saturday schools per year</t>
  </si>
  <si>
    <t>Contractors required for Saturday School</t>
  </si>
  <si>
    <t>Price per contractor</t>
  </si>
  <si>
    <t>This area and below are not included in print range above.</t>
  </si>
  <si>
    <t>SYEnding</t>
  </si>
  <si>
    <t>Base Salary</t>
  </si>
  <si>
    <t>Fall of School Year 1 =</t>
  </si>
  <si>
    <t>(Input year or "NA")</t>
  </si>
  <si>
    <t xml:space="preserve">FTE Count &amp; Hiring Timing </t>
  </si>
  <si>
    <t>You can overwrite input area formulas with your formula or lump sum amounts.</t>
  </si>
  <si>
    <t>Administrators (Full-time &amp; Part-Time w/benefits)</t>
  </si>
  <si>
    <t>If you do, explain your approach below.</t>
  </si>
  <si>
    <t>Principal</t>
  </si>
  <si>
    <t>Vice Principal</t>
  </si>
  <si>
    <t>Executive Director</t>
  </si>
  <si>
    <t>Superintendent of Schools</t>
  </si>
  <si>
    <t>Prof Dev &amp; On-Line Curr/Tech</t>
  </si>
  <si>
    <t xml:space="preserve">Total Administrators </t>
  </si>
  <si>
    <t>Office Staff (Full-time &amp; Part-Time w/benefits)</t>
  </si>
  <si>
    <t>Director of Business &amp; Finance</t>
  </si>
  <si>
    <t>Director of Human Resources</t>
  </si>
  <si>
    <t>Accountability/Attendance/Registration</t>
  </si>
  <si>
    <t>Operations Support Staff/Back Office</t>
  </si>
  <si>
    <t>Total Administrators and Office Staff</t>
  </si>
  <si>
    <t>Special Education (SPED) Teachers (Full-time &amp; Part-Time w/benefits)</t>
  </si>
  <si>
    <t>SPED Aide</t>
  </si>
  <si>
    <t xml:space="preserve">SPED Facilitator </t>
  </si>
  <si>
    <t>SPED Teacher</t>
  </si>
  <si>
    <t>Speech Path</t>
  </si>
  <si>
    <t xml:space="preserve">Transition Specialist </t>
  </si>
  <si>
    <t>Math &amp; ELA Instructional Assistant</t>
  </si>
  <si>
    <t>SPED Specialist Assistant 7</t>
  </si>
  <si>
    <t>year</t>
  </si>
  <si>
    <t>Total Special EducationTeachers</t>
  </si>
  <si>
    <t xml:space="preserve">     SPED Students</t>
  </si>
  <si>
    <t xml:space="preserve">     SPED Students/Teacher Ratio</t>
  </si>
  <si>
    <t>English Language Learner (ELL) Teachers (Full-time &amp; Part-Time w/benefits)</t>
  </si>
  <si>
    <t>English Language &amp; Assessment Coordinator</t>
  </si>
  <si>
    <t>ELL Testing Specialist</t>
  </si>
  <si>
    <t>ELL Teacher/Reading Specialist</t>
  </si>
  <si>
    <t xml:space="preserve">ES TOSA - Literacy Strategist </t>
  </si>
  <si>
    <t xml:space="preserve">HS TOSA - Literacy Strategist </t>
  </si>
  <si>
    <t>Total ELL Teachers</t>
  </si>
  <si>
    <t>Guidance Counselor &amp; Other Staff (Full-time &amp; Part-Time w/benefits)</t>
  </si>
  <si>
    <t>Nurse/Health Office</t>
  </si>
  <si>
    <t>Guidance Counselor</t>
  </si>
  <si>
    <t>Social Worker</t>
  </si>
  <si>
    <t>Security Guard(s)</t>
  </si>
  <si>
    <t>Operations Management</t>
  </si>
  <si>
    <t>Custodial/grounds workers</t>
  </si>
  <si>
    <t>Food services worker(s)</t>
  </si>
  <si>
    <t>Transportation worker(s)</t>
  </si>
  <si>
    <t>Total Guidance Counselors/Other</t>
  </si>
  <si>
    <t xml:space="preserve">Total Special Education/ELL Teachers/Guidance Counselors </t>
  </si>
  <si>
    <t>Total Faculty before Teachers</t>
  </si>
  <si>
    <t>Grade Level (Core) Teachers (Full-time &amp; Part-Time w/benefits)</t>
  </si>
  <si>
    <t>Teacher</t>
  </si>
  <si>
    <t>Grade Level</t>
  </si>
  <si>
    <t>SYE</t>
  </si>
  <si>
    <t>Subject</t>
  </si>
  <si>
    <t>FTE Count</t>
  </si>
  <si>
    <t xml:space="preserve">You may enter more than one person in any cell if the salaries are the same--or if you're using an average salary (and they're starting the same year). </t>
  </si>
  <si>
    <t>K-5 Teachers</t>
  </si>
  <si>
    <t>ES</t>
  </si>
  <si>
    <t>General</t>
  </si>
  <si>
    <t>Grade Level Teacher</t>
  </si>
  <si>
    <t>na</t>
  </si>
  <si>
    <t>MS English</t>
  </si>
  <si>
    <t>MS</t>
  </si>
  <si>
    <t>English</t>
  </si>
  <si>
    <t>MS History</t>
  </si>
  <si>
    <t>History</t>
  </si>
  <si>
    <t>MS Math</t>
  </si>
  <si>
    <t>Math</t>
  </si>
  <si>
    <t>Elective</t>
  </si>
  <si>
    <t>Photo</t>
  </si>
  <si>
    <t>Reading</t>
  </si>
  <si>
    <t>MS Science</t>
  </si>
  <si>
    <t>Science</t>
  </si>
  <si>
    <t>MS Spanish Teacher</t>
  </si>
  <si>
    <t>Spanish</t>
  </si>
  <si>
    <t>HS English</t>
  </si>
  <si>
    <t>HS</t>
  </si>
  <si>
    <t>HS CTE - Graphic Design, Web Design, Animation</t>
  </si>
  <si>
    <t>CTE</t>
  </si>
  <si>
    <t>HS Math</t>
  </si>
  <si>
    <t>HS Physical Ed/Drivers Ed</t>
  </si>
  <si>
    <t>PE</t>
  </si>
  <si>
    <t>HS Science</t>
  </si>
  <si>
    <t>HS Social Studies</t>
  </si>
  <si>
    <t>SocStud</t>
  </si>
  <si>
    <t>HS History</t>
  </si>
  <si>
    <t>HS Computer Sciences</t>
  </si>
  <si>
    <t>CS</t>
  </si>
  <si>
    <t>3rd Grade Teacher</t>
  </si>
  <si>
    <t>4th Grade Teacher</t>
  </si>
  <si>
    <t>5th Grade Teacher</t>
  </si>
  <si>
    <t>6th Grade Teacher</t>
  </si>
  <si>
    <t>7th Grade Teacher</t>
  </si>
  <si>
    <t>8th Grade Teacher</t>
  </si>
  <si>
    <t>PE teacher</t>
  </si>
  <si>
    <t>STEAM Teacher</t>
  </si>
  <si>
    <t>Spanish Teacher</t>
  </si>
  <si>
    <t>Art Teacher</t>
  </si>
  <si>
    <t>Total Grade Level Teachers (Count)</t>
  </si>
  <si>
    <t>Total Teachers (SPED, ELL, Grade + Counselors)</t>
  </si>
  <si>
    <t>SALARIES</t>
  </si>
  <si>
    <t xml:space="preserve">   Subtotal</t>
  </si>
  <si>
    <t xml:space="preserve">   Subtotal Office Staff</t>
  </si>
  <si>
    <t>Total Grade Level Teacher Salaries</t>
  </si>
  <si>
    <t>Performance Bonuses (Manually estimate)</t>
  </si>
  <si>
    <t>Total Medical Benefits</t>
  </si>
  <si>
    <t>FICA (Federal Insurance Contributions Act)</t>
  </si>
  <si>
    <t>Total FICA</t>
  </si>
  <si>
    <t>State Retirement (PERS-Required)</t>
  </si>
  <si>
    <t>TOTAL STATE RETIREMENT COSTS</t>
  </si>
  <si>
    <t>TOTAL LIFE INSURANCE</t>
  </si>
  <si>
    <t>GASB 45</t>
  </si>
  <si>
    <t>Total GASB 45</t>
  </si>
  <si>
    <t>Unuemployment Insurance</t>
  </si>
  <si>
    <t>TOTAL UNEMPLOYMENT INSURANCE</t>
  </si>
  <si>
    <t>Total Workers' Comp</t>
  </si>
  <si>
    <t>TOTAL BENEFITS</t>
  </si>
  <si>
    <t xml:space="preserve">     % of Salaries</t>
  </si>
  <si>
    <t>Part-Time Employees (w/o benefits)</t>
  </si>
  <si>
    <t>Annualized Pay</t>
  </si>
  <si>
    <t>1. Input Part-Time Employee(s) (PTE)</t>
  </si>
  <si>
    <t xml:space="preserve">     Count of PTE (FTE equivalent)(calculator below)</t>
  </si>
  <si>
    <t xml:space="preserve">     Annualized salary</t>
  </si>
  <si>
    <t>2. Input part-time employee</t>
  </si>
  <si>
    <t xml:space="preserve">     Count of PTE (FTE equivalence)</t>
  </si>
  <si>
    <t>3. Input part-time employee</t>
  </si>
  <si>
    <t>4. Input part-time employee</t>
  </si>
  <si>
    <t>5. Input part-time employee</t>
  </si>
  <si>
    <t>Subtotal Part-Time Employee Wages</t>
  </si>
  <si>
    <t>FICA on Part-Time Employees wages</t>
  </si>
  <si>
    <t>PART TIME WAGES</t>
  </si>
  <si>
    <t>Total Part-Time Employees (w/o benefits)(FTE Count)</t>
  </si>
  <si>
    <t>PAYROLL SERVICES</t>
  </si>
  <si>
    <t>PERSONNEL (W/PAYROLL)</t>
  </si>
  <si>
    <t>Part-Time Employee calculator (working area for estimating expenses to input above)</t>
  </si>
  <si>
    <t>Staff 1</t>
  </si>
  <si>
    <t>Staff 2</t>
  </si>
  <si>
    <t>Staff 3</t>
  </si>
  <si>
    <t>Staff 4</t>
  </si>
  <si>
    <t>Staff 5</t>
  </si>
  <si>
    <t>Estimated hours per week</t>
  </si>
  <si>
    <t>Estimated weeks to work</t>
  </si>
  <si>
    <t xml:space="preserve">   Estimated total hours worked</t>
  </si>
  <si>
    <t xml:space="preserve">Standard Hours worked per year </t>
  </si>
  <si>
    <t>Portion of Standard Year worked</t>
  </si>
  <si>
    <t xml:space="preserve">Standard school days/year with teaching days </t>
  </si>
  <si>
    <t>Hours per day possible w/o Overtime</t>
  </si>
  <si>
    <t xml:space="preserve">Standard Hours per school year, base for payment </t>
  </si>
  <si>
    <t>Portion of Standard School Year worked</t>
  </si>
  <si>
    <t>Potential location(s) under consideration: (Address or cross street, City, County)</t>
  </si>
  <si>
    <t>FACILITIES</t>
  </si>
  <si>
    <t>SELECT "Purchase" or "Lease"</t>
  </si>
  <si>
    <t>Lease</t>
  </si>
  <si>
    <t>LEASE OPTION</t>
  </si>
  <si>
    <t>SF/pupil (50-55 sf PP common w/charter schools)(20 sf PP common for classrom only space)</t>
  </si>
  <si>
    <t>Lease area (conditioned space)(sq ft)</t>
  </si>
  <si>
    <t>Assumes no new facility</t>
  </si>
  <si>
    <t>Lease rate/sq ft/Month (Contract--Before waivers/deferrals; w/o escalator)</t>
  </si>
  <si>
    <t>net effective rate for all leases</t>
  </si>
  <si>
    <t>Lease rate/sq ft/Year (Contract--Before waivers/deferrals; w/o escalator)</t>
  </si>
  <si>
    <t>Lease rate/sq ft/month (After waivers, w/o escalator)(If applicable)</t>
  </si>
  <si>
    <t>Lease rate/sq ft/year (After waivers, w/o escalator)</t>
  </si>
  <si>
    <t>Lease rate escalator</t>
  </si>
  <si>
    <t>Lease cost/sf/month (after waivers)</t>
  </si>
  <si>
    <t>Lease rate /yr w/esca'  (after waivers)</t>
  </si>
  <si>
    <t>Facility lease cost/yr</t>
  </si>
  <si>
    <t>Per sq ft</t>
  </si>
  <si>
    <t>Custodial (Non CAM)/yr</t>
  </si>
  <si>
    <t>/sf/yr</t>
  </si>
  <si>
    <t>Utilities/yr</t>
  </si>
  <si>
    <t>CAM/yr</t>
  </si>
  <si>
    <t>Campus security</t>
  </si>
  <si>
    <t>/yr</t>
  </si>
  <si>
    <t>Insurance (If not on Ins' tab)</t>
  </si>
  <si>
    <t>Internal/major repairs</t>
  </si>
  <si>
    <t xml:space="preserve">Maintenance </t>
  </si>
  <si>
    <t>Property Taxes</t>
  </si>
  <si>
    <t>Escalator on Custodial, Utilities, CAM, Security)</t>
  </si>
  <si>
    <t>Above costs</t>
  </si>
  <si>
    <t>Security Deposit(s)(post to Cashflow ("CF Y1 Mo" tab)</t>
  </si>
  <si>
    <t>Lump sum</t>
  </si>
  <si>
    <t>Tenant Improvement Costs (Initial Capital Outlay for Occupancy)</t>
  </si>
  <si>
    <t xml:space="preserve">     Architecture &amp; Engineering</t>
  </si>
  <si>
    <t xml:space="preserve">     Space Planning</t>
  </si>
  <si>
    <t xml:space="preserve">     Other facility preparation costs</t>
  </si>
  <si>
    <t>Depreciation-Capital Outlay</t>
  </si>
  <si>
    <t>Total cash cost to lease (FYI, not shown on Summary tab)</t>
  </si>
  <si>
    <t>Total lease book expense (shown on Summary tab)</t>
  </si>
  <si>
    <t>Book Expense - Cash Cost</t>
  </si>
  <si>
    <t>Facility lease cost / Month</t>
  </si>
  <si>
    <t>Custodial (Non CAM)/mo</t>
  </si>
  <si>
    <t>Utilities/mo</t>
  </si>
  <si>
    <t>CAM /mo</t>
  </si>
  <si>
    <t>this formula picks up the wrong row</t>
  </si>
  <si>
    <t>If Lease, then facility type:</t>
  </si>
  <si>
    <t>Retail/shopping, office, industrial, school, church, other__________</t>
  </si>
  <si>
    <t>City/County sign off of improvement plans--all required work identified</t>
  </si>
  <si>
    <t>PURCHASE OPTION</t>
  </si>
  <si>
    <t>Square feet purchased</t>
  </si>
  <si>
    <t>Equity</t>
  </si>
  <si>
    <t>% of purchase price</t>
  </si>
  <si>
    <t>Purchase price per sq ft</t>
  </si>
  <si>
    <t>Amount Financed</t>
  </si>
  <si>
    <t>Purchase price</t>
  </si>
  <si>
    <t>Loan Term (years)</t>
  </si>
  <si>
    <t>Renovation cost per sq ft</t>
  </si>
  <si>
    <t>Bank Fees &amp; Points</t>
  </si>
  <si>
    <t>Total renovation costs</t>
  </si>
  <si>
    <t>Interest Rate</t>
  </si>
  <si>
    <t>Purchase price and renovation costs</t>
  </si>
  <si>
    <t>Monthly Debt Service</t>
  </si>
  <si>
    <t>Annual Debt Service</t>
  </si>
  <si>
    <t xml:space="preserve">Estimated annual interest expense </t>
  </si>
  <si>
    <t>(based on PV of all interest payments)</t>
  </si>
  <si>
    <t>Custodial Services</t>
  </si>
  <si>
    <t>Equity (down payment)</t>
  </si>
  <si>
    <t>Financing costs (6 months during planning year)</t>
  </si>
  <si>
    <t>Total cash costs to purchase</t>
  </si>
  <si>
    <t>Total purchase book  expense</t>
  </si>
  <si>
    <t>TOTAL FACILITIES CASH COSTS</t>
  </si>
  <si>
    <t>TOTAL FACILITIES Book Expense</t>
  </si>
  <si>
    <t>Difference</t>
  </si>
  <si>
    <t>To pull to other sheets</t>
  </si>
  <si>
    <t>SY 0/Incubation</t>
  </si>
  <si>
    <t>SY 1</t>
  </si>
  <si>
    <t>SY 2</t>
  </si>
  <si>
    <t>SY 3</t>
  </si>
  <si>
    <t>SY 4</t>
  </si>
  <si>
    <t>SY 5</t>
  </si>
  <si>
    <t>SY 6</t>
  </si>
  <si>
    <t>Square Feet</t>
  </si>
  <si>
    <t xml:space="preserve">General Operating &amp; Transp' Expenses </t>
  </si>
  <si>
    <t>Fall, Winter</t>
  </si>
  <si>
    <t>Be sure year 1 information below matches with your Year 1 Cashflow Worksheet totals</t>
  </si>
  <si>
    <t>Student / Classroom</t>
  </si>
  <si>
    <t xml:space="preserve">  Estimated # students to newly enroll</t>
  </si>
  <si>
    <t>FRL (% of students)</t>
  </si>
  <si>
    <t xml:space="preserve">   FRL (# of students)</t>
  </si>
  <si>
    <t xml:space="preserve">   ELL (# of students)</t>
  </si>
  <si>
    <t>Total Revenue / Pupil</t>
  </si>
  <si>
    <t>Total GenOp</t>
  </si>
  <si>
    <t>GenOp per Student</t>
  </si>
  <si>
    <t>Net Surplus after Gen Op</t>
  </si>
  <si>
    <t>Net Surplus after Gen Op per Student</t>
  </si>
  <si>
    <t>STAFF FTE COUNT</t>
  </si>
  <si>
    <t xml:space="preserve">   FTE - Total </t>
  </si>
  <si>
    <t>GENERAL OPERATING EXPENSES</t>
  </si>
  <si>
    <t>Instruction</t>
  </si>
  <si>
    <t>Assumptions</t>
  </si>
  <si>
    <t>(Manual entry)</t>
  </si>
  <si>
    <t>You may overide these formulas with more accurate estimates</t>
  </si>
  <si>
    <t>Professional development</t>
  </si>
  <si>
    <t>Per FTE</t>
  </si>
  <si>
    <t>Staff recruitment</t>
  </si>
  <si>
    <t>Per Year</t>
    <phoneticPr fontId="0" type="noConversion"/>
  </si>
  <si>
    <t>Special Ed/Psychology Consultant</t>
  </si>
  <si>
    <t>Annual Expense</t>
  </si>
  <si>
    <t>included in contracted services</t>
  </si>
  <si>
    <t>EMO / CMO Fee See Tab</t>
  </si>
  <si>
    <t>Textbooks - initial costs</t>
  </si>
  <si>
    <t>Textbooks - repurchase of new books</t>
  </si>
  <si>
    <t>Number of years use</t>
  </si>
  <si>
    <t>we rarely use text books</t>
  </si>
  <si>
    <t>Library books per new student</t>
  </si>
  <si>
    <t>Per New Student</t>
  </si>
  <si>
    <t>Food services</t>
  </si>
  <si>
    <t>Music program</t>
  </si>
  <si>
    <t>Per Student</t>
  </si>
  <si>
    <t>Management fees (Non EMO; Non CMO, Non BOSP)</t>
  </si>
  <si>
    <t>% of PCFP &amp; Other Grant funds</t>
  </si>
  <si>
    <t>Licensing fees</t>
  </si>
  <si>
    <t>Office Supplies (non direct student; not equip)</t>
  </si>
  <si>
    <t>regular office supplies and student supplies</t>
  </si>
  <si>
    <t>Supplies for students (not equip)</t>
  </si>
  <si>
    <t>Assessment costs</t>
  </si>
  <si>
    <t>Yearbook</t>
  </si>
  <si>
    <t>School store</t>
  </si>
  <si>
    <t>Contracted SPED</t>
  </si>
  <si>
    <t>included below</t>
  </si>
  <si>
    <t>Instructional supplies - Teachers (just teaching faculty)</t>
  </si>
  <si>
    <t>Per Instructional FTE</t>
  </si>
  <si>
    <t>instructional software</t>
  </si>
  <si>
    <t>General office supplies (enter here or above/student; not equip)</t>
  </si>
  <si>
    <t>Per month</t>
  </si>
  <si>
    <t>School uniforms - new students</t>
  </si>
  <si>
    <t>Per new student</t>
  </si>
  <si>
    <t>School uniforms - returning students (exclude new students)</t>
  </si>
  <si>
    <t>Per returning student (exclude new students)</t>
  </si>
  <si>
    <t>General building decorum</t>
  </si>
  <si>
    <t>Annual Exp</t>
  </si>
  <si>
    <t>Health supplies</t>
  </si>
  <si>
    <t>Per student per year</t>
  </si>
  <si>
    <t>Bank fees</t>
  </si>
  <si>
    <t>Athletic expenditures (detail below)</t>
  </si>
  <si>
    <t>Postage and shipping</t>
  </si>
  <si>
    <t>Gifts &amp; awards - students</t>
  </si>
  <si>
    <t>Gifts &amp; awards - faculty and staff</t>
  </si>
  <si>
    <t>Dues and memberships</t>
  </si>
  <si>
    <t>Travel and Meetings</t>
  </si>
  <si>
    <t>Background checks</t>
  </si>
  <si>
    <t>Per new FTE</t>
  </si>
  <si>
    <t>Accounting services</t>
  </si>
  <si>
    <t xml:space="preserve">Field trips </t>
  </si>
  <si>
    <t>Per grade level</t>
  </si>
  <si>
    <t>Field trips - out of state</t>
  </si>
  <si>
    <t>Governance/Board Background Checks</t>
  </si>
  <si>
    <t>Governance/Board Training</t>
  </si>
  <si>
    <t>Governance/Board Other Expenses</t>
  </si>
  <si>
    <t>Parent &amp; staff meetings</t>
  </si>
  <si>
    <t>Saturday School (contractors for instruction)</t>
  </si>
  <si>
    <t>Input "yes" or "no"</t>
  </si>
  <si>
    <t>Total Instructional Supplies</t>
  </si>
  <si>
    <t>Contract/Other Services (Not otherwise included in app)(note EMO, CMO, BOSP tab)</t>
  </si>
  <si>
    <t>Admissions Lottery</t>
  </si>
  <si>
    <t>Annual audit</t>
  </si>
  <si>
    <t>Application Costs Consultants:</t>
  </si>
  <si>
    <t>Board Recruitment and Screening</t>
  </si>
  <si>
    <t>Brochures, Information</t>
  </si>
  <si>
    <t>Charter application</t>
  </si>
  <si>
    <t>Community meeting, hosting</t>
  </si>
  <si>
    <t>Curriculum Development</t>
  </si>
  <si>
    <t>Deposits (non facility--if not shown elsewhere)</t>
  </si>
  <si>
    <t>Education Consultant</t>
  </si>
  <si>
    <t>HR: Hiring: Head of School</t>
  </si>
  <si>
    <t>HR: Hiring: Other</t>
  </si>
  <si>
    <t>Legal fees (Incubation Year)</t>
  </si>
  <si>
    <t>Legal fees (Post incubation)</t>
  </si>
  <si>
    <r>
      <t>Nonprofit Incorporation-Federal (</t>
    </r>
    <r>
      <rPr>
        <i/>
        <sz val="11"/>
        <color rgb="FF000000"/>
        <rFont val="Times New Roman"/>
        <family val="1"/>
      </rPr>
      <t>see note--&gt;</t>
    </r>
    <r>
      <rPr>
        <sz val="11"/>
        <color indexed="8"/>
        <rFont val="Times New Roman"/>
        <family val="1"/>
      </rPr>
      <t>)</t>
    </r>
  </si>
  <si>
    <r>
      <t>Nonprofit Incorporation-State (</t>
    </r>
    <r>
      <rPr>
        <i/>
        <sz val="11"/>
        <color rgb="FF000000"/>
        <rFont val="Times New Roman"/>
        <family val="1"/>
      </rPr>
      <t>see note--&gt;</t>
    </r>
    <r>
      <rPr>
        <sz val="11"/>
        <color indexed="8"/>
        <rFont val="Times New Roman"/>
        <family val="1"/>
      </rPr>
      <t>)</t>
    </r>
  </si>
  <si>
    <t>School leader acquisition/development costs in incubation</t>
  </si>
  <si>
    <t>Staff Recruitment/Hiring</t>
  </si>
  <si>
    <t>Website Development</t>
  </si>
  <si>
    <t>Director of Federal Programs</t>
  </si>
  <si>
    <t>IBC</t>
  </si>
  <si>
    <t>Counselors &amp; Other (4.0 FTE)</t>
  </si>
  <si>
    <t>ELL Specialist</t>
  </si>
  <si>
    <t>HS Principal's Admin</t>
  </si>
  <si>
    <t>SPED Teachers (9.0 FTE)</t>
  </si>
  <si>
    <t>Teachers &amp; TOSAs (23.55 FTE)</t>
  </si>
  <si>
    <t>Staff Leasing Fees @18.5% of rows 129-134</t>
  </si>
  <si>
    <t>Direct Contracted SPED Related Services</t>
  </si>
  <si>
    <t>Partnership: (overwrite w/type, name if available)</t>
  </si>
  <si>
    <t>Bus Passes</t>
  </si>
  <si>
    <t>Total Contract/Other Services</t>
  </si>
  <si>
    <t>Food Program</t>
  </si>
  <si>
    <t>School Pays?</t>
  </si>
  <si>
    <t>Breakfast</t>
  </si>
  <si>
    <t>Lunch program</t>
  </si>
  <si>
    <t>Snacks</t>
  </si>
  <si>
    <t>Saturday food program</t>
  </si>
  <si>
    <t>Total Food Costs</t>
  </si>
  <si>
    <t>TRANSPORTATION REVENUES/FUNDING</t>
  </si>
  <si>
    <t>Transportation Revenues/Funding (if applicable)</t>
  </si>
  <si>
    <t>TRANSPORTATION COSTS</t>
  </si>
  <si>
    <t>Percentage of students planned to participate in being transported</t>
  </si>
  <si>
    <t>Students per bus (average individual bus capacity or average per route requiring a bus)</t>
  </si>
  <si>
    <t>Bus purchase price (used bus)</t>
  </si>
  <si>
    <t>Miles driven per bus per day</t>
  </si>
  <si>
    <t>Miles driven per bus per year</t>
  </si>
  <si>
    <t>Miles per gallon</t>
  </si>
  <si>
    <t>Gallons purchased per year</t>
  </si>
  <si>
    <t>Price per gallon</t>
  </si>
  <si>
    <t>Annual fuel costs per bus</t>
  </si>
  <si>
    <t xml:space="preserve">Maintenance costs per bus </t>
  </si>
  <si>
    <t>per mile</t>
  </si>
  <si>
    <t>Annual maintenance costs per bus</t>
  </si>
  <si>
    <t>Bus Contracting Costs</t>
    <phoneticPr fontId="0" type="noConversion"/>
  </si>
  <si>
    <t>annual</t>
  </si>
  <si>
    <t>Number of students planned to enroll</t>
  </si>
  <si>
    <t>Number of students participating</t>
  </si>
  <si>
    <t>Number of buses required</t>
  </si>
  <si>
    <t>Cost of additional bus(es)</t>
  </si>
  <si>
    <t>Fuel costs</t>
  </si>
  <si>
    <t>Maintenance costs</t>
  </si>
  <si>
    <t>TOTAL TRANSPORTATION COSTS</t>
  </si>
  <si>
    <t>Per estimated rider-pupil cost</t>
  </si>
  <si>
    <t>NET TRANSPORTATION CASHFLOW</t>
  </si>
  <si>
    <t>Athletic Costs detail (subtotal posted above) (not in print range)</t>
  </si>
  <si>
    <t>Football</t>
  </si>
  <si>
    <t>Boy's basketball</t>
  </si>
  <si>
    <t>Girl's cheerleading</t>
  </si>
  <si>
    <t>Boy's soccer</t>
  </si>
  <si>
    <t>Girl's soccer</t>
  </si>
  <si>
    <t>Boy's track and field</t>
  </si>
  <si>
    <t>Girl's track and field</t>
  </si>
  <si>
    <t>Boy's lacrosse</t>
  </si>
  <si>
    <t>Girl's lacrosse</t>
  </si>
  <si>
    <t>TOTAL ATHLETIC COSTS</t>
  </si>
  <si>
    <t>Inflation (compounded/year)</t>
  </si>
  <si>
    <t>TOTAL GENERAL OPERATING EXPENSES</t>
  </si>
  <si>
    <t xml:space="preserve">   TOT GEN OPERATING EXPENSES w/o Trans</t>
  </si>
  <si>
    <t>Transportation costs not included here as they are separately shown on the Summary tab</t>
  </si>
  <si>
    <t>Furnishings, Fixtures, Equipment 
&amp; Technology (FFE&amp;T)</t>
  </si>
  <si>
    <t>Comments (Applicant/SPCSA) (Not in print range)(Explain formula overrides)</t>
  </si>
  <si>
    <t>Student enrollment</t>
  </si>
  <si>
    <t>FTE Total (PT not incl)</t>
  </si>
  <si>
    <t>(Enter manually)</t>
  </si>
  <si>
    <t>Number of copiers needed</t>
  </si>
  <si>
    <t>Annual copier lease</t>
  </si>
  <si>
    <t>Copier - usage fee</t>
  </si>
  <si>
    <t>Computers - Faculty</t>
  </si>
  <si>
    <t>Per new laptop</t>
  </si>
  <si>
    <t>Computers (Replacement) - Faculty</t>
  </si>
  <si>
    <t>Computers - Students</t>
  </si>
  <si>
    <t>Computers (Replacement)- Students</t>
  </si>
  <si>
    <t>Cart Costs</t>
  </si>
  <si>
    <t>FTE Cell phone handsets</t>
  </si>
  <si>
    <t>Per handset</t>
  </si>
  <si>
    <t>FTE Cell phones</t>
  </si>
  <si>
    <t>Internet setup</t>
  </si>
  <si>
    <t>Server</t>
  </si>
  <si>
    <t>Classroom technology, other</t>
  </si>
  <si>
    <t>Per classroom</t>
  </si>
  <si>
    <t>Educational software/curriculum</t>
  </si>
  <si>
    <t>NWEA-MAP</t>
  </si>
  <si>
    <t>iReady</t>
  </si>
  <si>
    <t>Class Dojo</t>
  </si>
  <si>
    <t>Infinite Campus</t>
  </si>
  <si>
    <t>Technology Support Services</t>
  </si>
  <si>
    <t>Internet and phone monthly service</t>
  </si>
  <si>
    <t>Website development, maintenance</t>
  </si>
  <si>
    <t>Other Equipment (security system, 
Hardware costs, setup fees)</t>
  </si>
  <si>
    <t>Other Equipment replacement</t>
  </si>
  <si>
    <t>Expected years</t>
  </si>
  <si>
    <t>Monthly equipment cost</t>
  </si>
  <si>
    <t>Computer Hardware (Other)</t>
  </si>
  <si>
    <t>Computer Software</t>
  </si>
  <si>
    <t>Faculty furniture (desks, tables, chairs…)</t>
  </si>
  <si>
    <t>Student furniture (desks, tables, chairs…)</t>
  </si>
  <si>
    <t xml:space="preserve">TOTAL FFE &amp; T COSTS 
</t>
  </si>
  <si>
    <t>Comments (Row #, you can include calculations in this workspace area; you can also insert Comments in cells above)</t>
  </si>
  <si>
    <t>Odyssey has many years of historical data to rely upon; typically on an annual basis, Odyssey expends bnetween $50K and $150K on furniture fixtures equipment and technology.</t>
  </si>
  <si>
    <t>And as Odyssey is fully operational, no significant expendutes are needed in this area.</t>
  </si>
  <si>
    <t>Select Information</t>
  </si>
  <si>
    <t>Total Enrollment</t>
  </si>
  <si>
    <t>Rev per student</t>
  </si>
  <si>
    <t>Total FFE&amp;T</t>
  </si>
  <si>
    <t>FFE&amp;T per Student</t>
  </si>
  <si>
    <t>Net Surplus after FFE&amp;T</t>
  </si>
  <si>
    <t>Net Surplus after FFE&amp;T per Student</t>
  </si>
  <si>
    <t>Insurance Coverage Expenses</t>
  </si>
  <si>
    <t>Check with your risk manager, insurance agent, or attorney as to what types of insurance you may need.</t>
  </si>
  <si>
    <t xml:space="preserve">Pre-Opening </t>
  </si>
  <si>
    <t>(You may overwrite the formulas below)</t>
  </si>
  <si>
    <t>Insurance types</t>
  </si>
  <si>
    <t>Minimum</t>
  </si>
  <si>
    <t>Annual</t>
  </si>
  <si>
    <t>(Select appropriate coverages)</t>
  </si>
  <si>
    <t>Coverage</t>
  </si>
  <si>
    <t>Cost</t>
  </si>
  <si>
    <t>6 yr+0</t>
  </si>
  <si>
    <t>Indicate below if required coverages are included, e.g., "in (c)"</t>
  </si>
  <si>
    <t>NAC 388A.190</t>
  </si>
  <si>
    <t>(i.e., for bundled insurance)</t>
  </si>
  <si>
    <t>(a) Industrial insurance coverage, if applicable</t>
  </si>
  <si>
    <t>(b) General liability insurance minimum coverage of $1,000,000. Includes coverage for molestation and sexual abuse, and have a broad form policy, with the named insureds:</t>
  </si>
  <si>
    <t>(c) Umbrella</t>
  </si>
  <si>
    <t>(d) Educators’ legal</t>
  </si>
  <si>
    <t>includes D &amp; O</t>
  </si>
  <si>
    <t>(e) Employment practices</t>
  </si>
  <si>
    <t>BUNDLED with Educators Legal above</t>
  </si>
  <si>
    <t>(f) Employment benefits</t>
  </si>
  <si>
    <t>(g) Insurance covering errors and omissions of the sponsor and 
governing body of the charter school</t>
  </si>
  <si>
    <t>(h) Motor vehicle, if applicable</t>
  </si>
  <si>
    <t>(i) Sports and athletic participation, if applicable</t>
  </si>
  <si>
    <t>NAC 388A.195</t>
  </si>
  <si>
    <t>Legal services &amp; expenses for due process complaints</t>
  </si>
  <si>
    <t>Ck w/agent</t>
  </si>
  <si>
    <t>OR describe NAC 388A.195 Reserve Fund plan in Application narrative</t>
  </si>
  <si>
    <t>Other (Check applicable requirements)</t>
  </si>
  <si>
    <t>Abuse &amp; Molestation</t>
  </si>
  <si>
    <t>Accident Insurance - For volunteers or students due to accident at school.</t>
  </si>
  <si>
    <t>see student accident below</t>
  </si>
  <si>
    <t>Commercial Property/Campus Liability</t>
  </si>
  <si>
    <t>Commercial Property/Campus Liability (_________ type)</t>
  </si>
  <si>
    <t>Cyber Liability</t>
  </si>
  <si>
    <t>Directors &amp; Officers</t>
  </si>
  <si>
    <t>see above section</t>
  </si>
  <si>
    <t>Employee Dishonesty/Crime</t>
  </si>
  <si>
    <t>bundled within</t>
  </si>
  <si>
    <t>Employement Practices Liability</t>
  </si>
  <si>
    <t>see above</t>
  </si>
  <si>
    <t>Errors and Omissions</t>
  </si>
  <si>
    <t>Excess/Umbrella Liability</t>
  </si>
  <si>
    <t>Personal and Advertising Injury</t>
  </si>
  <si>
    <t>Products/Completed Operations Aggregate</t>
  </si>
  <si>
    <t>Special Education Liability</t>
  </si>
  <si>
    <t>Student Accident Liability per accident</t>
  </si>
  <si>
    <t>Business Interruption</t>
  </si>
  <si>
    <t>Unemployment Insurance (see Staff tab)</t>
  </si>
  <si>
    <t>Worker's Compensation (see Staff tab)</t>
  </si>
  <si>
    <t>Total Insurance Expense b4 Inflation</t>
  </si>
  <si>
    <t>Inflation (Compounds)</t>
  </si>
  <si>
    <t>The above list may serve as a prompt of insurance coverages and insurance packages that need to be considered and acquired.</t>
  </si>
  <si>
    <t>Remove lines which are not applicable to your school.  Add desriptions and amounts where needed.</t>
  </si>
  <si>
    <t>Consult with your insurance agent regarding the coverages your school, faculty, leadership and board may need or want.</t>
  </si>
  <si>
    <t>Marketing &amp; Recruitment Expenses</t>
  </si>
  <si>
    <t>Charter Contract Operations Term</t>
  </si>
  <si>
    <t>STUDENT RECRUITMENT AND MARKETING</t>
  </si>
  <si>
    <t>Marketing/Recruitment Method</t>
  </si>
  <si>
    <t>Schedule estimate</t>
  </si>
  <si>
    <t>Year Round Marketing geared towards retention, enrollment and brand awareness</t>
  </si>
  <si>
    <t>Total Cost</t>
  </si>
  <si>
    <t>EMO, CMO, BOSP Budget Worksheet</t>
  </si>
  <si>
    <t xml:space="preserve">Consider a cost plus model of hiring specific services you may need, such as accounting/payroll.  But also consider </t>
  </si>
  <si>
    <t>the value of full service providers.  There can be greater savings from exercising a service cost plus a margin for</t>
  </si>
  <si>
    <t>services providers specializing in specific areas.  There can be more peace of mind from "one-stop" providers.  Some</t>
  </si>
  <si>
    <t>schools may start with one model and shift to another.  Make sure your contracts provide the flexibility you deserve.</t>
  </si>
  <si>
    <t>Education Management Organization (EMO)</t>
  </si>
  <si>
    <t>Charter Management Organization (CMO)</t>
  </si>
  <si>
    <t>School Year 1 (Fall Start)</t>
  </si>
  <si>
    <t>Back Office Service Provider (BOSP)</t>
  </si>
  <si>
    <t>Total Expenses (w/o EMO/CMO Fees)</t>
  </si>
  <si>
    <t>Do you plan to contract with a EMO/CMO during this term?</t>
  </si>
  <si>
    <t>Y/N?</t>
  </si>
  <si>
    <t>EMO/CMO/BOSP Services/Fee base/Type (Check largest applicable)</t>
  </si>
  <si>
    <t xml:space="preserve">    Per Pupil, or</t>
  </si>
  <si>
    <t xml:space="preserve">    PCFP (State) Revenue</t>
  </si>
  <si>
    <t xml:space="preserve">    Other State &amp; Local Revenue</t>
  </si>
  <si>
    <t>Check Fee Base</t>
  </si>
  <si>
    <t xml:space="preserve">    Federal</t>
  </si>
  <si>
    <t xml:space="preserve">    Total Federal, State &amp; Local Revenue, Grants, other funds </t>
  </si>
  <si>
    <t>Estimated EMO, CMO, and/or BOSP Fees</t>
  </si>
  <si>
    <t>OR</t>
  </si>
  <si>
    <t>% fee on (base),(Years x-y)</t>
  </si>
  <si>
    <t>% fee per "…" (Years z-a)</t>
  </si>
  <si>
    <t>Cost plus (Years 1 &amp; 2)</t>
  </si>
  <si>
    <t>Cost plus  (Years 3-6)</t>
  </si>
  <si>
    <t>Other fee structure (describe)</t>
  </si>
  <si>
    <t xml:space="preserve">NAC 388A.580 Initial EMO contract terms cannot exceed 2 years. Renewal contracts cannot exceed the remaining term of the written charter or charter contract, </t>
  </si>
  <si>
    <t>ESP (Education Services Provider) is not used here to reduce possible confusion with an EMO.</t>
  </si>
  <si>
    <t>EMO or CMO</t>
  </si>
  <si>
    <t>BOSP</t>
  </si>
  <si>
    <t>Incl'd</t>
  </si>
  <si>
    <t>Do they Perform</t>
  </si>
  <si>
    <t>Or a Cost</t>
  </si>
  <si>
    <t>Perform</t>
  </si>
  <si>
    <t>in fee?</t>
  </si>
  <si>
    <t>the Service?</t>
  </si>
  <si>
    <t>Pass Thru?</t>
  </si>
  <si>
    <t>Service?</t>
  </si>
  <si>
    <t>EMO, CMO, BOSP services to charter school</t>
  </si>
  <si>
    <t>Y/N</t>
  </si>
  <si>
    <t>"Back office" functions (Accounting, A/P, A/R, Payroll, Inventory, financial, compliance, reporting)</t>
  </si>
  <si>
    <t>OCS does not use EMO, CMO or BOSP organizations</t>
  </si>
  <si>
    <t>If you mark Y/N here do not mark the individual items below</t>
  </si>
  <si>
    <t>Accounting (AR, AP...)</t>
  </si>
  <si>
    <t>Bond Financing</t>
  </si>
  <si>
    <t xml:space="preserve">Capital Loans, </t>
  </si>
  <si>
    <t xml:space="preserve">Cash Advances For Startup Funds, </t>
  </si>
  <si>
    <t>Computer/Other Leasing</t>
  </si>
  <si>
    <t>Compliance</t>
  </si>
  <si>
    <t>Contract Mgt</t>
  </si>
  <si>
    <t>Curriculum</t>
  </si>
  <si>
    <t xml:space="preserve">Development of Curriculum and Instruction, </t>
  </si>
  <si>
    <t xml:space="preserve">Establishment of College Guidance &amp; Counseling Program. </t>
  </si>
  <si>
    <t>Facility Acquisition</t>
  </si>
  <si>
    <t>Facility Leasing</t>
  </si>
  <si>
    <t>Facility Tenant Improvement</t>
  </si>
  <si>
    <t>Federal funds processing</t>
  </si>
  <si>
    <t>Finance</t>
  </si>
  <si>
    <t>Food Servicing</t>
  </si>
  <si>
    <t xml:space="preserve">Furnishings, Fixtures, </t>
  </si>
  <si>
    <t>Grant Application/Processing costs</t>
  </si>
  <si>
    <t>Safety</t>
  </si>
  <si>
    <t>HR Management</t>
  </si>
  <si>
    <t>Internal Control Process Development</t>
  </si>
  <si>
    <t>Inventory</t>
  </si>
  <si>
    <t>Manage or Operate aspects of a charter school</t>
  </si>
  <si>
    <t>Payroll</t>
  </si>
  <si>
    <t xml:space="preserve">Professional Development and </t>
  </si>
  <si>
    <t>Purchasing</t>
  </si>
  <si>
    <t>Reporting</t>
  </si>
  <si>
    <t xml:space="preserve">Supervision of building Design &amp; Remodeling, </t>
  </si>
  <si>
    <t xml:space="preserve">Technology Contracting, </t>
  </si>
  <si>
    <t xml:space="preserve">Textbooks, Other Transactions, </t>
  </si>
  <si>
    <t>Other (Describe)</t>
  </si>
  <si>
    <t>Total EMO-CMO-ESP Planned Expenses</t>
  </si>
  <si>
    <t>Does the EMO provide the service or do they help you choose the service which you will pay for--separate</t>
  </si>
  <si>
    <t>from the EMO fee?</t>
  </si>
  <si>
    <t>Some schools hire both and EMO and a BOSP</t>
  </si>
  <si>
    <t>Special Populations &amp; Demographics</t>
  </si>
  <si>
    <t>Nevada State Public Charter School Authority</t>
  </si>
  <si>
    <t>For reference:</t>
  </si>
  <si>
    <t>NDE Enrollment Data</t>
  </si>
  <si>
    <t>Academic &amp; Demographic Needs Assessment (ADNA)</t>
  </si>
  <si>
    <t>PCFP Rates</t>
  </si>
  <si>
    <t>PUPIL CENTERED FUNDING PLAN SYE 24 &amp; SYE 25</t>
  </si>
  <si>
    <t xml:space="preserve"> (PCFP funding for 26, 27 expected after legislative biennium session FYE 25)</t>
  </si>
  <si>
    <t>In person</t>
  </si>
  <si>
    <t>Final adjusted base PPR, SB 503 EN (2023)</t>
  </si>
  <si>
    <t>Charter</t>
  </si>
  <si>
    <t>SYE 24</t>
  </si>
  <si>
    <t>SYE 25</t>
  </si>
  <si>
    <t>Carson City</t>
  </si>
  <si>
    <t>The content here is pulled to the "Enroll &amp; Rev" tab, so be careful modifying it.</t>
  </si>
  <si>
    <t>Churchill</t>
  </si>
  <si>
    <t>Elko</t>
  </si>
  <si>
    <t>Nye</t>
  </si>
  <si>
    <t>Washoe (Reno)</t>
  </si>
  <si>
    <t>Washoe (Stead)</t>
  </si>
  <si>
    <t>White Pine</t>
  </si>
  <si>
    <t>Virtual/Distance (aka Statewide base)</t>
  </si>
  <si>
    <t xml:space="preserve"> aka "Distance education", "aka Virtual education"</t>
  </si>
  <si>
    <t>Distance Ed SB 458.5.5 &amp; 6.5</t>
  </si>
  <si>
    <t>Distance Ed SB 458.5.5...w/Adj</t>
  </si>
  <si>
    <t>Special Populations</t>
  </si>
  <si>
    <t>Additional weighted PPR, SB 503 EN (2023)</t>
  </si>
  <si>
    <t>SpEd (TEST INPUT)</t>
  </si>
  <si>
    <t>Using 2024 rates until we see the 2025 rates from NDE.  See NDE SPED payments file (e.g., FY 2024 Special Education Payment Book - Q2_10.25.2023), "Charter School Base Allocation" tab.</t>
  </si>
  <si>
    <t>English learners</t>
  </si>
  <si>
    <t>At-risk pupils (AR)</t>
  </si>
  <si>
    <t xml:space="preserve"> (Computed separately by NDE.  Likely funded after year 1 or after year 2)</t>
  </si>
  <si>
    <t>Gifted and talented</t>
  </si>
  <si>
    <t>SB 458 (2021) established the funding rates for the SYE 22 and SYE 23 biennium.</t>
  </si>
  <si>
    <t>For the SYE 24 &amp; SYE 25 Biennium</t>
  </si>
  <si>
    <t>NDE Adjustment Factor</t>
  </si>
  <si>
    <t>For the base</t>
  </si>
  <si>
    <t>Only for the State SPED account which was not "pre" affected by the .9931% reduction.</t>
  </si>
  <si>
    <t>Final adjusted base PPR, SB 458.5-6 (2021)</t>
  </si>
  <si>
    <t>% Chg YOY</t>
  </si>
  <si>
    <t xml:space="preserve">Carson City </t>
  </si>
  <si>
    <t xml:space="preserve">Churchill </t>
  </si>
  <si>
    <t xml:space="preserve">Clark </t>
  </si>
  <si>
    <t xml:space="preserve">Elko </t>
  </si>
  <si>
    <t xml:space="preserve">Washoe </t>
  </si>
  <si>
    <t xml:space="preserve">White Pine </t>
  </si>
  <si>
    <t>Final adjusted base PPR, SB 458.5-6-(2021)-w/NDE Adj Factor</t>
  </si>
  <si>
    <t>SYE 22-
conf'd</t>
  </si>
  <si>
    <t>SYE 23</t>
  </si>
  <si>
    <t>Washoe</t>
  </si>
  <si>
    <t>CC-SYE 22</t>
  </si>
  <si>
    <t>Additional weighted PPR, SB 458.5-7 (2021)</t>
  </si>
  <si>
    <t>Placeholders for testing @ 33%</t>
  </si>
  <si>
    <t>(no 100% FRL?)</t>
  </si>
  <si>
    <t>Enrollments</t>
  </si>
  <si>
    <t>In Person</t>
  </si>
  <si>
    <t>Distance Ed'</t>
  </si>
  <si>
    <t>Working area</t>
  </si>
  <si>
    <t>Enter estimated enrollment numbers below based on the applicable categories.</t>
  </si>
  <si>
    <t>Total Enrollment (Year 1)</t>
  </si>
  <si>
    <t>General (No special pop')</t>
  </si>
  <si>
    <t>Special Populations (Unduplicated)</t>
  </si>
  <si>
    <t>Special populations (Unduplicated)</t>
  </si>
  <si>
    <t xml:space="preserve">School </t>
  </si>
  <si>
    <t>Raw totals</t>
  </si>
  <si>
    <t>Estimated Unduplicated Enrollment</t>
  </si>
  <si>
    <t>w/Dupl'n</t>
  </si>
  <si>
    <t>No</t>
  </si>
  <si>
    <t>Enrol' w/o</t>
  </si>
  <si>
    <t>Reality vs. Random</t>
  </si>
  <si>
    <t>SPED</t>
  </si>
  <si>
    <t>SPED-GATE</t>
  </si>
  <si>
    <t>SPED-ELL</t>
  </si>
  <si>
    <t>SPED-AR</t>
  </si>
  <si>
    <t>Total %</t>
  </si>
  <si>
    <t>Duplication %</t>
  </si>
  <si>
    <t>Duplication #</t>
  </si>
  <si>
    <t>Actual vs. Random</t>
  </si>
  <si>
    <t>GATE</t>
  </si>
  <si>
    <t>GATE - ELL</t>
  </si>
  <si>
    <t>GATE-AR</t>
  </si>
  <si>
    <t>ELL</t>
  </si>
  <si>
    <t>ELL-AR</t>
  </si>
  <si>
    <t>AR</t>
  </si>
  <si>
    <t xml:space="preserve">Or assume a normal distribution </t>
  </si>
  <si>
    <t>Estimated Multi-combinations</t>
  </si>
  <si>
    <t>SPED-GATE-ELL-AR</t>
  </si>
  <si>
    <t>SPED-GATE-ELL</t>
  </si>
  <si>
    <t>SPED-GATE-AR</t>
  </si>
  <si>
    <t>SPED-ELL-AR</t>
  </si>
  <si>
    <t>GATE-ELL-AR</t>
  </si>
  <si>
    <t>The below totals should be your optimized, non double-counted enrollments.</t>
  </si>
  <si>
    <t>They are used in cells E39:E42 above.</t>
  </si>
  <si>
    <t>SpEd</t>
  </si>
  <si>
    <t>EL</t>
  </si>
  <si>
    <t>G&amp;T</t>
  </si>
  <si>
    <t>Check</t>
  </si>
  <si>
    <t>Percent Total</t>
  </si>
  <si>
    <t>Add'l Funding</t>
  </si>
  <si>
    <t>Adjusted w/NDE Adj' Factor</t>
  </si>
  <si>
    <t>Full Adj Base</t>
  </si>
  <si>
    <t>Area</t>
  </si>
  <si>
    <t>Funding</t>
  </si>
  <si>
    <t>IN PERSON</t>
  </si>
  <si>
    <t>"y/n"</t>
  </si>
  <si>
    <t>PPR</t>
  </si>
  <si>
    <t>Additional Funding</t>
  </si>
  <si>
    <t>y</t>
  </si>
  <si>
    <t>Distance Education</t>
  </si>
  <si>
    <t>(All Counties)</t>
  </si>
  <si>
    <t>School Year Ending</t>
  </si>
  <si>
    <t>Full Base</t>
  </si>
  <si>
    <t>Statewide base</t>
  </si>
  <si>
    <t>Statewide base Net of adj't</t>
  </si>
  <si>
    <t>Federal Program</t>
  </si>
  <si>
    <t>Projected per-pupil</t>
  </si>
  <si>
    <t>Fiscal Year Used</t>
  </si>
  <si>
    <t>$400/FRL student</t>
  </si>
  <si>
    <t>FY21</t>
  </si>
  <si>
    <t>$4/student AND $66/FRL student</t>
  </si>
  <si>
    <t>FY19</t>
  </si>
  <si>
    <t>$97/EL student</t>
  </si>
  <si>
    <t>IDEA SPED-B</t>
  </si>
  <si>
    <t>$1005/Special Education Student</t>
  </si>
  <si>
    <t>FY20</t>
  </si>
  <si>
    <t>ENROLLMENTS</t>
  </si>
  <si>
    <t>Total Counts</t>
  </si>
  <si>
    <t>Additional Weighted Special Population Enrollment Counts (one category per pupil only)</t>
  </si>
  <si>
    <t>Location\Weightings</t>
  </si>
  <si>
    <t>Unfunded Enrollment Counts</t>
  </si>
  <si>
    <t>Grand Total</t>
  </si>
  <si>
    <t>DISTANCE EDUCATION</t>
  </si>
  <si>
    <t>Funded Weighted Enrollment Counts</t>
  </si>
  <si>
    <t>Average PPR</t>
  </si>
  <si>
    <t>Additional Weighted Supportive Funding</t>
  </si>
  <si>
    <t>Adjusted Base Funding</t>
  </si>
  <si>
    <t>Baseline Information</t>
  </si>
  <si>
    <t>Per Pupil Revenue (PPR)</t>
  </si>
  <si>
    <t>Statewide base PPR (Charter School, Distance Ed) SB 458.5-5</t>
  </si>
  <si>
    <t>District Adj' base PPR, SB 458.5-4</t>
  </si>
  <si>
    <t>Statewide base PPR, SB 458.5-5</t>
  </si>
  <si>
    <t>Final adjusted base PPR SYE 22, SB 458.5-6</t>
  </si>
  <si>
    <t>District</t>
  </si>
  <si>
    <t xml:space="preserve">Douglas </t>
  </si>
  <si>
    <t xml:space="preserve">Esmeralda </t>
  </si>
  <si>
    <t xml:space="preserve">Eureka </t>
  </si>
  <si>
    <t>Distance Ed</t>
  </si>
  <si>
    <t xml:space="preserve">Humboldt </t>
  </si>
  <si>
    <t xml:space="preserve">Lander </t>
  </si>
  <si>
    <t>Additional weighted PPR, SB 458.5-7</t>
  </si>
  <si>
    <t xml:space="preserve">Lincoln </t>
  </si>
  <si>
    <t>Awtg</t>
  </si>
  <si>
    <t xml:space="preserve">Lyon </t>
  </si>
  <si>
    <t xml:space="preserve">Mineral </t>
  </si>
  <si>
    <t>At-risk pupils</t>
  </si>
  <si>
    <t>(fka FRL)</t>
  </si>
  <si>
    <t xml:space="preserve">Nye </t>
  </si>
  <si>
    <t xml:space="preserve">Pershing </t>
  </si>
  <si>
    <t xml:space="preserve">Storey </t>
  </si>
  <si>
    <t>PUPIL CENTERED FUNDING PLAN SYE 23</t>
  </si>
  <si>
    <t>Statewide base PPR (Charter School, Distance Ed) SB 458.6-5</t>
  </si>
  <si>
    <t>District Adj' base PPR, SB 458.6-4</t>
  </si>
  <si>
    <t>Statewide base PPR, SB 458.6-5</t>
  </si>
  <si>
    <t>Final adjusted base PPR SYE 22, SB 458.6-6</t>
  </si>
  <si>
    <t>High School (9-12)  27/classroom</t>
  </si>
  <si>
    <t>Middle School (7-8)  27/classroom</t>
  </si>
  <si>
    <t>Elementary (K-6)  25/classroom</t>
  </si>
  <si>
    <t>Lease Rate B/sf/mo</t>
  </si>
  <si>
    <t>Common specifics</t>
  </si>
  <si>
    <t>Lease Rate A/sf/mo</t>
  </si>
  <si>
    <t>73.6 SF per student</t>
  </si>
  <si>
    <t>Total square feet per student</t>
  </si>
  <si>
    <t>32,000 + 4,800 = 36,800</t>
  </si>
  <si>
    <t>Total estimated square feet</t>
  </si>
  <si>
    <t xml:space="preserve">@15%(up to 20%) total = 4,800 </t>
  </si>
  <si>
    <t>Circulation (hallways)</t>
  </si>
  <si>
    <t>Space requirements pre circulation</t>
  </si>
  <si>
    <t>Parent room @ 200 SF</t>
  </si>
  <si>
    <t>Other (drama, media, 
parent room, health, etc.)</t>
  </si>
  <si>
    <t>250 SF</t>
  </si>
  <si>
    <t>Mechanical &amp; IT closet</t>
  </si>
  <si>
    <t>150 SF</t>
  </si>
  <si>
    <t>Custodial closet</t>
  </si>
  <si>
    <t>2 @ 300 SF each</t>
  </si>
  <si>
    <t>Storage closets</t>
  </si>
  <si>
    <t>(1) music @1,000 SF</t>
  </si>
  <si>
    <t>Elective classrooms</t>
  </si>
  <si>
    <t>OR--by sf/pupil</t>
  </si>
  <si>
    <t xml:space="preserve">       "                             "           (B)</t>
  </si>
  <si>
    <t>MPR / small gym @ 4,000 SF</t>
  </si>
  <si>
    <t>Multi-purpose room / gymnasium (A)</t>
  </si>
  <si>
    <t>Staff 3 @ 100 SF each</t>
  </si>
  <si>
    <t>Bathrooms (staff)</t>
  </si>
  <si>
    <t>Students - 2 @ 400 SF each</t>
  </si>
  <si>
    <t>Bathrooms (students)</t>
  </si>
  <si>
    <t>200 SF (prep only)</t>
  </si>
  <si>
    <t>Kitchen / prep room</t>
  </si>
  <si>
    <t>1,500 SF</t>
  </si>
  <si>
    <t>Commons / lunch area</t>
  </si>
  <si>
    <t>600 SF</t>
  </si>
  <si>
    <t>Teacher lounge / work room</t>
  </si>
  <si>
    <t>400 SF</t>
  </si>
  <si>
    <t>Conference room(s)</t>
  </si>
  <si>
    <t>Four offices at 100 SF each</t>
  </si>
  <si>
    <t>Administrative offices</t>
  </si>
  <si>
    <t>Reception area @   400 SF</t>
  </si>
  <si>
    <t>Reception area / offices</t>
  </si>
  <si>
    <t>SPED, ELL, counseling rooms - 
2 @ 400 SF each, 4 @ 100 SF each</t>
  </si>
  <si>
    <t>ELL Specialty offices / classrooms</t>
  </si>
  <si>
    <t>SPED, counseling room(s) - 
2 @ 400 SF each, 4 @ 100 SF each</t>
  </si>
  <si>
    <t>SPED Specialty offices / classrooms</t>
  </si>
  <si>
    <t>1 room @ 1000 SF</t>
  </si>
  <si>
    <t>Computer labs / media centers</t>
  </si>
  <si>
    <t>2 cls @ 1000 SF each</t>
  </si>
  <si>
    <t>Science labs SF</t>
  </si>
  <si>
    <t>20 cls @ 850 SF each = 17,000 SF</t>
  </si>
  <si>
    <t>Core classrooms SF</t>
  </si>
  <si>
    <t>Detailed Analysis</t>
  </si>
  <si>
    <t>Classroom, circulation, other PS</t>
  </si>
  <si>
    <t>Interior Space PS-full size</t>
  </si>
  <si>
    <t>25:1</t>
  </si>
  <si>
    <t>Students per CR</t>
  </si>
  <si>
    <t>9th-12th</t>
  </si>
  <si>
    <t>Grade levels</t>
  </si>
  <si>
    <t>500 Students</t>
  </si>
  <si>
    <t>Applicant yr3</t>
  </si>
  <si>
    <t>Applicant yr1</t>
  </si>
  <si>
    <t>Example 2</t>
  </si>
  <si>
    <t>Example 1</t>
  </si>
  <si>
    <t>Avg</t>
  </si>
  <si>
    <t>High</t>
  </si>
  <si>
    <t>Low</t>
  </si>
  <si>
    <t>Common Specifics</t>
  </si>
  <si>
    <t>Type of Space</t>
  </si>
  <si>
    <t>.</t>
  </si>
  <si>
    <t xml:space="preserve">This space planning worksheet may help determine facility needs and costs.  You are not required to complete this. </t>
  </si>
  <si>
    <t>Students/Classroom</t>
  </si>
  <si>
    <t>Enrolllment</t>
  </si>
  <si>
    <t>Facility Specifications - resource worksheet</t>
  </si>
  <si>
    <t>App Development Note</t>
  </si>
  <si>
    <t>10/2</t>
  </si>
  <si>
    <t>GenOp-proof &amp; test</t>
  </si>
  <si>
    <t>10/7</t>
  </si>
  <si>
    <t>Confirm TOC labels</t>
  </si>
  <si>
    <t>Create TOC w/urls</t>
  </si>
  <si>
    <t>Confirm right cells are locked and unlocked</t>
  </si>
  <si>
    <t>Confirm logic</t>
  </si>
  <si>
    <t>Remove unnecessary tabs</t>
  </si>
  <si>
    <t>11/15/21</t>
  </si>
  <si>
    <t>Market: adjusted Market Res(earch) formula: non surplus/deficit information result ; from: =IFERROR(IF(AND(E27,$G$51)&gt;0,E27/$G51,0),0) to =IFERROR(IF(AND(E27,$H$51)&gt;0,E27/$H51,0),0)</t>
  </si>
  <si>
    <t>'Thu 6/25/2020 em from Kristin dietz</t>
  </si>
  <si>
    <t>Jun 25 image vs Jul 13 image</t>
  </si>
  <si>
    <t>F60 ok</t>
  </si>
  <si>
    <t>Fix</t>
  </si>
  <si>
    <t>Keep&gt;=1</t>
  </si>
  <si>
    <t>Fixed</t>
  </si>
  <si>
    <t>1372 perf bonus unlocked</t>
  </si>
  <si>
    <t>cf Mktg</t>
  </si>
  <si>
    <t>Unlocked</t>
  </si>
  <si>
    <t>wkg</t>
  </si>
  <si>
    <t>xl</t>
  </si>
  <si>
    <t>Depreciation calc.  9/10. MH to edit.</t>
  </si>
  <si>
    <t>Use RFA # staff by categories</t>
  </si>
  <si>
    <t>Enrol Staff &amp; Exp</t>
  </si>
  <si>
    <t>Split off "Other" from "Guidance Counselors &amp; Other" and incorporate all logic changes. 9.10</t>
  </si>
  <si>
    <t>Why is grouping protected?  It's an Excel standard.</t>
  </si>
  <si>
    <t>Can we find a work around so app'ts can use the grouping option on the Enrol Staff &amp; Exp tab?</t>
  </si>
  <si>
    <t>Enabled being able to see formulas while keeping editing access to those cells locked. 2020.09.04 MD</t>
  </si>
  <si>
    <t>Net Surplus after Other Costs per Student</t>
  </si>
  <si>
    <t>Net Surplus after Other Costs</t>
  </si>
  <si>
    <t>Other Costs per Student</t>
  </si>
  <si>
    <t>Total Other Costs</t>
  </si>
  <si>
    <t>Marketing per Student</t>
  </si>
  <si>
    <t>Total Marketing</t>
  </si>
  <si>
    <t>Ins per Student</t>
  </si>
  <si>
    <t>Total Ins</t>
  </si>
  <si>
    <t>Transportation per Student</t>
  </si>
  <si>
    <t>Total Transportation</t>
  </si>
  <si>
    <t>Net Surplus after Facilities per Student</t>
  </si>
  <si>
    <t>Net Surplus after Facilities</t>
  </si>
  <si>
    <t>Facilities per Student</t>
  </si>
  <si>
    <t>Total Facilities</t>
  </si>
  <si>
    <t>Gen Op per Student</t>
  </si>
  <si>
    <t>Total Gen Op</t>
  </si>
  <si>
    <t>Net Surplus after Personnel per student</t>
  </si>
  <si>
    <t>Personnel per Student</t>
  </si>
  <si>
    <t>Total Personnel</t>
  </si>
  <si>
    <t>"Levers"</t>
  </si>
  <si>
    <t>Odyssey Charter School of Nevada Board</t>
  </si>
  <si>
    <t>702-257-0578</t>
  </si>
  <si>
    <t>sguthrie@odysseyk12.org</t>
  </si>
  <si>
    <t>We have one facility located at 2251 S Jones Blvd 89146 (3 leases from 2 landlords)</t>
  </si>
  <si>
    <t>Actively searching for a permanent facility with ownership</t>
  </si>
  <si>
    <t>N/A</t>
  </si>
  <si>
    <t>2251 S Jones Blvd 89146</t>
  </si>
  <si>
    <t>Number of classrooms calculated (Estimated based on 25 students per class/4 average 25% on campus daily)</t>
  </si>
  <si>
    <t>We have one facility located at 2251 S Jones Blvd 89146</t>
  </si>
  <si>
    <t>Investment Income &amp; Other</t>
  </si>
  <si>
    <t>CS Sponsorship Fee 1.15% of base</t>
  </si>
  <si>
    <t>revenue before sponsor fee</t>
  </si>
  <si>
    <t>used a 3% increase</t>
  </si>
  <si>
    <t>Extra Duty/Subs/OT</t>
  </si>
  <si>
    <t>PCFP-Local SPED from DOE</t>
  </si>
  <si>
    <t>PCFP-At-Risk</t>
  </si>
  <si>
    <t>Includes ELL</t>
  </si>
  <si>
    <t>PCFP Base and ELL</t>
  </si>
  <si>
    <t>Formula was wrong, changed it to row58 +row55</t>
  </si>
  <si>
    <t>Odyssey Charter has audited statements, including Net Position and Governmental Funds</t>
  </si>
  <si>
    <t>too difficult to make work on revenue tab</t>
  </si>
  <si>
    <t xml:space="preserve">   In balance check off due to 1% inflation added above</t>
  </si>
  <si>
    <t>Facility already occupied and operational</t>
  </si>
  <si>
    <t>Not needed</t>
  </si>
  <si>
    <t>1% YR1 2% YRs2-6 revenue growth factor</t>
  </si>
  <si>
    <r>
      <t xml:space="preserve">   In balance check</t>
    </r>
    <r>
      <rPr>
        <i/>
        <sz val="11"/>
        <color rgb="FFFF0000"/>
        <rFont val="Times New Roman"/>
        <family val="1"/>
      </rPr>
      <t xml:space="preserve"> (this is the inflation added above)</t>
    </r>
  </si>
  <si>
    <t xml:space="preserve">   In balance check off due to inflation added above</t>
  </si>
  <si>
    <t>without pension entries</t>
  </si>
  <si>
    <t>Revenue growth factor</t>
  </si>
  <si>
    <t xml:space="preserve">This upper summary section is so you have </t>
  </si>
  <si>
    <t>key information before you to help with your planning.</t>
  </si>
  <si>
    <t>Odyssey has many years of historical data to rely upon; typically on an annual basis, Odyssey expends between $50K and $150K on furniture fixtures equipment and technology</t>
  </si>
  <si>
    <t>that has been provided below to account for this data set regarding Balance Sheet Accounts</t>
  </si>
  <si>
    <t xml:space="preserve">Odyssey Charter School--Modified to Allow for Fully Operating School Version of Workbook </t>
  </si>
  <si>
    <t>Odyssey utilizes a staff leasing organization.  On tab "Gen Optg" rows 129-139 we have detailed</t>
  </si>
  <si>
    <t>all leased staff and FTE's, including 9.0 SPED Teachers and 23.5 Teachers and TOSAs.</t>
  </si>
  <si>
    <t xml:space="preserve">Please Note that these ratios do not reflect Odyssey's entire teaching and student support staff as </t>
  </si>
  <si>
    <t>Please Note that these ratios do not reflect Odyssey's blended learning model,</t>
  </si>
  <si>
    <t>Odyssey students do not attend class on campus on a daily basis.</t>
  </si>
  <si>
    <t>While Odyssey considers all Clark County schools to be feeder schools, Odyssey currently operates at or close to</t>
  </si>
  <si>
    <t>full capacity and would only draw a very small number of new stuidents each year from other schools.</t>
  </si>
  <si>
    <t>Please Note that these ratios do not reflect Odyssey's blended learning model, Odyssey students do not attend class on campus on a daily basis.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</si>
</sst>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July 1, 20&quot;##"/>
    <numFmt numFmtId="165" formatCode="&quot;SYE &quot;General"/>
    <numFmt numFmtId="166" formatCode="000\-000\-0000"/>
    <numFmt numFmtId="167" formatCode="&quot;Yr &quot;General"/>
    <numFmt numFmtId="168" formatCode="&quot;Plan max &quot;#,##0_);[Red]\(#,##0\);&quot;Plan max -&quot;"/>
    <numFmt numFmtId="169" formatCode="&quot;Plan max &quot;#,##0_);[Red]\(#,##0\)"/>
    <numFmt numFmtId="170" formatCode="_(#,##0_);[Red]_(\(#,##0\);_(&quot;-&quot;_);_(@_)"/>
    <numFmt numFmtId="171" formatCode="_(#,##0.0_);[Red]_(\(#,##0.0\);_(&quot;-&quot;_);_(@_)"/>
    <numFmt numFmtId="172" formatCode="_(#,##0_)&quot;sfPP&quot;;[Red]_(\(#,##0\);_(&quot;-&quot;_);_(@_)"/>
    <numFmt numFmtId="173" formatCode="&quot;$&quot;#,##0.00"/>
    <numFmt numFmtId="174" formatCode="_(&quot;$&quot;#,##0_);[Red]_(&quot;$&quot;\(#,##0\);_(&quot;$&quot;\ &quot;-&quot;_);_(@_)"/>
    <numFmt numFmtId="175" formatCode="0%;[Red]\(0%\);&quot;-%&quot;"/>
    <numFmt numFmtId="176" formatCode="0.00%;[Red]\(0.00%\);&quot;-%&quot;"/>
    <numFmt numFmtId="177" formatCode="&quot;$&quot;#,##0"/>
    <numFmt numFmtId="178" formatCode="0%;[Red]\(0\)%"/>
    <numFmt numFmtId="179" formatCode="_(#,##0.00_);[Red]_(\(#,##0.00\);_(&quot;-&quot;_);_(@_)"/>
    <numFmt numFmtId="180" formatCode="_(#,##0_)&quot; sf&quot;;[Red]_(\(#,##0\);_(&quot;-&quot;_);_(@_)"/>
    <numFmt numFmtId="181" formatCode="_(#,##0_)&quot; sf/p&quot;;[Red]_(\(#,##0\);_(&quot;-&quot;_);_(@_)"/>
    <numFmt numFmtId="182" formatCode="_(#,##0_)&quot;s&quot;;[Red]_(\(#,##0\)&quot; s&quot;;_(&quot;-&quot;_);_(@_)"/>
    <numFmt numFmtId="183" formatCode="&quot;max &quot;#,##0_);[Red]\(#,##0\);&quot;max -&quot;"/>
    <numFmt numFmtId="184" formatCode="&quot;max &quot;#,##0_);[Red]\(#,##0\)"/>
    <numFmt numFmtId="185" formatCode="&quot;av &quot;_(&quot;$&quot;#,##0_);[Red]_(&quot;$&quot;\(#,##0\);_(&quot;$&quot;\ &quot;-&quot;_);_(@_)"/>
    <numFmt numFmtId="186" formatCode="_(&quot;$&quot;#,##0_);&quot;$&quot;\(#,##0\);_(&quot;$&quot;&quot;-&quot;_);_(@_)"/>
    <numFmt numFmtId="187" formatCode="&quot;min &quot;_(#,##0_);[Red]_(\(#,##0\);_(&quot;-&quot;_);_(@_)"/>
    <numFmt numFmtId="188" formatCode="&quot;$&quot;#,##0_)&quot;/pp&quot;;[Red]\(&quot;$&quot;#,##0\);&quot;$-/pp&quot;"/>
    <numFmt numFmtId="189" formatCode="&quot;$&quot;#,##0_)&quot;/pp&quot;;[Red]\(&quot;$&quot;#,##0\)"/>
    <numFmt numFmtId="190" formatCode="&quot;$&quot;#,##0_)&quot;pp&quot;;[Red]\(&quot;$&quot;#,##0\)&quot;pp&quot;;&quot;$/pp&quot;"/>
    <numFmt numFmtId="191" formatCode="_(#,##0.0_)&quot;mi&quot;;[Red]_(\(#,##0.0\);_(&quot;-&quot;_);_(@_)"/>
    <numFmt numFmtId="192" formatCode="&quot;Incu' Yr &quot;General"/>
    <numFmt numFmtId="193" formatCode="0.0"/>
    <numFmt numFmtId="194" formatCode="0.0%;[Red]\(0.0%\);&quot;-%&quot;"/>
    <numFmt numFmtId="195" formatCode="_(&quot;$&quot;* #,##0_);[Red]_(&quot;$&quot;* \(#,##0\);_(&quot;$&quot;* \ &quot;-&quot;_);_(@_)"/>
    <numFmt numFmtId="196" formatCode="&quot;avg &quot;&quot;$&quot;#,##0_);[Red]\(&quot;$&quot;#,##0\);&quot;avg $-&quot;"/>
    <numFmt numFmtId="197" formatCode="_(* #,##0_);_(* \(#,##0\);_(* &quot;-&quot;??_);_(@_)"/>
    <numFmt numFmtId="198" formatCode="_(#,##0_)&quot;s&quot;;[Red]_(\(#,##0\);_(&quot;-&quot;_);_(@_)"/>
    <numFmt numFmtId="199" formatCode="#,##0_)&quot;sf&quot;;\(#,##0\)&quot;sf&quot;;_(* &quot;-&quot;_);_(@_)"/>
    <numFmt numFmtId="200" formatCode="_(&quot;$&quot;#,##0.00_)&quot;/mo&quot;;[Red]_(&quot;$&quot;\(#,##0.00\);_(&quot;$&quot;\ &quot;-&quot;_);_(@_)"/>
    <numFmt numFmtId="201" formatCode="_(&quot;$&quot;#,##0.00_)&quot;/yr&quot;;[Red]_(&quot;$&quot;\(#,##0.00\);_(&quot;$&quot;\ &quot;-&quot;_);_(@_)"/>
    <numFmt numFmtId="202" formatCode="_(&quot;$&quot;#,##0.00_);[Red]_(&quot;$&quot;\(#,##0.00\);_(&quot;$&quot;\ &quot;-&quot;_);_(@_)"/>
    <numFmt numFmtId="203" formatCode="_(&quot;$&quot;#,##0.00_);&quot;$&quot;\(#,##0.00\);_(&quot;$&quot;&quot;-&quot;_);_(@_)"/>
    <numFmt numFmtId="204" formatCode="&quot;$&quot;#,##0.00_);[Red]\(&quot;$&quot;#,##0.00\);&quot;$ -&quot;"/>
    <numFmt numFmtId="205" formatCode="_(#,##0.0_)&quot;sf&quot;;[Red]_(\(#,##0.0\);_(&quot;-&quot;_);_(@_)"/>
    <numFmt numFmtId="206" formatCode="#,##0.00;[Red]\(#,##0.00\);&quot;-&quot;"/>
    <numFmt numFmtId="207" formatCode="0.00%;[Red]\(0.00%\);&quot;% -&quot;"/>
    <numFmt numFmtId="208" formatCode="General;;&quot;-s&quot;"/>
    <numFmt numFmtId="209" formatCode="#,##0_)&quot;Ss&quot;;[Red]\(#,##0\);&quot;- Ss&quot;"/>
    <numFmt numFmtId="210" formatCode="_(&quot;$&quot;\ #,##0_);[Red]_(&quot;$&quot;\(#,##0\);_(&quot;$&quot;\ &quot;-&quot;_);_(@_)"/>
    <numFmt numFmtId="211" formatCode="_(&quot;$&quot;#,##0.0_);[Red]_(&quot;$&quot;\(#,##0.0\);_(&quot;$&quot;\ &quot;-&quot;_);_(@_)"/>
    <numFmt numFmtId="212" formatCode="_(&quot;$&quot;* #,##0_);_(&quot;$&quot;* \(#,##0\);_(&quot;$&quot;* &quot;-&quot;??_);_(@_)"/>
    <numFmt numFmtId="213" formatCode="_(&quot;$&quot;#,##0_)&quot;PP&quot;;[Red]_(&quot;$&quot;\(#,##0\);_(&quot;$&quot;\ &quot;-&quot;_);_(@_)"/>
    <numFmt numFmtId="214" formatCode="_(&quot;$&quot;#,##0_)&quot;P FRL P&quot;;[Red]_(&quot;$&quot;\(#,##0\);_(&quot;$&quot;\ &quot;-&quot;_);_(@_)"/>
    <numFmt numFmtId="215" formatCode="_(#,##0_)&quot;sf/p&quot;;[Red]_(\(#,##0\);_(&quot;-&quot;_);_(@_)"/>
    <numFmt numFmtId="216" formatCode="#,##0_)&quot;sf/p&quot;;\(#,##0\)&quot;sf&quot;;_(* &quot;-&quot;_);_(@_)"/>
    <numFmt numFmtId="217" formatCode="General&quot; s&quot;"/>
  </numFmts>
  <fonts count="118" x14ac:knownFonts="1">
    <font>
      <sz val="11"/>
      <color theme="1"/>
      <name val="Aptos Narrow"/>
      <family val="2"/>
      <scheme val="minor"/>
    </font>
    <font>
      <b/>
      <sz val="11"/>
      <color theme="0"/>
      <name val="Aptos Narrow"/>
      <family val="2"/>
      <scheme val="minor"/>
    </font>
    <font>
      <b/>
      <sz val="11"/>
      <color theme="1"/>
      <name val="Aptos Narrow"/>
      <family val="2"/>
      <scheme val="minor"/>
    </font>
    <font>
      <u/>
      <sz val="11"/>
      <color theme="10"/>
      <name val="Aptos Narrow"/>
      <family val="2"/>
      <scheme val="minor"/>
    </font>
    <font>
      <b/>
      <sz val="14"/>
      <color theme="1"/>
      <name val="Aptos Narrow"/>
      <family val="2"/>
      <scheme val="minor"/>
    </font>
    <font>
      <b/>
      <sz val="12"/>
      <color indexed="9"/>
      <name val="Arial"/>
      <family val="2"/>
    </font>
    <font>
      <b/>
      <sz val="12"/>
      <name val="Arial"/>
      <family val="2"/>
    </font>
    <font>
      <b/>
      <sz val="10"/>
      <color indexed="23"/>
      <name val="Times Roman"/>
    </font>
    <font>
      <i/>
      <sz val="9"/>
      <color indexed="8"/>
      <name val="Times Roman"/>
    </font>
    <font>
      <b/>
      <u/>
      <sz val="12"/>
      <color rgb="FF0000FF"/>
      <name val="Times New Roman"/>
      <family val="1"/>
    </font>
    <font>
      <b/>
      <sz val="12"/>
      <color theme="0"/>
      <name val="Aptos Narrow"/>
      <family val="2"/>
      <scheme val="minor"/>
    </font>
    <font>
      <sz val="11"/>
      <color indexed="8"/>
      <name val="Times New Roman"/>
      <family val="1"/>
    </font>
    <font>
      <sz val="11"/>
      <color rgb="FF0000FF"/>
      <name val="Times New Roman"/>
      <family val="1"/>
    </font>
    <font>
      <b/>
      <sz val="11"/>
      <color rgb="FF0000FF"/>
      <name val="Aptos Narrow"/>
      <family val="2"/>
      <scheme val="minor"/>
    </font>
    <font>
      <i/>
      <sz val="11"/>
      <color theme="1"/>
      <name val="Aptos Narrow"/>
      <family val="2"/>
      <scheme val="minor"/>
    </font>
    <font>
      <b/>
      <sz val="11"/>
      <color indexed="8"/>
      <name val="Calibri"/>
      <family val="2"/>
    </font>
    <font>
      <b/>
      <sz val="11"/>
      <color theme="0" tint="-0.499984740745262"/>
      <name val="Aptos Narrow"/>
      <family val="2"/>
      <scheme val="minor"/>
    </font>
    <font>
      <sz val="11"/>
      <color rgb="FF000000"/>
      <name val="Aptos Narrow"/>
      <family val="2"/>
      <scheme val="minor"/>
    </font>
    <font>
      <sz val="11"/>
      <color theme="1"/>
      <name val="Times New Roman"/>
      <family val="1"/>
    </font>
    <font>
      <sz val="11"/>
      <color theme="1"/>
      <name val="Aptos Narrow"/>
      <family val="2"/>
      <scheme val="minor"/>
    </font>
    <font>
      <u/>
      <sz val="12"/>
      <color rgb="FF0000FF"/>
      <name val="Times New Roman"/>
      <family val="1"/>
    </font>
    <font>
      <b/>
      <sz val="11"/>
      <name val="Arial"/>
      <family val="2"/>
    </font>
    <font>
      <b/>
      <sz val="10"/>
      <color indexed="23"/>
      <name val="Arial"/>
      <family val="2"/>
    </font>
    <font>
      <b/>
      <sz val="9"/>
      <color indexed="23"/>
      <name val="Arial"/>
      <family val="2"/>
    </font>
    <font>
      <i/>
      <sz val="9"/>
      <color indexed="8"/>
      <name val="Arial"/>
      <family val="2"/>
    </font>
    <font>
      <b/>
      <sz val="12"/>
      <color theme="1"/>
      <name val="Arial"/>
      <family val="2"/>
    </font>
    <font>
      <b/>
      <sz val="11"/>
      <color indexed="8"/>
      <name val="Times New Roman"/>
      <family val="1"/>
    </font>
    <font>
      <sz val="11"/>
      <color theme="0" tint="-0.249977111117893"/>
      <name val="Aptos Narrow"/>
      <family val="2"/>
      <scheme val="minor"/>
    </font>
    <font>
      <b/>
      <sz val="28"/>
      <color rgb="FF0000FF"/>
      <name val="Times New Roman"/>
      <family val="1"/>
    </font>
    <font>
      <sz val="12"/>
      <color indexed="8"/>
      <name val="Times New Roman"/>
      <family val="1"/>
    </font>
    <font>
      <b/>
      <sz val="11"/>
      <color rgb="FF0000FF"/>
      <name val="Times New Roman"/>
      <family val="1"/>
    </font>
    <font>
      <sz val="12"/>
      <color rgb="FF0000FF"/>
      <name val="Times New Roman"/>
      <family val="1"/>
    </font>
    <font>
      <i/>
      <sz val="11"/>
      <color indexed="8"/>
      <name val="Times New Roman"/>
      <family val="1"/>
    </font>
    <font>
      <i/>
      <sz val="12"/>
      <color theme="1"/>
      <name val="Arial"/>
      <family val="2"/>
    </font>
    <font>
      <b/>
      <sz val="12"/>
      <color indexed="8"/>
      <name val="Times New Roman"/>
      <family val="1"/>
    </font>
    <font>
      <b/>
      <i/>
      <sz val="12"/>
      <color theme="1"/>
      <name val="Times New Roman"/>
      <family val="1"/>
    </font>
    <font>
      <sz val="12"/>
      <color theme="0" tint="-0.34998626667073579"/>
      <name val="Times New Roman"/>
      <family val="1"/>
    </font>
    <font>
      <u/>
      <sz val="12"/>
      <color indexed="12"/>
      <name val="Times New Roman"/>
      <family val="1"/>
    </font>
    <font>
      <u/>
      <sz val="12"/>
      <color theme="10"/>
      <name val="Times New Roman"/>
      <family val="1"/>
    </font>
    <font>
      <sz val="12"/>
      <name val="Times New Roman"/>
      <family val="1"/>
    </font>
    <font>
      <i/>
      <sz val="12"/>
      <color indexed="8"/>
      <name val="Times New Roman"/>
      <family val="1"/>
    </font>
    <font>
      <b/>
      <sz val="12"/>
      <color theme="0"/>
      <name val="Arial"/>
      <family val="2"/>
    </font>
    <font>
      <b/>
      <sz val="14"/>
      <color indexed="8"/>
      <name val="Times New Roman"/>
      <family val="1"/>
    </font>
    <font>
      <sz val="10"/>
      <name val="Arial"/>
      <family val="2"/>
    </font>
    <font>
      <b/>
      <sz val="10"/>
      <color indexed="8"/>
      <name val="Times New Roman"/>
      <family val="1"/>
    </font>
    <font>
      <b/>
      <sz val="12"/>
      <color indexed="8"/>
      <name val="Arial"/>
      <family val="2"/>
    </font>
    <font>
      <i/>
      <sz val="9"/>
      <color indexed="8"/>
      <name val="Times New Roman"/>
      <family val="1"/>
    </font>
    <font>
      <sz val="11"/>
      <color theme="0" tint="-0.249977111117893"/>
      <name val="Times New Roman"/>
      <family val="1"/>
    </font>
    <font>
      <b/>
      <sz val="14"/>
      <color indexed="8"/>
      <name val="Arial"/>
      <family val="2"/>
    </font>
    <font>
      <b/>
      <i/>
      <sz val="11"/>
      <color indexed="8"/>
      <name val="Times New Roman"/>
      <family val="1"/>
    </font>
    <font>
      <sz val="11"/>
      <name val="Times New Roman"/>
      <family val="1"/>
    </font>
    <font>
      <i/>
      <sz val="11"/>
      <color theme="1"/>
      <name val="Times New Roman"/>
      <family val="1"/>
    </font>
    <font>
      <sz val="11"/>
      <color indexed="39"/>
      <name val="Times New Roman"/>
      <family val="1"/>
    </font>
    <font>
      <b/>
      <sz val="11"/>
      <name val="Times New Roman"/>
      <family val="1"/>
    </font>
    <font>
      <b/>
      <sz val="9"/>
      <color indexed="81"/>
      <name val="Tahoma"/>
      <family val="2"/>
    </font>
    <font>
      <sz val="9"/>
      <color indexed="81"/>
      <name val="Tahoma"/>
      <family val="2"/>
    </font>
    <font>
      <sz val="11"/>
      <color indexed="8"/>
      <name val="Arial"/>
      <family val="2"/>
    </font>
    <font>
      <b/>
      <sz val="11"/>
      <color indexed="8"/>
      <name val="Arial"/>
      <family val="2"/>
    </font>
    <font>
      <b/>
      <sz val="14"/>
      <color theme="0"/>
      <name val="Arial"/>
      <family val="2"/>
    </font>
    <font>
      <b/>
      <sz val="9"/>
      <color indexed="8"/>
      <name val="Times New Roman"/>
      <family val="1"/>
    </font>
    <font>
      <sz val="11"/>
      <color indexed="8"/>
      <name val="Calibri"/>
      <family val="2"/>
    </font>
    <font>
      <u/>
      <sz val="12"/>
      <color theme="10"/>
      <name val="Aptos Display"/>
      <family val="1"/>
      <scheme val="major"/>
    </font>
    <font>
      <b/>
      <sz val="12"/>
      <name val="Times New Roman"/>
      <family val="1"/>
    </font>
    <font>
      <i/>
      <sz val="11"/>
      <color rgb="FF0000FF"/>
      <name val="Times New Roman"/>
      <family val="1"/>
    </font>
    <font>
      <b/>
      <i/>
      <sz val="11"/>
      <color theme="0" tint="-0.34998626667073579"/>
      <name val="Times New Roman"/>
      <family val="1"/>
    </font>
    <font>
      <i/>
      <sz val="11"/>
      <name val="Times New Roman"/>
      <family val="1"/>
    </font>
    <font>
      <i/>
      <sz val="11"/>
      <color theme="0" tint="-0.34998626667073579"/>
      <name val="Times New Roman"/>
      <family val="1"/>
    </font>
    <font>
      <sz val="11"/>
      <color indexed="32"/>
      <name val="Times New Roman"/>
      <family val="1"/>
    </font>
    <font>
      <i/>
      <sz val="11"/>
      <color indexed="32"/>
      <name val="Times New Roman"/>
      <family val="1"/>
    </font>
    <font>
      <b/>
      <sz val="11"/>
      <color indexed="32"/>
      <name val="Times New Roman"/>
      <family val="1"/>
    </font>
    <font>
      <i/>
      <u/>
      <sz val="11"/>
      <color theme="10"/>
      <name val="Times New Roman"/>
      <family val="1"/>
    </font>
    <font>
      <sz val="11"/>
      <color theme="0" tint="-0.34998626667073579"/>
      <name val="Times New Roman"/>
      <family val="1"/>
    </font>
    <font>
      <b/>
      <sz val="11"/>
      <color rgb="FF0070C0"/>
      <name val="Aptos Narrow"/>
      <family val="2"/>
      <scheme val="minor"/>
    </font>
    <font>
      <sz val="10"/>
      <color indexed="8"/>
      <name val="Times New Roman"/>
      <family val="1"/>
    </font>
    <font>
      <sz val="11"/>
      <color rgb="FFFF0000"/>
      <name val="Times New Roman"/>
      <family val="1"/>
    </font>
    <font>
      <i/>
      <u/>
      <sz val="12"/>
      <color theme="10"/>
      <name val="Times New Roman"/>
      <family val="1"/>
    </font>
    <font>
      <b/>
      <sz val="14"/>
      <name val="Times New Roman"/>
      <family val="1"/>
    </font>
    <font>
      <sz val="14"/>
      <color indexed="8"/>
      <name val="Times New Roman"/>
      <family val="1"/>
    </font>
    <font>
      <sz val="11"/>
      <color rgb="FF002060"/>
      <name val="Times New Roman"/>
      <family val="1"/>
    </font>
    <font>
      <u/>
      <sz val="11"/>
      <color indexed="8"/>
      <name val="Times New Roman"/>
      <family val="1"/>
    </font>
    <font>
      <i/>
      <sz val="11"/>
      <color rgb="FF000000"/>
      <name val="Times New Roman"/>
      <family val="1"/>
    </font>
    <font>
      <sz val="8.8000000000000007"/>
      <color indexed="8"/>
      <name val="Times New Roman"/>
      <family val="1"/>
    </font>
    <font>
      <b/>
      <u/>
      <sz val="18"/>
      <name val="Arial"/>
      <family val="2"/>
    </font>
    <font>
      <b/>
      <u/>
      <sz val="18"/>
      <color theme="10"/>
      <name val="Calibri"/>
      <family val="2"/>
    </font>
    <font>
      <b/>
      <sz val="10"/>
      <name val="Arial"/>
      <family val="2"/>
    </font>
    <font>
      <i/>
      <sz val="9"/>
      <name val="Arial"/>
      <family val="2"/>
    </font>
    <font>
      <b/>
      <sz val="12"/>
      <color theme="1"/>
      <name val="Aptos Narrow"/>
      <family val="2"/>
      <scheme val="minor"/>
    </font>
    <font>
      <sz val="12"/>
      <color theme="1"/>
      <name val="Aptos Narrow"/>
      <family val="2"/>
      <scheme val="minor"/>
    </font>
    <font>
      <b/>
      <u/>
      <sz val="12"/>
      <color theme="10"/>
      <name val="Calibri"/>
      <family val="2"/>
    </font>
    <font>
      <sz val="9"/>
      <color indexed="8"/>
      <name val="Times New Roman"/>
      <family val="1"/>
    </font>
    <font>
      <sz val="9"/>
      <name val="Arial"/>
      <family val="2"/>
    </font>
    <font>
      <sz val="12"/>
      <name val="Arial"/>
      <family val="2"/>
    </font>
    <font>
      <sz val="11"/>
      <color indexed="32"/>
      <name val="Aptos Narrow"/>
      <family val="2"/>
      <scheme val="minor"/>
    </font>
    <font>
      <sz val="12"/>
      <color theme="0" tint="-0.249977111117893"/>
      <name val="Times New Roman"/>
      <family val="1"/>
    </font>
    <font>
      <sz val="12"/>
      <color theme="0" tint="-0.249977111117893"/>
      <name val="Aptos Narrow"/>
      <family val="2"/>
      <scheme val="minor"/>
    </font>
    <font>
      <sz val="11"/>
      <name val="Arial"/>
      <family val="2"/>
    </font>
    <font>
      <sz val="11"/>
      <color indexed="32"/>
      <name val="Arial"/>
      <family val="2"/>
    </font>
    <font>
      <sz val="12"/>
      <color indexed="32"/>
      <name val="Arial"/>
      <family val="2"/>
    </font>
    <font>
      <sz val="8"/>
      <name val="Arial"/>
      <family val="2"/>
    </font>
    <font>
      <b/>
      <sz val="11"/>
      <color indexed="32"/>
      <name val="Arial"/>
      <family val="2"/>
    </font>
    <font>
      <sz val="11"/>
      <color theme="1"/>
      <name val="Arial"/>
      <family val="2"/>
    </font>
    <font>
      <sz val="12"/>
      <color indexed="32"/>
      <name val="Times New Roman"/>
      <family val="1"/>
    </font>
    <font>
      <b/>
      <sz val="11"/>
      <color rgb="FFFF0000"/>
      <name val="Aptos Narrow"/>
      <family val="2"/>
      <scheme val="minor"/>
    </font>
    <font>
      <sz val="12"/>
      <color rgb="FF000000"/>
      <name val="Cambria"/>
      <family val="1"/>
    </font>
    <font>
      <b/>
      <sz val="11"/>
      <color theme="1"/>
      <name val="Times New Roman"/>
      <family val="1"/>
    </font>
    <font>
      <i/>
      <sz val="12"/>
      <color theme="1"/>
      <name val="Aptos Narrow"/>
      <family val="2"/>
      <scheme val="minor"/>
    </font>
    <font>
      <sz val="10"/>
      <color rgb="FF000000"/>
      <name val="Times New Roman"/>
      <family val="1"/>
    </font>
    <font>
      <sz val="12"/>
      <color rgb="FF000000"/>
      <name val="Times New Roman"/>
      <family val="1"/>
    </font>
    <font>
      <sz val="11"/>
      <color rgb="FF000000"/>
      <name val="Times New Roman"/>
      <family val="1"/>
    </font>
    <font>
      <i/>
      <sz val="8"/>
      <color indexed="8"/>
      <name val="Times New Roman"/>
      <family val="1"/>
    </font>
    <font>
      <sz val="11"/>
      <color rgb="FFFF0000"/>
      <name val="Aptos Narrow"/>
      <family val="2"/>
      <scheme val="minor"/>
    </font>
    <font>
      <b/>
      <sz val="12"/>
      <color rgb="FFFF0000"/>
      <name val="Times New Roman"/>
      <family val="1"/>
    </font>
    <font>
      <b/>
      <sz val="11"/>
      <color rgb="FFFF0000"/>
      <name val="Times New Roman"/>
      <family val="1"/>
    </font>
    <font>
      <b/>
      <i/>
      <sz val="11"/>
      <color rgb="FFFF0000"/>
      <name val="Times New Roman"/>
      <family val="1"/>
    </font>
    <font>
      <b/>
      <i/>
      <sz val="20"/>
      <color rgb="FFFF0000"/>
      <name val="Times New Roman"/>
      <family val="1"/>
    </font>
    <font>
      <i/>
      <sz val="11"/>
      <color rgb="FFFF0000"/>
      <name val="Times New Roman"/>
      <family val="1"/>
    </font>
    <font>
      <b/>
      <sz val="12"/>
      <color rgb="FFFF0000"/>
      <name val="Arial"/>
      <family val="2"/>
    </font>
    <font>
      <sz val="16"/>
      <color rgb="FFFF0000"/>
      <name val="Arial"/>
      <family val="2"/>
    </font>
  </fonts>
  <fills count="21">
    <fill>
      <patternFill patternType="none"/>
    </fill>
    <fill>
      <patternFill patternType="gray125"/>
    </fill>
    <fill>
      <patternFill patternType="solid">
        <fgColor indexed="51"/>
        <bgColor indexed="64"/>
      </patternFill>
    </fill>
    <fill>
      <patternFill patternType="solid">
        <fgColor indexed="18"/>
        <bgColor indexed="8"/>
      </patternFill>
    </fill>
    <fill>
      <patternFill patternType="solid">
        <fgColor indexed="22"/>
        <bgColor indexed="64"/>
      </patternFill>
    </fill>
    <fill>
      <patternFill patternType="solid">
        <fgColor rgb="FF0000FF"/>
        <bgColor indexed="64"/>
      </patternFill>
    </fill>
    <fill>
      <patternFill patternType="solid">
        <fgColor indexed="41"/>
        <bgColor indexed="64"/>
      </patternFill>
    </fill>
    <fill>
      <patternFill patternType="solid">
        <fgColor indexed="43"/>
        <bgColor indexed="64"/>
      </patternFill>
    </fill>
    <fill>
      <patternFill patternType="solid">
        <fgColor rgb="FFF0F0F0"/>
        <bgColor indexed="64"/>
      </patternFill>
    </fill>
    <fill>
      <patternFill patternType="solid">
        <fgColor indexed="42"/>
        <bgColor indexed="64"/>
      </patternFill>
    </fill>
    <fill>
      <patternFill patternType="solid">
        <fgColor indexed="29"/>
        <bgColor indexed="64"/>
      </patternFill>
    </fill>
    <fill>
      <patternFill patternType="solid">
        <fgColor indexed="55"/>
        <bgColor indexed="64"/>
      </patternFill>
    </fill>
    <fill>
      <patternFill patternType="solid">
        <fgColor rgb="FFCCCCCC"/>
        <bgColor indexed="64"/>
      </patternFill>
    </fill>
    <fill>
      <patternFill patternType="solid">
        <fgColor indexed="13"/>
        <bgColor indexed="64"/>
      </patternFill>
    </fill>
    <fill>
      <patternFill patternType="solid">
        <fgColor indexed="9"/>
        <bgColor indexed="64"/>
      </patternFill>
    </fill>
    <fill>
      <patternFill patternType="solid">
        <fgColor indexed="47"/>
        <bgColor indexed="64"/>
      </patternFill>
    </fill>
    <fill>
      <patternFill patternType="solid">
        <fgColor rgb="FFFFFF99"/>
        <bgColor indexed="64"/>
      </patternFill>
    </fill>
    <fill>
      <patternFill patternType="solid">
        <fgColor indexed="15"/>
        <bgColor indexed="64"/>
      </patternFill>
    </fill>
    <fill>
      <patternFill patternType="solid">
        <fgColor indexed="11"/>
        <bgColor indexed="64"/>
      </patternFill>
    </fill>
    <fill>
      <patternFill patternType="solid">
        <fgColor theme="6" tint="0.79998168889431442"/>
        <bgColor indexed="64"/>
      </patternFill>
    </fill>
    <fill>
      <patternFill patternType="solid">
        <fgColor rgb="FFFFFF00"/>
        <bgColor indexed="64"/>
      </patternFill>
    </fill>
  </fills>
  <borders count="114">
    <border>
      <left/>
      <right/>
      <top/>
      <bottom/>
      <diagonal/>
    </border>
    <border>
      <left/>
      <right/>
      <top/>
      <bottom style="hair">
        <color indexed="22"/>
      </bottom>
      <diagonal/>
    </border>
    <border>
      <left/>
      <right/>
      <top/>
      <bottom style="thin">
        <color indexed="64"/>
      </bottom>
      <diagonal/>
    </border>
    <border>
      <left/>
      <right/>
      <top style="thin">
        <color indexed="64"/>
      </top>
      <bottom style="hair">
        <color indexed="22"/>
      </bottom>
      <diagonal/>
    </border>
    <border>
      <left style="hair">
        <color indexed="22"/>
      </left>
      <right style="hair">
        <color indexed="22"/>
      </right>
      <top style="hair">
        <color indexed="22"/>
      </top>
      <bottom style="hair">
        <color indexed="22"/>
      </bottom>
      <diagonal/>
    </border>
    <border>
      <left/>
      <right/>
      <top style="hair">
        <color indexed="22"/>
      </top>
      <bottom style="hair">
        <color indexed="22"/>
      </bottom>
      <diagonal/>
    </border>
    <border>
      <left style="hair">
        <color indexed="22"/>
      </left>
      <right/>
      <top style="hair">
        <color indexed="22"/>
      </top>
      <bottom style="hair">
        <color indexed="22"/>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9"/>
      </right>
      <top style="thin">
        <color indexed="64"/>
      </top>
      <bottom style="thin">
        <color indexed="9"/>
      </bottom>
      <diagonal/>
    </border>
    <border>
      <left style="thin">
        <color indexed="9"/>
      </left>
      <right style="thin">
        <color indexed="9"/>
      </right>
      <top style="thin">
        <color indexed="64"/>
      </top>
      <bottom style="thin">
        <color indexed="9"/>
      </bottom>
      <diagonal/>
    </border>
    <border>
      <left style="thin">
        <color indexed="9"/>
      </left>
      <right style="thin">
        <color indexed="64"/>
      </right>
      <top style="thin">
        <color indexed="64"/>
      </top>
      <bottom style="thin">
        <color indexed="9"/>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9"/>
      </right>
      <top style="thin">
        <color indexed="64"/>
      </top>
      <bottom style="thin">
        <color indexed="9"/>
      </bottom>
      <diagonal/>
    </border>
    <border>
      <left style="thin">
        <color indexed="64"/>
      </left>
      <right/>
      <top/>
      <bottom style="thin">
        <color indexed="64"/>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22"/>
      </right>
      <top style="thin">
        <color indexed="64"/>
      </top>
      <bottom style="hair">
        <color indexed="22"/>
      </bottom>
      <diagonal/>
    </border>
    <border>
      <left style="hair">
        <color indexed="22"/>
      </left>
      <right style="hair">
        <color indexed="22"/>
      </right>
      <top style="thin">
        <color indexed="64"/>
      </top>
      <bottom style="hair">
        <color indexed="22"/>
      </bottom>
      <diagonal/>
    </border>
    <border>
      <left/>
      <right style="hair">
        <color indexed="22"/>
      </right>
      <top style="hair">
        <color indexed="22"/>
      </top>
      <bottom style="hair">
        <color indexed="22"/>
      </bottom>
      <diagonal/>
    </border>
    <border>
      <left/>
      <right/>
      <top style="hair">
        <color indexed="22"/>
      </top>
      <bottom style="thin">
        <color indexed="64"/>
      </bottom>
      <diagonal/>
    </border>
    <border>
      <left/>
      <right style="hair">
        <color indexed="22"/>
      </right>
      <top style="hair">
        <color indexed="22"/>
      </top>
      <bottom style="thin">
        <color indexed="64"/>
      </bottom>
      <diagonal/>
    </border>
    <border>
      <left style="hair">
        <color indexed="22"/>
      </left>
      <right style="hair">
        <color indexed="22"/>
      </right>
      <top style="hair">
        <color indexed="22"/>
      </top>
      <bottom style="thin">
        <color indexed="64"/>
      </bottom>
      <diagonal/>
    </border>
    <border>
      <left style="thin">
        <color indexed="64"/>
      </left>
      <right/>
      <top style="thin">
        <color indexed="64"/>
      </top>
      <bottom style="hair">
        <color indexed="22"/>
      </bottom>
      <diagonal/>
    </border>
    <border>
      <left/>
      <right style="thin">
        <color indexed="64"/>
      </right>
      <top style="thin">
        <color indexed="64"/>
      </top>
      <bottom style="hair">
        <color indexed="22"/>
      </bottom>
      <diagonal/>
    </border>
    <border>
      <left style="thin">
        <color indexed="64"/>
      </left>
      <right/>
      <top style="hair">
        <color indexed="22"/>
      </top>
      <bottom style="hair">
        <color indexed="22"/>
      </bottom>
      <diagonal/>
    </border>
    <border>
      <left/>
      <right style="thin">
        <color indexed="64"/>
      </right>
      <top style="hair">
        <color indexed="22"/>
      </top>
      <bottom style="hair">
        <color indexed="22"/>
      </bottom>
      <diagonal/>
    </border>
    <border>
      <left style="thin">
        <color indexed="64"/>
      </left>
      <right/>
      <top style="hair">
        <color indexed="22"/>
      </top>
      <bottom/>
      <diagonal/>
    </border>
    <border>
      <left/>
      <right/>
      <top style="hair">
        <color indexed="22"/>
      </top>
      <bottom/>
      <diagonal/>
    </border>
    <border>
      <left/>
      <right style="thin">
        <color indexed="64"/>
      </right>
      <top style="hair">
        <color indexed="22"/>
      </top>
      <bottom/>
      <diagonal/>
    </border>
    <border>
      <left style="thin">
        <color indexed="64"/>
      </left>
      <right/>
      <top style="hair">
        <color indexed="22"/>
      </top>
      <bottom style="thin">
        <color indexed="64"/>
      </bottom>
      <diagonal/>
    </border>
    <border>
      <left/>
      <right style="thin">
        <color indexed="64"/>
      </right>
      <top style="hair">
        <color indexed="22"/>
      </top>
      <bottom style="thin">
        <color indexed="64"/>
      </bottom>
      <diagonal/>
    </border>
    <border>
      <left style="thin">
        <color indexed="64"/>
      </left>
      <right/>
      <top/>
      <bottom/>
      <diagonal/>
    </border>
    <border>
      <left style="hair">
        <color indexed="22"/>
      </left>
      <right style="hair">
        <color indexed="22"/>
      </right>
      <top/>
      <bottom style="hair">
        <color indexed="22"/>
      </bottom>
      <diagonal/>
    </border>
    <border>
      <left style="hair">
        <color indexed="22"/>
      </left>
      <right style="hair">
        <color indexed="22"/>
      </right>
      <top style="hair">
        <color indexed="22"/>
      </top>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22"/>
      </left>
      <right style="hair">
        <color indexed="22"/>
      </right>
      <top style="thin">
        <color indexed="64"/>
      </top>
      <bottom style="thin">
        <color indexed="64"/>
      </bottom>
      <diagonal/>
    </border>
    <border>
      <left/>
      <right style="hair">
        <color indexed="22"/>
      </right>
      <top style="hair">
        <color indexed="22"/>
      </top>
      <bottom/>
      <diagonal/>
    </border>
    <border>
      <left style="hair">
        <color indexed="22"/>
      </left>
      <right style="hair">
        <color indexed="22"/>
      </right>
      <top style="thin">
        <color indexed="64"/>
      </top>
      <bottom/>
      <diagonal/>
    </border>
    <border>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dashed">
        <color indexed="64"/>
      </top>
      <bottom/>
      <diagonal/>
    </border>
    <border>
      <left style="hair">
        <color indexed="64"/>
      </left>
      <right style="hair">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bottom style="medium">
        <color indexed="64"/>
      </bottom>
      <diagonal/>
    </border>
    <border>
      <left style="hair">
        <color indexed="22"/>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22"/>
      </top>
      <bottom style="hair">
        <color indexed="22"/>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right/>
      <top style="thin">
        <color indexed="64"/>
      </top>
      <bottom style="double">
        <color indexed="64"/>
      </bottom>
      <diagonal/>
    </border>
    <border>
      <left style="thin">
        <color indexed="64"/>
      </left>
      <right style="hair">
        <color indexed="22"/>
      </right>
      <top style="thin">
        <color indexed="64"/>
      </top>
      <bottom style="hair">
        <color indexed="22"/>
      </bottom>
      <diagonal/>
    </border>
    <border>
      <left style="thin">
        <color indexed="64"/>
      </left>
      <right style="hair">
        <color indexed="22"/>
      </right>
      <top style="hair">
        <color indexed="22"/>
      </top>
      <bottom style="hair">
        <color indexed="22"/>
      </bottom>
      <diagonal/>
    </border>
    <border>
      <left style="thin">
        <color indexed="64"/>
      </left>
      <right style="hair">
        <color indexed="22"/>
      </right>
      <top style="hair">
        <color indexed="22"/>
      </top>
      <bottom/>
      <diagonal/>
    </border>
    <border>
      <left style="thin">
        <color indexed="64"/>
      </left>
      <right style="hair">
        <color indexed="22"/>
      </right>
      <top style="hair">
        <color indexed="22"/>
      </top>
      <bottom style="thin">
        <color indexed="64"/>
      </bottom>
      <diagonal/>
    </border>
    <border>
      <left/>
      <right style="thin">
        <color indexed="64"/>
      </right>
      <top/>
      <bottom/>
      <diagonal/>
    </border>
    <border>
      <left style="hair">
        <color indexed="22"/>
      </left>
      <right style="thin">
        <color indexed="64"/>
      </right>
      <top style="thin">
        <color indexed="64"/>
      </top>
      <bottom/>
      <diagonal/>
    </border>
    <border>
      <left style="hair">
        <color indexed="22"/>
      </left>
      <right style="thin">
        <color indexed="64"/>
      </right>
      <top style="hair">
        <color indexed="22"/>
      </top>
      <bottom style="hair">
        <color indexed="22"/>
      </bottom>
      <diagonal/>
    </border>
    <border>
      <left style="thin">
        <color indexed="64"/>
      </left>
      <right style="hair">
        <color indexed="22"/>
      </right>
      <top/>
      <bottom style="hair">
        <color indexed="22"/>
      </bottom>
      <diagonal/>
    </border>
    <border>
      <left style="hair">
        <color indexed="22"/>
      </left>
      <right style="thin">
        <color indexed="64"/>
      </right>
      <top style="hair">
        <color indexed="22"/>
      </top>
      <bottom/>
      <diagonal/>
    </border>
    <border>
      <left style="hair">
        <color indexed="22"/>
      </left>
      <right style="thin">
        <color indexed="64"/>
      </right>
      <top style="hair">
        <color indexed="22"/>
      </top>
      <bottom style="thin">
        <color indexed="64"/>
      </bottom>
      <diagonal/>
    </border>
    <border>
      <left style="hair">
        <color indexed="22"/>
      </left>
      <right/>
      <top style="thin">
        <color indexed="64"/>
      </top>
      <bottom style="hair">
        <color indexed="22"/>
      </bottom>
      <diagonal/>
    </border>
    <border>
      <left style="hair">
        <color indexed="22"/>
      </left>
      <right/>
      <top style="hair">
        <color indexed="22"/>
      </top>
      <bottom/>
      <diagonal/>
    </border>
    <border>
      <left style="hair">
        <color indexed="22"/>
      </left>
      <right/>
      <top style="hair">
        <color indexed="22"/>
      </top>
      <bottom style="thin">
        <color indexed="64"/>
      </bottom>
      <diagonal/>
    </border>
    <border>
      <left/>
      <right style="hair">
        <color indexed="22"/>
      </right>
      <top style="thin">
        <color indexed="64"/>
      </top>
      <bottom/>
      <diagonal/>
    </border>
    <border>
      <left style="hair">
        <color indexed="22"/>
      </left>
      <right/>
      <top style="thin">
        <color indexed="64"/>
      </top>
      <bottom style="thin">
        <color indexed="64"/>
      </bottom>
      <diagonal/>
    </border>
    <border>
      <left style="thin">
        <color indexed="64"/>
      </left>
      <right style="hair">
        <color indexed="22"/>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30404"/>
      </left>
      <right style="thin">
        <color rgb="FFFFFFFF"/>
      </right>
      <top style="thin">
        <color rgb="FF163861"/>
      </top>
      <bottom style="thin">
        <color rgb="FF163861"/>
      </bottom>
      <diagonal/>
    </border>
    <border>
      <left style="thin">
        <color rgb="FFFFFFFF"/>
      </left>
      <right style="thin">
        <color rgb="FFFFFFFF"/>
      </right>
      <top style="thin">
        <color rgb="FF163861"/>
      </top>
      <bottom style="thin">
        <color rgb="FF163861"/>
      </bottom>
      <diagonal/>
    </border>
    <border>
      <left style="thin">
        <color rgb="FF163861"/>
      </left>
      <right style="thin">
        <color rgb="FF030404"/>
      </right>
      <top style="thin">
        <color rgb="FF030404"/>
      </top>
      <bottom style="thin">
        <color rgb="FF030404"/>
      </bottom>
      <diagonal/>
    </border>
    <border>
      <left style="thin">
        <color rgb="FF163861"/>
      </left>
      <right style="thin">
        <color rgb="FF163861"/>
      </right>
      <top style="thin">
        <color rgb="FF163861"/>
      </top>
      <bottom style="thin">
        <color rgb="FF163861"/>
      </bottom>
      <diagonal/>
    </border>
    <border>
      <left style="thin">
        <color rgb="FF030404"/>
      </left>
      <right style="thin">
        <color rgb="FFFFFFFF"/>
      </right>
      <top/>
      <bottom style="thin">
        <color rgb="FF163861"/>
      </bottom>
      <diagonal/>
    </border>
    <border>
      <left style="thin">
        <color rgb="FFFFFFFF"/>
      </left>
      <right style="thin">
        <color rgb="FFFFFFFF"/>
      </right>
      <top/>
      <bottom style="thin">
        <color rgb="FF163861"/>
      </bottom>
      <diagonal/>
    </border>
    <border>
      <left style="thin">
        <color rgb="FF163861"/>
      </left>
      <right style="thin">
        <color rgb="FF030404"/>
      </right>
      <top/>
      <bottom style="thin">
        <color rgb="FF030404"/>
      </bottom>
      <diagonal/>
    </border>
    <border>
      <left style="thin">
        <color rgb="FF163861"/>
      </left>
      <right style="thin">
        <color rgb="FF163861"/>
      </right>
      <top/>
      <bottom style="thin">
        <color rgb="FF163861"/>
      </bottom>
      <diagonal/>
    </border>
    <border>
      <left style="thin">
        <color rgb="FFA1AFC9"/>
      </left>
      <right style="thin">
        <color indexed="64"/>
      </right>
      <top style="thin">
        <color rgb="FFA1AFC9"/>
      </top>
      <bottom style="thin">
        <color indexed="64"/>
      </bottom>
      <diagonal/>
    </border>
    <border>
      <left style="thin">
        <color indexed="64"/>
      </left>
      <right style="thin">
        <color rgb="FFA1AFC9"/>
      </right>
      <top style="thin">
        <color rgb="FFA1AFC9"/>
      </top>
      <bottom style="thin">
        <color indexed="64"/>
      </bottom>
      <diagonal/>
    </border>
    <border>
      <left style="thin">
        <color rgb="FFA1AFC9"/>
      </left>
      <right style="thin">
        <color indexed="64"/>
      </right>
      <top style="thin">
        <color rgb="FFA1AFC9"/>
      </top>
      <bottom/>
      <diagonal/>
    </border>
    <border>
      <left style="thin">
        <color rgb="FFA1AFC9"/>
      </left>
      <right style="thin">
        <color rgb="FFA1AFC9"/>
      </right>
      <top style="thin">
        <color rgb="FFA1AFC9"/>
      </top>
      <bottom/>
      <diagonal/>
    </border>
    <border>
      <left style="thin">
        <color indexed="64"/>
      </left>
      <right style="thin">
        <color rgb="FFA1AFC9"/>
      </right>
      <top style="thin">
        <color rgb="FFA1AFC9"/>
      </top>
      <bottom/>
      <diagonal/>
    </border>
    <border>
      <left style="thin">
        <color rgb="FFA1AFC9"/>
      </left>
      <right/>
      <top style="thin">
        <color rgb="FFA1AFC9"/>
      </top>
      <bottom/>
      <diagonal/>
    </border>
    <border>
      <left style="thin">
        <color rgb="FFA1AFC9"/>
      </left>
      <right style="thin">
        <color indexed="64"/>
      </right>
      <top style="thin">
        <color rgb="FFA1AFC9"/>
      </top>
      <bottom style="thin">
        <color rgb="FFA1AFC9"/>
      </bottom>
      <diagonal/>
    </border>
    <border>
      <left style="thin">
        <color indexed="64"/>
      </left>
      <right style="thin">
        <color rgb="FFA1AFC9"/>
      </right>
      <top style="thin">
        <color rgb="FFA1AFC9"/>
      </top>
      <bottom style="thin">
        <color rgb="FFA1AFC9"/>
      </bottom>
      <diagonal/>
    </border>
    <border>
      <left style="thin">
        <color rgb="FFA1AFC9"/>
      </left>
      <right style="thin">
        <color rgb="FFA1AFC9"/>
      </right>
      <top style="thin">
        <color rgb="FFA1AFC9"/>
      </top>
      <bottom style="thin">
        <color rgb="FFA1AFC9"/>
      </bottom>
      <diagonal/>
    </border>
    <border>
      <left style="thin">
        <color rgb="FFA1AFC9"/>
      </left>
      <right/>
      <top style="thin">
        <color rgb="FFA1AFC9"/>
      </top>
      <bottom style="thin">
        <color rgb="FFA1AFC9"/>
      </bottom>
      <diagonal/>
    </border>
    <border>
      <left style="thin">
        <color rgb="FFA1AFC9"/>
      </left>
      <right style="thin">
        <color indexed="64"/>
      </right>
      <top/>
      <bottom style="thin">
        <color rgb="FFA1AFC9"/>
      </bottom>
      <diagonal/>
    </border>
    <border>
      <left style="thin">
        <color rgb="FFA1AFC9"/>
      </left>
      <right style="thin">
        <color rgb="FFA1AFC9"/>
      </right>
      <top/>
      <bottom style="thin">
        <color rgb="FFA1AFC9"/>
      </bottom>
      <diagonal/>
    </border>
    <border>
      <left style="thin">
        <color indexed="64"/>
      </left>
      <right style="thin">
        <color rgb="FFA1AFC9"/>
      </right>
      <top/>
      <bottom style="thin">
        <color rgb="FFA1AFC9"/>
      </bottom>
      <diagonal/>
    </border>
    <border>
      <left/>
      <right style="thin">
        <color indexed="64"/>
      </right>
      <top style="thin">
        <color indexed="64"/>
      </top>
      <bottom style="thin">
        <color rgb="FFA1AFC9"/>
      </bottom>
      <diagonal/>
    </border>
    <border>
      <left style="thin">
        <color indexed="64"/>
      </left>
      <right/>
      <top style="thin">
        <color indexed="64"/>
      </top>
      <bottom style="thin">
        <color rgb="FFA1AFC9"/>
      </bottom>
      <diagonal/>
    </border>
    <border>
      <left style="thin">
        <color rgb="FFA1AFC9"/>
      </left>
      <right style="thin">
        <color indexed="64"/>
      </right>
      <top style="thin">
        <color indexed="64"/>
      </top>
      <bottom style="thin">
        <color indexed="64"/>
      </bottom>
      <diagonal/>
    </border>
    <border>
      <left style="thin">
        <color rgb="FFA1AFC9"/>
      </left>
      <right style="thin">
        <color rgb="FFA1AFC9"/>
      </right>
      <top style="thin">
        <color indexed="64"/>
      </top>
      <bottom style="thin">
        <color indexed="64"/>
      </bottom>
      <diagonal/>
    </border>
    <border>
      <left style="thin">
        <color indexed="64"/>
      </left>
      <right style="thin">
        <color rgb="FFA1AFC9"/>
      </right>
      <top style="thin">
        <color indexed="64"/>
      </top>
      <bottom style="thin">
        <color indexed="64"/>
      </bottom>
      <diagonal/>
    </border>
    <border>
      <left/>
      <right/>
      <top/>
      <bottom style="medium">
        <color indexed="64"/>
      </bottom>
      <diagonal/>
    </border>
  </borders>
  <cellStyleXfs count="13">
    <xf numFmtId="0" fontId="0" fillId="0" borderId="0"/>
    <xf numFmtId="0" fontId="3" fillId="0" borderId="0" applyNumberForma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0" fontId="43" fillId="0" borderId="0"/>
    <xf numFmtId="0" fontId="43" fillId="0" borderId="0"/>
    <xf numFmtId="9" fontId="60" fillId="0" borderId="0" applyFont="0" applyFill="0" applyBorder="0" applyAlignment="0" applyProtection="0"/>
    <xf numFmtId="0" fontId="72" fillId="16" borderId="47" applyNumberFormat="0" applyAlignment="0" applyProtection="0">
      <alignment horizontal="center" vertical="top"/>
    </xf>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106" fillId="0" borderId="0"/>
  </cellStyleXfs>
  <cellXfs count="1630">
    <xf numFmtId="0" fontId="0" fillId="0" borderId="0" xfId="0"/>
    <xf numFmtId="0" fontId="4" fillId="2" borderId="0" xfId="0" applyFont="1" applyFill="1" applyAlignment="1">
      <alignment horizontal="center" vertical="center"/>
    </xf>
    <xf numFmtId="0" fontId="5" fillId="3" borderId="0" xfId="0" applyFont="1" applyFill="1"/>
    <xf numFmtId="0" fontId="6" fillId="4" borderId="0" xfId="0" applyFont="1" applyFill="1"/>
    <xf numFmtId="0" fontId="7" fillId="0" borderId="0" xfId="0" applyFont="1"/>
    <xf numFmtId="0" fontId="8" fillId="0" borderId="0" xfId="0" applyFont="1"/>
    <xf numFmtId="0" fontId="9" fillId="0" borderId="1" xfId="1" applyFont="1" applyBorder="1" applyAlignment="1" applyProtection="1">
      <alignment horizontal="right"/>
    </xf>
    <xf numFmtId="0" fontId="9" fillId="0" borderId="0" xfId="1" applyFont="1" applyBorder="1" applyAlignment="1" applyProtection="1">
      <alignment horizontal="left"/>
    </xf>
    <xf numFmtId="0" fontId="10" fillId="5" borderId="0" xfId="0" applyFont="1" applyFill="1"/>
    <xf numFmtId="0" fontId="11" fillId="6" borderId="0" xfId="0" applyFont="1" applyFill="1" applyAlignment="1">
      <alignment wrapText="1"/>
    </xf>
    <xf numFmtId="0" fontId="12" fillId="7" borderId="0" xfId="0" applyFont="1" applyFill="1" applyAlignment="1">
      <alignment wrapText="1"/>
    </xf>
    <xf numFmtId="0" fontId="0" fillId="0" borderId="0" xfId="0" applyAlignment="1">
      <alignment wrapText="1"/>
    </xf>
    <xf numFmtId="0" fontId="13" fillId="8" borderId="0" xfId="0" applyFont="1" applyFill="1"/>
    <xf numFmtId="0" fontId="14" fillId="0" borderId="0" xfId="0" applyFont="1" applyAlignment="1">
      <alignment wrapText="1"/>
    </xf>
    <xf numFmtId="0" fontId="2" fillId="8" borderId="0" xfId="0" applyFont="1" applyFill="1" applyAlignment="1">
      <alignment horizontal="left" indent="1"/>
    </xf>
    <xf numFmtId="0" fontId="0" fillId="8" borderId="0" xfId="0" applyFill="1" applyAlignment="1">
      <alignment wrapText="1"/>
    </xf>
    <xf numFmtId="0" fontId="2" fillId="0" borderId="0" xfId="0" applyFont="1"/>
    <xf numFmtId="0" fontId="0" fillId="8" borderId="0" xfId="0" applyFill="1"/>
    <xf numFmtId="0" fontId="16" fillId="8" borderId="0" xfId="0" applyFont="1" applyFill="1"/>
    <xf numFmtId="0" fontId="17" fillId="0" borderId="0" xfId="0" applyFont="1" applyAlignment="1">
      <alignment wrapText="1"/>
    </xf>
    <xf numFmtId="0" fontId="1" fillId="5" borderId="0" xfId="0" applyFont="1" applyFill="1"/>
    <xf numFmtId="0" fontId="18" fillId="0" borderId="0" xfId="0" applyFont="1" applyAlignment="1">
      <alignment wrapText="1"/>
    </xf>
    <xf numFmtId="0" fontId="20" fillId="0" borderId="0" xfId="1" applyFont="1" applyBorder="1" applyAlignment="1" applyProtection="1">
      <alignment horizontal="left"/>
    </xf>
    <xf numFmtId="0" fontId="21" fillId="4" borderId="0" xfId="0" applyFont="1" applyFill="1"/>
    <xf numFmtId="0" fontId="22" fillId="0" borderId="0" xfId="0" applyFont="1"/>
    <xf numFmtId="0" fontId="23" fillId="0" borderId="0" xfId="0" applyFont="1"/>
    <xf numFmtId="0" fontId="24" fillId="0" borderId="0" xfId="0" applyFont="1"/>
    <xf numFmtId="0" fontId="25" fillId="0" borderId="0" xfId="0" applyFont="1"/>
    <xf numFmtId="0" fontId="26" fillId="0" borderId="2" xfId="0" applyFont="1" applyBorder="1"/>
    <xf numFmtId="0" fontId="11" fillId="0" borderId="2" xfId="0" applyFont="1" applyBorder="1"/>
    <xf numFmtId="0" fontId="27" fillId="0" borderId="0" xfId="0" applyFont="1" applyAlignment="1">
      <alignment horizontal="center"/>
    </xf>
    <xf numFmtId="0" fontId="29" fillId="0" borderId="0" xfId="0" applyFont="1" applyAlignment="1">
      <alignment horizontal="left"/>
    </xf>
    <xf numFmtId="0" fontId="30" fillId="7" borderId="4" xfId="0" applyFont="1" applyFill="1" applyBorder="1" applyAlignment="1" applyProtection="1">
      <alignment horizontal="center"/>
      <protection locked="0"/>
    </xf>
    <xf numFmtId="164" fontId="11" fillId="0" borderId="0" xfId="0" applyNumberFormat="1" applyFont="1"/>
    <xf numFmtId="165" fontId="26" fillId="0" borderId="0" xfId="0" applyNumberFormat="1" applyFont="1" applyAlignment="1">
      <alignment horizontal="center"/>
    </xf>
    <xf numFmtId="0" fontId="26" fillId="0" borderId="2" xfId="0" applyFont="1" applyBorder="1" applyAlignment="1">
      <alignment horizontal="center"/>
    </xf>
    <xf numFmtId="166" fontId="12" fillId="7" borderId="1" xfId="1" applyNumberFormat="1" applyFont="1" applyFill="1" applyBorder="1" applyAlignment="1" applyProtection="1">
      <alignment horizontal="center" wrapText="1"/>
      <protection locked="0"/>
    </xf>
    <xf numFmtId="0" fontId="32" fillId="0" borderId="0" xfId="0" applyFont="1"/>
    <xf numFmtId="0" fontId="26" fillId="0" borderId="0" xfId="0" applyFont="1"/>
    <xf numFmtId="0" fontId="12" fillId="7" borderId="4" xfId="0" applyFont="1" applyFill="1" applyBorder="1" applyAlignment="1" applyProtection="1">
      <alignment horizontal="center"/>
      <protection locked="0"/>
    </xf>
    <xf numFmtId="0" fontId="11" fillId="0" borderId="0" xfId="0" applyFont="1" applyAlignment="1">
      <alignment horizontal="left"/>
    </xf>
    <xf numFmtId="0" fontId="11" fillId="0" borderId="0" xfId="0" applyFont="1" applyAlignment="1">
      <alignment horizontal="center"/>
    </xf>
    <xf numFmtId="0" fontId="11" fillId="0" borderId="0" xfId="0" applyFont="1"/>
    <xf numFmtId="0" fontId="0" fillId="0" borderId="0" xfId="0" applyProtection="1">
      <protection locked="0"/>
    </xf>
    <xf numFmtId="0" fontId="33" fillId="0" borderId="0" xfId="0" applyFont="1"/>
    <xf numFmtId="0" fontId="34" fillId="0" borderId="0" xfId="0" applyFont="1" applyAlignment="1">
      <alignment horizontal="center"/>
    </xf>
    <xf numFmtId="0" fontId="25" fillId="0" borderId="2" xfId="0" applyFont="1" applyBorder="1"/>
    <xf numFmtId="0" fontId="34" fillId="0" borderId="2" xfId="0" applyFont="1" applyBorder="1" applyAlignment="1">
      <alignment horizontal="center"/>
    </xf>
    <xf numFmtId="0" fontId="34" fillId="0" borderId="2" xfId="0" applyFont="1" applyBorder="1" applyAlignment="1">
      <alignment horizontal="left"/>
    </xf>
    <xf numFmtId="0" fontId="0" fillId="0" borderId="2" xfId="0" applyBorder="1"/>
    <xf numFmtId="0" fontId="26" fillId="0" borderId="2" xfId="0" applyFont="1" applyBorder="1" applyProtection="1">
      <protection locked="0"/>
    </xf>
    <xf numFmtId="0" fontId="35" fillId="0" borderId="0" xfId="0" applyFont="1" applyAlignment="1">
      <alignment horizontal="center"/>
    </xf>
    <xf numFmtId="0" fontId="11" fillId="0" borderId="1" xfId="0" applyFont="1" applyBorder="1"/>
    <xf numFmtId="0" fontId="0" fillId="0" borderId="1" xfId="0" applyBorder="1"/>
    <xf numFmtId="0" fontId="0" fillId="7" borderId="5" xfId="0" applyFill="1" applyBorder="1" applyProtection="1">
      <protection locked="0"/>
    </xf>
    <xf numFmtId="0" fontId="36" fillId="0" borderId="0" xfId="0" applyFont="1" applyAlignment="1">
      <alignment horizontal="center" vertical="center"/>
    </xf>
    <xf numFmtId="0" fontId="37" fillId="2" borderId="5" xfId="1" applyFont="1" applyFill="1" applyBorder="1" applyAlignment="1" applyProtection="1">
      <alignment horizontal="left" vertical="center"/>
    </xf>
    <xf numFmtId="0" fontId="31" fillId="7" borderId="4" xfId="0" applyFont="1" applyFill="1" applyBorder="1" applyAlignment="1" applyProtection="1">
      <alignment horizontal="left"/>
      <protection locked="0"/>
    </xf>
    <xf numFmtId="0" fontId="31" fillId="7" borderId="4" xfId="0" applyFont="1" applyFill="1" applyBorder="1" applyAlignment="1" applyProtection="1">
      <alignment horizontal="center"/>
      <protection locked="0"/>
    </xf>
    <xf numFmtId="0" fontId="34" fillId="2" borderId="5" xfId="0" applyFont="1" applyFill="1" applyBorder="1"/>
    <xf numFmtId="0" fontId="11" fillId="2" borderId="5" xfId="0" applyFont="1" applyFill="1" applyBorder="1"/>
    <xf numFmtId="0" fontId="0" fillId="2" borderId="5" xfId="0" applyFill="1" applyBorder="1"/>
    <xf numFmtId="0" fontId="37" fillId="0" borderId="5" xfId="1" applyFont="1" applyBorder="1" applyAlignment="1" applyProtection="1">
      <alignment horizontal="left" vertical="center"/>
    </xf>
    <xf numFmtId="0" fontId="29" fillId="0" borderId="5" xfId="0" applyFont="1" applyBorder="1" applyAlignment="1">
      <alignment vertical="center"/>
    </xf>
    <xf numFmtId="0" fontId="11" fillId="0" borderId="5" xfId="0" applyFont="1" applyBorder="1"/>
    <xf numFmtId="0" fontId="0" fillId="0" borderId="5" xfId="0" applyBorder="1"/>
    <xf numFmtId="0" fontId="0" fillId="0" borderId="0" xfId="0" applyAlignment="1">
      <alignment vertical="center"/>
    </xf>
    <xf numFmtId="0" fontId="37" fillId="0" borderId="5" xfId="1" applyFont="1" applyBorder="1" applyAlignment="1" applyProtection="1">
      <alignment horizontal="left" vertical="center" wrapText="1"/>
    </xf>
    <xf numFmtId="0" fontId="29" fillId="0" borderId="5" xfId="0" applyFont="1" applyBorder="1"/>
    <xf numFmtId="0" fontId="29" fillId="0" borderId="4" xfId="0" applyFont="1" applyBorder="1" applyAlignment="1">
      <alignment horizontal="center"/>
    </xf>
    <xf numFmtId="0" fontId="29" fillId="0" borderId="0" xfId="0" applyFont="1"/>
    <xf numFmtId="0" fontId="38" fillId="0" borderId="5" xfId="1" applyFont="1" applyBorder="1" applyAlignment="1" applyProtection="1"/>
    <xf numFmtId="0" fontId="39" fillId="0" borderId="5" xfId="1" applyFont="1" applyBorder="1" applyAlignment="1" applyProtection="1">
      <alignment horizontal="left" vertical="center"/>
    </xf>
    <xf numFmtId="0" fontId="40" fillId="0" borderId="0" xfId="0" applyFont="1" applyAlignment="1">
      <alignment horizontal="left"/>
    </xf>
    <xf numFmtId="0" fontId="41" fillId="3" borderId="4" xfId="0" applyFont="1" applyFill="1" applyBorder="1"/>
    <xf numFmtId="0" fontId="42" fillId="3" borderId="0" xfId="0" applyFont="1" applyFill="1"/>
    <xf numFmtId="0" fontId="34" fillId="0" borderId="0" xfId="0" applyFont="1"/>
    <xf numFmtId="0" fontId="44" fillId="0" borderId="0" xfId="5" applyFont="1"/>
    <xf numFmtId="0" fontId="11" fillId="0" borderId="0" xfId="0" applyFont="1" applyProtection="1">
      <protection locked="0"/>
    </xf>
    <xf numFmtId="0" fontId="11" fillId="0" borderId="0" xfId="0" quotePrefix="1" applyFont="1"/>
    <xf numFmtId="0" fontId="45" fillId="4" borderId="0" xfId="0" applyFont="1" applyFill="1"/>
    <xf numFmtId="0" fontId="26" fillId="4" borderId="0" xfId="0" applyFont="1" applyFill="1"/>
    <xf numFmtId="0" fontId="44" fillId="0" borderId="0" xfId="0" applyFont="1"/>
    <xf numFmtId="0" fontId="46" fillId="0" borderId="0" xfId="0" applyFont="1"/>
    <xf numFmtId="0" fontId="26" fillId="0" borderId="0" xfId="0" applyFont="1" applyAlignment="1">
      <alignment horizontal="center"/>
    </xf>
    <xf numFmtId="167" fontId="26" fillId="6" borderId="7" xfId="0" applyNumberFormat="1" applyFont="1" applyFill="1" applyBorder="1" applyAlignment="1">
      <alignment horizontal="right"/>
    </xf>
    <xf numFmtId="167" fontId="26" fillId="6" borderId="8" xfId="0" applyNumberFormat="1" applyFont="1" applyFill="1" applyBorder="1" applyAlignment="1">
      <alignment horizontal="right"/>
    </xf>
    <xf numFmtId="167" fontId="26" fillId="6" borderId="9" xfId="0" applyNumberFormat="1" applyFont="1" applyFill="1" applyBorder="1" applyAlignment="1">
      <alignment horizontal="right"/>
    </xf>
    <xf numFmtId="0" fontId="26" fillId="6" borderId="7" xfId="0" applyFont="1" applyFill="1" applyBorder="1" applyAlignment="1">
      <alignment horizontal="right"/>
    </xf>
    <xf numFmtId="0" fontId="26" fillId="6" borderId="10" xfId="0" applyFont="1" applyFill="1" applyBorder="1" applyAlignment="1">
      <alignment horizontal="right"/>
    </xf>
    <xf numFmtId="0" fontId="26" fillId="6" borderId="11" xfId="0" applyFont="1" applyFill="1" applyBorder="1" applyAlignment="1">
      <alignment horizontal="right"/>
    </xf>
    <xf numFmtId="0" fontId="26" fillId="6" borderId="12" xfId="0" applyFont="1" applyFill="1" applyBorder="1" applyAlignment="1">
      <alignment horizontal="right"/>
    </xf>
    <xf numFmtId="0" fontId="11" fillId="2" borderId="0" xfId="0" applyFont="1" applyFill="1" applyProtection="1">
      <protection locked="0"/>
    </xf>
    <xf numFmtId="0" fontId="26" fillId="6" borderId="2" xfId="0" applyFont="1" applyFill="1" applyBorder="1" applyAlignment="1">
      <alignment horizontal="right"/>
    </xf>
    <xf numFmtId="0" fontId="26" fillId="6" borderId="13" xfId="0" applyFont="1" applyFill="1" applyBorder="1" applyAlignment="1">
      <alignment horizontal="right"/>
    </xf>
    <xf numFmtId="0" fontId="26" fillId="2" borderId="2" xfId="0" applyFont="1" applyFill="1" applyBorder="1" applyProtection="1">
      <protection locked="0"/>
    </xf>
    <xf numFmtId="0" fontId="47" fillId="0" borderId="0" xfId="0" applyFont="1" applyAlignment="1">
      <alignment horizontal="center"/>
    </xf>
    <xf numFmtId="1" fontId="11" fillId="0" borderId="7" xfId="0" applyNumberFormat="1" applyFont="1" applyBorder="1" applyAlignment="1">
      <alignment horizontal="left"/>
    </xf>
    <xf numFmtId="168" fontId="11" fillId="0" borderId="0" xfId="0" applyNumberFormat="1" applyFont="1" applyAlignment="1">
      <alignment horizontal="center"/>
    </xf>
    <xf numFmtId="169" fontId="11" fillId="0" borderId="0" xfId="0" applyNumberFormat="1" applyFont="1" applyAlignment="1">
      <alignment horizontal="center"/>
    </xf>
    <xf numFmtId="170" fontId="11" fillId="0" borderId="0" xfId="0" applyNumberFormat="1" applyFont="1" applyAlignment="1">
      <alignment horizontal="right"/>
    </xf>
    <xf numFmtId="0" fontId="11" fillId="7" borderId="1" xfId="0" applyFont="1" applyFill="1" applyBorder="1" applyProtection="1">
      <protection locked="0"/>
    </xf>
    <xf numFmtId="1" fontId="11" fillId="0" borderId="0" xfId="0" applyNumberFormat="1" applyFont="1" applyAlignment="1">
      <alignment horizontal="left"/>
    </xf>
    <xf numFmtId="171" fontId="11" fillId="0" borderId="0" xfId="0" applyNumberFormat="1" applyFont="1" applyAlignment="1">
      <alignment horizontal="right"/>
    </xf>
    <xf numFmtId="0" fontId="11" fillId="7" borderId="5" xfId="0" applyFont="1" applyFill="1" applyBorder="1" applyProtection="1">
      <protection locked="0"/>
    </xf>
    <xf numFmtId="0" fontId="11" fillId="7" borderId="5" xfId="0" quotePrefix="1" applyFont="1" applyFill="1" applyBorder="1" applyProtection="1">
      <protection locked="0"/>
    </xf>
    <xf numFmtId="172" fontId="11" fillId="0" borderId="0" xfId="0" applyNumberFormat="1" applyFont="1" applyAlignment="1">
      <alignment horizontal="right"/>
    </xf>
    <xf numFmtId="0" fontId="48" fillId="9" borderId="2" xfId="0" applyFont="1" applyFill="1" applyBorder="1"/>
    <xf numFmtId="167" fontId="45" fillId="9" borderId="2" xfId="0" applyNumberFormat="1" applyFont="1" applyFill="1" applyBorder="1" applyAlignment="1">
      <alignment horizontal="right"/>
    </xf>
    <xf numFmtId="173" fontId="11" fillId="0" borderId="0" xfId="0" applyNumberFormat="1" applyFont="1" applyAlignment="1">
      <alignment horizontal="center" vertical="top"/>
    </xf>
    <xf numFmtId="174" fontId="11" fillId="0" borderId="0" xfId="0" applyNumberFormat="1" applyFont="1" applyAlignment="1">
      <alignment horizontal="center" vertical="top"/>
    </xf>
    <xf numFmtId="175" fontId="11" fillId="0" borderId="0" xfId="0" applyNumberFormat="1" applyFont="1" applyAlignment="1">
      <alignment horizontal="center" vertical="top"/>
    </xf>
    <xf numFmtId="174" fontId="11" fillId="0" borderId="0" xfId="0" applyNumberFormat="1" applyFont="1" applyAlignment="1">
      <alignment horizontal="right" vertical="top"/>
    </xf>
    <xf numFmtId="5" fontId="11" fillId="0" borderId="0" xfId="0" applyNumberFormat="1" applyFont="1" applyAlignment="1">
      <alignment horizontal="center" vertical="top"/>
    </xf>
    <xf numFmtId="174" fontId="11" fillId="7" borderId="5" xfId="0" applyNumberFormat="1" applyFont="1" applyFill="1" applyBorder="1" applyProtection="1">
      <protection locked="0"/>
    </xf>
    <xf numFmtId="170" fontId="11" fillId="0" borderId="0" xfId="0" applyNumberFormat="1" applyFont="1" applyAlignment="1">
      <alignment horizontal="center" vertical="top"/>
    </xf>
    <xf numFmtId="176" fontId="11" fillId="0" borderId="0" xfId="0" applyNumberFormat="1" applyFont="1" applyAlignment="1">
      <alignment horizontal="center" vertical="top"/>
    </xf>
    <xf numFmtId="170" fontId="11" fillId="0" borderId="0" xfId="0" applyNumberFormat="1" applyFont="1" applyAlignment="1">
      <alignment horizontal="right" vertical="top"/>
    </xf>
    <xf numFmtId="170" fontId="11" fillId="0" borderId="0" xfId="0" quotePrefix="1" applyNumberFormat="1" applyFont="1" applyAlignment="1">
      <alignment horizontal="right" vertical="top"/>
    </xf>
    <xf numFmtId="0" fontId="26" fillId="0" borderId="8" xfId="0" applyFont="1" applyBorder="1"/>
    <xf numFmtId="174" fontId="26" fillId="0" borderId="8" xfId="0" applyNumberFormat="1" applyFont="1" applyBorder="1" applyAlignment="1">
      <alignment horizontal="center" vertical="top"/>
    </xf>
    <xf numFmtId="175" fontId="26" fillId="0" borderId="8" xfId="0" applyNumberFormat="1" applyFont="1" applyBorder="1" applyAlignment="1">
      <alignment horizontal="center" vertical="top"/>
    </xf>
    <xf numFmtId="174" fontId="26" fillId="0" borderId="8" xfId="0" applyNumberFormat="1" applyFont="1" applyBorder="1" applyAlignment="1">
      <alignment horizontal="right" vertical="top"/>
    </xf>
    <xf numFmtId="5" fontId="26" fillId="0" borderId="8" xfId="0" applyNumberFormat="1" applyFont="1" applyBorder="1" applyAlignment="1">
      <alignment horizontal="center" vertical="top"/>
    </xf>
    <xf numFmtId="174" fontId="11" fillId="0" borderId="0" xfId="0" applyNumberFormat="1" applyFont="1"/>
    <xf numFmtId="177" fontId="11" fillId="0" borderId="0" xfId="0" applyNumberFormat="1" applyFont="1"/>
    <xf numFmtId="174" fontId="11" fillId="0" borderId="0" xfId="0" applyNumberFormat="1" applyFont="1" applyAlignment="1">
      <alignment horizontal="right"/>
    </xf>
    <xf numFmtId="177" fontId="11" fillId="0" borderId="0" xfId="0" applyNumberFormat="1" applyFont="1" applyAlignment="1">
      <alignment horizontal="right"/>
    </xf>
    <xf numFmtId="174" fontId="32" fillId="0" borderId="0" xfId="0" applyNumberFormat="1" applyFont="1" applyAlignment="1">
      <alignment horizontal="right"/>
    </xf>
    <xf numFmtId="174" fontId="32" fillId="0" borderId="0" xfId="0" applyNumberFormat="1" applyFont="1" applyAlignment="1">
      <alignment horizontal="right" vertical="top"/>
    </xf>
    <xf numFmtId="175" fontId="32" fillId="0" borderId="0" xfId="0" applyNumberFormat="1" applyFont="1"/>
    <xf numFmtId="0" fontId="48" fillId="10" borderId="2" xfId="0" applyFont="1" applyFill="1" applyBorder="1"/>
    <xf numFmtId="167" fontId="45" fillId="10" borderId="2" xfId="0" applyNumberFormat="1" applyFont="1" applyFill="1" applyBorder="1" applyAlignment="1">
      <alignment horizontal="right"/>
    </xf>
    <xf numFmtId="177" fontId="11" fillId="0" borderId="0" xfId="0" applyNumberFormat="1" applyFont="1" applyAlignment="1">
      <alignment horizontal="center" vertical="top"/>
    </xf>
    <xf numFmtId="177" fontId="26" fillId="0" borderId="0" xfId="0" applyNumberFormat="1" applyFont="1" applyAlignment="1">
      <alignment horizontal="center" vertical="top"/>
    </xf>
    <xf numFmtId="175" fontId="26" fillId="0" borderId="0" xfId="0" applyNumberFormat="1" applyFont="1" applyAlignment="1">
      <alignment horizontal="center" vertical="top"/>
    </xf>
    <xf numFmtId="177" fontId="26" fillId="0" borderId="0" xfId="0" applyNumberFormat="1" applyFont="1" applyAlignment="1">
      <alignment horizontal="right" vertical="top"/>
    </xf>
    <xf numFmtId="0" fontId="26" fillId="9" borderId="14" xfId="0" applyFont="1" applyFill="1" applyBorder="1" applyAlignment="1">
      <alignment horizontal="left"/>
    </xf>
    <xf numFmtId="174" fontId="26" fillId="9" borderId="15" xfId="0" applyNumberFormat="1" applyFont="1" applyFill="1" applyBorder="1" applyAlignment="1">
      <alignment horizontal="right"/>
    </xf>
    <xf numFmtId="0" fontId="11" fillId="0" borderId="4" xfId="0" applyFont="1" applyBorder="1"/>
    <xf numFmtId="5" fontId="11" fillId="0" borderId="0" xfId="0" applyNumberFormat="1" applyFont="1"/>
    <xf numFmtId="0" fontId="49" fillId="0" borderId="0" xfId="0" applyFont="1"/>
    <xf numFmtId="177" fontId="32" fillId="0" borderId="0" xfId="0" applyNumberFormat="1" applyFont="1" applyAlignment="1">
      <alignment horizontal="center"/>
    </xf>
    <xf numFmtId="174" fontId="49" fillId="0" borderId="0" xfId="0" applyNumberFormat="1" applyFont="1" applyAlignment="1">
      <alignment horizontal="right"/>
    </xf>
    <xf numFmtId="0" fontId="49" fillId="0" borderId="14" xfId="0" applyFont="1" applyBorder="1" applyAlignment="1">
      <alignment horizontal="left"/>
    </xf>
    <xf numFmtId="6" fontId="26" fillId="0" borderId="15" xfId="0" applyNumberFormat="1" applyFont="1" applyBorder="1" applyAlignment="1">
      <alignment horizontal="center"/>
    </xf>
    <xf numFmtId="175" fontId="26" fillId="0" borderId="15" xfId="0" applyNumberFormat="1" applyFont="1" applyBorder="1" applyAlignment="1">
      <alignment horizontal="center"/>
    </xf>
    <xf numFmtId="174" fontId="11" fillId="0" borderId="15" xfId="0" applyNumberFormat="1" applyFont="1" applyBorder="1" applyAlignment="1">
      <alignment horizontal="right"/>
    </xf>
    <xf numFmtId="177" fontId="49" fillId="0" borderId="0" xfId="0" applyNumberFormat="1" applyFont="1" applyAlignment="1">
      <alignment horizontal="center"/>
    </xf>
    <xf numFmtId="0" fontId="11" fillId="7" borderId="0" xfId="0" applyFont="1" applyFill="1" applyProtection="1">
      <protection locked="0"/>
    </xf>
    <xf numFmtId="0" fontId="32" fillId="0" borderId="0" xfId="0" applyFont="1" applyAlignment="1">
      <alignment horizontal="left"/>
    </xf>
    <xf numFmtId="174" fontId="11" fillId="0" borderId="0" xfId="0" applyNumberFormat="1" applyFont="1" applyAlignment="1">
      <alignment horizontal="center"/>
    </xf>
    <xf numFmtId="174" fontId="26" fillId="0" borderId="0" xfId="0" applyNumberFormat="1" applyFont="1" applyAlignment="1">
      <alignment horizontal="center"/>
    </xf>
    <xf numFmtId="175" fontId="26" fillId="0" borderId="0" xfId="0" applyNumberFormat="1" applyFont="1" applyAlignment="1">
      <alignment horizontal="center"/>
    </xf>
    <xf numFmtId="174" fontId="12" fillId="7" borderId="0" xfId="0" applyNumberFormat="1" applyFont="1" applyFill="1" applyAlignment="1" applyProtection="1">
      <alignment horizontal="right"/>
      <protection locked="0"/>
    </xf>
    <xf numFmtId="170" fontId="12" fillId="7" borderId="0" xfId="0" applyNumberFormat="1" applyFont="1" applyFill="1" applyAlignment="1" applyProtection="1">
      <alignment horizontal="right"/>
      <protection locked="0"/>
    </xf>
    <xf numFmtId="177" fontId="49" fillId="0" borderId="0" xfId="0" applyNumberFormat="1" applyFont="1" applyAlignment="1">
      <alignment horizontal="right"/>
    </xf>
    <xf numFmtId="170" fontId="26" fillId="0" borderId="0" xfId="0" applyNumberFormat="1" applyFont="1" applyAlignment="1">
      <alignment horizontal="center"/>
    </xf>
    <xf numFmtId="170" fontId="52" fillId="7" borderId="0" xfId="0" applyNumberFormat="1" applyFont="1" applyFill="1" applyProtection="1">
      <protection locked="0"/>
    </xf>
    <xf numFmtId="6" fontId="11" fillId="0" borderId="0" xfId="0" applyNumberFormat="1" applyFont="1" applyAlignment="1">
      <alignment horizontal="center"/>
    </xf>
    <xf numFmtId="0" fontId="26" fillId="0" borderId="0" xfId="0" applyFont="1" applyAlignment="1">
      <alignment horizontal="left"/>
    </xf>
    <xf numFmtId="0" fontId="11" fillId="0" borderId="0" xfId="0" applyFont="1" applyAlignment="1">
      <alignment horizontal="right"/>
    </xf>
    <xf numFmtId="170" fontId="11" fillId="0" borderId="7" xfId="0" applyNumberFormat="1" applyFont="1" applyBorder="1"/>
    <xf numFmtId="174" fontId="26" fillId="0" borderId="7" xfId="0" applyNumberFormat="1" applyFont="1" applyBorder="1"/>
    <xf numFmtId="0" fontId="32" fillId="0" borderId="0" xfId="0" quotePrefix="1" applyFont="1"/>
    <xf numFmtId="6" fontId="32" fillId="0" borderId="0" xfId="0" applyNumberFormat="1" applyFont="1" applyAlignment="1">
      <alignment horizontal="center"/>
    </xf>
    <xf numFmtId="178" fontId="49" fillId="0" borderId="0" xfId="0" applyNumberFormat="1" applyFont="1" applyAlignment="1">
      <alignment horizontal="right"/>
    </xf>
    <xf numFmtId="0" fontId="41" fillId="3" borderId="0" xfId="0" applyFont="1" applyFill="1"/>
    <xf numFmtId="0" fontId="43" fillId="0" borderId="0" xfId="5"/>
    <xf numFmtId="0" fontId="26" fillId="6" borderId="16" xfId="0" applyFont="1" applyFill="1" applyBorder="1" applyAlignment="1">
      <alignment horizontal="right"/>
    </xf>
    <xf numFmtId="170" fontId="43" fillId="0" borderId="0" xfId="5" applyNumberFormat="1"/>
    <xf numFmtId="0" fontId="26" fillId="6" borderId="17" xfId="0" applyFont="1" applyFill="1" applyBorder="1" applyAlignment="1">
      <alignment horizontal="right"/>
    </xf>
    <xf numFmtId="0" fontId="26" fillId="0" borderId="13" xfId="0" applyFont="1" applyBorder="1" applyAlignment="1">
      <alignment horizontal="center"/>
    </xf>
    <xf numFmtId="0" fontId="26" fillId="6" borderId="18" xfId="0" applyFont="1" applyFill="1" applyBorder="1" applyAlignment="1">
      <alignment horizontal="right"/>
    </xf>
    <xf numFmtId="170" fontId="11" fillId="0" borderId="0" xfId="0" quotePrefix="1" applyNumberFormat="1" applyFont="1" applyAlignment="1">
      <alignment horizontal="right"/>
    </xf>
    <xf numFmtId="180" fontId="11" fillId="0" borderId="0" xfId="0" applyNumberFormat="1" applyFont="1" applyAlignment="1">
      <alignment horizontal="right"/>
    </xf>
    <xf numFmtId="181" fontId="11" fillId="0" borderId="0" xfId="0" applyNumberFormat="1" applyFont="1" applyAlignment="1">
      <alignment horizontal="right"/>
    </xf>
    <xf numFmtId="0" fontId="48" fillId="13" borderId="2" xfId="0" applyFont="1" applyFill="1" applyBorder="1"/>
    <xf numFmtId="0" fontId="56" fillId="13" borderId="2" xfId="0" applyFont="1" applyFill="1" applyBorder="1"/>
    <xf numFmtId="167" fontId="45" fillId="13" borderId="2" xfId="0" applyNumberFormat="1" applyFont="1" applyFill="1" applyBorder="1"/>
    <xf numFmtId="0" fontId="11" fillId="0" borderId="7" xfId="0" applyFont="1" applyBorder="1"/>
    <xf numFmtId="170" fontId="26" fillId="0" borderId="7" xfId="0" applyNumberFormat="1" applyFont="1" applyBorder="1" applyAlignment="1">
      <alignment horizontal="right"/>
    </xf>
    <xf numFmtId="182" fontId="26" fillId="0" borderId="7" xfId="0" applyNumberFormat="1" applyFont="1" applyBorder="1" applyAlignment="1">
      <alignment horizontal="right"/>
    </xf>
    <xf numFmtId="175" fontId="26" fillId="0" borderId="0" xfId="0" applyNumberFormat="1" applyFont="1" applyAlignment="1">
      <alignment horizontal="right"/>
    </xf>
    <xf numFmtId="6" fontId="11" fillId="0" borderId="7" xfId="0" applyNumberFormat="1" applyFont="1" applyBorder="1" applyAlignment="1">
      <alignment horizontal="center"/>
    </xf>
    <xf numFmtId="174" fontId="11" fillId="0" borderId="7" xfId="0" applyNumberFormat="1" applyFont="1" applyBorder="1" applyAlignment="1">
      <alignment horizontal="right"/>
    </xf>
    <xf numFmtId="6" fontId="11" fillId="0" borderId="0" xfId="0" applyNumberFormat="1" applyFont="1" applyAlignment="1">
      <alignment horizontal="right"/>
    </xf>
    <xf numFmtId="175" fontId="11" fillId="0" borderId="0" xfId="0" applyNumberFormat="1" applyFont="1" applyAlignment="1">
      <alignment horizontal="right"/>
    </xf>
    <xf numFmtId="1" fontId="26" fillId="0" borderId="7" xfId="0" applyNumberFormat="1" applyFont="1" applyBorder="1" applyAlignment="1">
      <alignment horizontal="left"/>
    </xf>
    <xf numFmtId="183" fontId="11" fillId="0" borderId="7" xfId="0" applyNumberFormat="1" applyFont="1" applyBorder="1" applyAlignment="1">
      <alignment horizontal="center"/>
    </xf>
    <xf numFmtId="184" fontId="11" fillId="0" borderId="7" xfId="0" applyNumberFormat="1" applyFont="1" applyBorder="1" applyAlignment="1">
      <alignment horizontal="center"/>
    </xf>
    <xf numFmtId="170" fontId="11" fillId="0" borderId="7" xfId="0" applyNumberFormat="1" applyFont="1" applyBorder="1" applyAlignment="1">
      <alignment horizontal="center"/>
    </xf>
    <xf numFmtId="170" fontId="11" fillId="0" borderId="7" xfId="0" applyNumberFormat="1" applyFont="1" applyBorder="1" applyAlignment="1">
      <alignment horizontal="right"/>
    </xf>
    <xf numFmtId="1" fontId="26" fillId="0" borderId="0" xfId="0" applyNumberFormat="1" applyFont="1" applyAlignment="1">
      <alignment horizontal="left"/>
    </xf>
    <xf numFmtId="183" fontId="11" fillId="0" borderId="2" xfId="0" applyNumberFormat="1" applyFont="1" applyBorder="1" applyAlignment="1">
      <alignment horizontal="center"/>
    </xf>
    <xf numFmtId="184" fontId="11" fillId="0" borderId="0" xfId="0" applyNumberFormat="1" applyFont="1" applyAlignment="1">
      <alignment horizontal="center"/>
    </xf>
    <xf numFmtId="170" fontId="11" fillId="0" borderId="0" xfId="0" applyNumberFormat="1" applyFont="1" applyAlignment="1">
      <alignment horizontal="center"/>
    </xf>
    <xf numFmtId="171" fontId="26" fillId="0" borderId="0" xfId="0" applyNumberFormat="1" applyFont="1" applyAlignment="1">
      <alignment horizontal="right" vertical="top"/>
    </xf>
    <xf numFmtId="183" fontId="11" fillId="0" borderId="0" xfId="0" applyNumberFormat="1" applyFont="1" applyAlignment="1">
      <alignment horizontal="center"/>
    </xf>
    <xf numFmtId="1" fontId="32" fillId="0" borderId="0" xfId="0" applyNumberFormat="1" applyFont="1" applyAlignment="1">
      <alignment horizontal="left"/>
    </xf>
    <xf numFmtId="1" fontId="11" fillId="0" borderId="8" xfId="0" applyNumberFormat="1" applyFont="1" applyBorder="1" applyAlignment="1">
      <alignment horizontal="left"/>
    </xf>
    <xf numFmtId="183" fontId="11" fillId="0" borderId="8" xfId="0" applyNumberFormat="1" applyFont="1" applyBorder="1" applyAlignment="1">
      <alignment horizontal="center"/>
    </xf>
    <xf numFmtId="170" fontId="11" fillId="0" borderId="8" xfId="0" applyNumberFormat="1" applyFont="1" applyBorder="1" applyAlignment="1">
      <alignment horizontal="center"/>
    </xf>
    <xf numFmtId="170" fontId="26" fillId="0" borderId="0" xfId="0" applyNumberFormat="1" applyFont="1" applyAlignment="1">
      <alignment horizontal="right"/>
    </xf>
    <xf numFmtId="185" fontId="11" fillId="0" borderId="0" xfId="0" applyNumberFormat="1" applyFont="1" applyAlignment="1">
      <alignment horizontal="center" vertical="top"/>
    </xf>
    <xf numFmtId="1" fontId="11" fillId="0" borderId="0" xfId="0" applyNumberFormat="1" applyFont="1" applyAlignment="1">
      <alignment horizontal="center" vertical="top"/>
    </xf>
    <xf numFmtId="3" fontId="11" fillId="0" borderId="0" xfId="0" applyNumberFormat="1" applyFont="1" applyAlignment="1">
      <alignment horizontal="center" vertical="top"/>
    </xf>
    <xf numFmtId="186" fontId="11" fillId="0" borderId="0" xfId="0" applyNumberFormat="1" applyFont="1" applyAlignment="1">
      <alignment horizontal="right" vertical="top"/>
    </xf>
    <xf numFmtId="186" fontId="11" fillId="0" borderId="7" xfId="0" applyNumberFormat="1" applyFont="1" applyBorder="1" applyAlignment="1">
      <alignment horizontal="left"/>
    </xf>
    <xf numFmtId="185" fontId="11" fillId="0" borderId="7" xfId="0" applyNumberFormat="1" applyFont="1" applyBorder="1" applyAlignment="1">
      <alignment horizontal="center" vertical="top"/>
    </xf>
    <xf numFmtId="3" fontId="11" fillId="0" borderId="7" xfId="0" applyNumberFormat="1" applyFont="1" applyBorder="1" applyAlignment="1">
      <alignment horizontal="center" vertical="top"/>
    </xf>
    <xf numFmtId="186" fontId="11" fillId="0" borderId="7" xfId="0" applyNumberFormat="1" applyFont="1" applyBorder="1" applyAlignment="1">
      <alignment horizontal="right" vertical="top"/>
    </xf>
    <xf numFmtId="174" fontId="11" fillId="0" borderId="7" xfId="0" applyNumberFormat="1" applyFont="1" applyBorder="1" applyAlignment="1">
      <alignment horizontal="right" vertical="top"/>
    </xf>
    <xf numFmtId="187" fontId="11" fillId="0" borderId="0" xfId="0" applyNumberFormat="1" applyFont="1" applyAlignment="1">
      <alignment horizontal="center" vertical="top"/>
    </xf>
    <xf numFmtId="0" fontId="48" fillId="2" borderId="8" xfId="0" applyFont="1" applyFill="1" applyBorder="1"/>
    <xf numFmtId="0" fontId="56" fillId="2" borderId="8" xfId="0" applyFont="1" applyFill="1" applyBorder="1"/>
    <xf numFmtId="167" fontId="45" fillId="2" borderId="8" xfId="0" applyNumberFormat="1" applyFont="1" applyFill="1" applyBorder="1"/>
    <xf numFmtId="0" fontId="57" fillId="9" borderId="8" xfId="0" applyFont="1" applyFill="1" applyBorder="1"/>
    <xf numFmtId="173" fontId="56" fillId="9" borderId="8" xfId="0" applyNumberFormat="1" applyFont="1" applyFill="1" applyBorder="1" applyAlignment="1">
      <alignment horizontal="center" vertical="top"/>
    </xf>
    <xf numFmtId="173" fontId="56" fillId="9" borderId="8" xfId="0" applyNumberFormat="1" applyFont="1" applyFill="1" applyBorder="1" applyAlignment="1">
      <alignment horizontal="right" vertical="top"/>
    </xf>
    <xf numFmtId="175" fontId="11" fillId="0" borderId="0" xfId="0" applyNumberFormat="1" applyFont="1" applyAlignment="1">
      <alignment horizontal="right" vertical="top"/>
    </xf>
    <xf numFmtId="175" fontId="26" fillId="0" borderId="8" xfId="0" applyNumberFormat="1" applyFont="1" applyBorder="1" applyAlignment="1">
      <alignment horizontal="right" vertical="top"/>
    </xf>
    <xf numFmtId="0" fontId="57" fillId="10" borderId="0" xfId="0" applyFont="1" applyFill="1"/>
    <xf numFmtId="177" fontId="56" fillId="10" borderId="0" xfId="0" applyNumberFormat="1" applyFont="1" applyFill="1"/>
    <xf numFmtId="167" fontId="45" fillId="10" borderId="8" xfId="0" applyNumberFormat="1" applyFont="1" applyFill="1" applyBorder="1"/>
    <xf numFmtId="175" fontId="26" fillId="0" borderId="0" xfId="0" applyNumberFormat="1" applyFont="1" applyAlignment="1">
      <alignment horizontal="right" vertical="top"/>
    </xf>
    <xf numFmtId="0" fontId="26" fillId="0" borderId="19" xfId="0" applyFont="1" applyBorder="1"/>
    <xf numFmtId="0" fontId="26" fillId="0" borderId="14" xfId="0" applyFont="1" applyBorder="1" applyAlignment="1">
      <alignment horizontal="left"/>
    </xf>
    <xf numFmtId="175" fontId="26" fillId="0" borderId="15" xfId="0" applyNumberFormat="1" applyFont="1" applyBorder="1" applyAlignment="1">
      <alignment horizontal="right"/>
    </xf>
    <xf numFmtId="174" fontId="32" fillId="0" borderId="0" xfId="0" applyNumberFormat="1" applyFont="1" applyAlignment="1">
      <alignment horizontal="center"/>
    </xf>
    <xf numFmtId="167" fontId="45" fillId="2" borderId="8" xfId="0" applyNumberFormat="1" applyFont="1" applyFill="1" applyBorder="1" applyAlignment="1">
      <alignment horizontal="right"/>
    </xf>
    <xf numFmtId="0" fontId="57" fillId="9" borderId="0" xfId="0" applyFont="1" applyFill="1"/>
    <xf numFmtId="173" fontId="57" fillId="9" borderId="0" xfId="0" applyNumberFormat="1" applyFont="1" applyFill="1" applyAlignment="1">
      <alignment horizontal="center" vertical="top"/>
    </xf>
    <xf numFmtId="173" fontId="56" fillId="9" borderId="0" xfId="0" applyNumberFormat="1" applyFont="1" applyFill="1" applyAlignment="1">
      <alignment horizontal="center" vertical="top"/>
    </xf>
    <xf numFmtId="173" fontId="56" fillId="9" borderId="0" xfId="0" applyNumberFormat="1" applyFont="1" applyFill="1" applyAlignment="1">
      <alignment horizontal="right" vertical="top"/>
    </xf>
    <xf numFmtId="188" fontId="26" fillId="0" borderId="15" xfId="0" applyNumberFormat="1" applyFont="1" applyBorder="1" applyAlignment="1">
      <alignment horizontal="center"/>
    </xf>
    <xf numFmtId="189" fontId="26" fillId="0" borderId="15" xfId="0" applyNumberFormat="1" applyFont="1" applyBorder="1" applyAlignment="1">
      <alignment horizontal="center"/>
    </xf>
    <xf numFmtId="190" fontId="26" fillId="0" borderId="15" xfId="0" applyNumberFormat="1" applyFont="1" applyBorder="1" applyAlignment="1">
      <alignment horizontal="right"/>
    </xf>
    <xf numFmtId="0" fontId="49" fillId="0" borderId="0" xfId="0" quotePrefix="1" applyFont="1"/>
    <xf numFmtId="175" fontId="49" fillId="0" borderId="0" xfId="0" applyNumberFormat="1" applyFont="1" applyAlignment="1">
      <alignment horizontal="right"/>
    </xf>
    <xf numFmtId="0" fontId="58" fillId="3" borderId="0" xfId="0" quotePrefix="1" applyFont="1" applyFill="1"/>
    <xf numFmtId="0" fontId="34" fillId="3" borderId="0" xfId="0" applyFont="1" applyFill="1"/>
    <xf numFmtId="0" fontId="20" fillId="0" borderId="0" xfId="1" applyFont="1" applyBorder="1" applyAlignment="1" applyProtection="1">
      <alignment horizontal="center"/>
    </xf>
    <xf numFmtId="170" fontId="43" fillId="0" borderId="0" xfId="6" applyNumberFormat="1" applyProtection="1">
      <protection locked="0"/>
    </xf>
    <xf numFmtId="170" fontId="43" fillId="0" borderId="0" xfId="6" applyNumberFormat="1"/>
    <xf numFmtId="170" fontId="53" fillId="0" borderId="3" xfId="0" applyNumberFormat="1" applyFont="1" applyBorder="1" applyAlignment="1">
      <alignment horizontal="center"/>
    </xf>
    <xf numFmtId="170" fontId="53" fillId="0" borderId="0" xfId="0" applyNumberFormat="1" applyFont="1" applyAlignment="1">
      <alignment horizontal="center"/>
    </xf>
    <xf numFmtId="170" fontId="53" fillId="0" borderId="8" xfId="0" applyNumberFormat="1" applyFont="1" applyBorder="1" applyAlignment="1">
      <alignment horizontal="center"/>
    </xf>
    <xf numFmtId="0" fontId="59" fillId="0" borderId="0" xfId="0" applyFont="1"/>
    <xf numFmtId="0" fontId="11" fillId="0" borderId="0" xfId="0" applyFont="1" applyAlignment="1">
      <alignment horizontal="left" indent="1"/>
    </xf>
    <xf numFmtId="0" fontId="26" fillId="6" borderId="20" xfId="0" applyFont="1" applyFill="1" applyBorder="1" applyAlignment="1">
      <alignment horizontal="right"/>
    </xf>
    <xf numFmtId="167" fontId="26" fillId="6" borderId="21" xfId="0" applyNumberFormat="1" applyFont="1" applyFill="1" applyBorder="1" applyAlignment="1">
      <alignment horizontal="right"/>
    </xf>
    <xf numFmtId="0" fontId="26" fillId="6" borderId="21" xfId="0" applyFont="1" applyFill="1" applyBorder="1" applyAlignment="1">
      <alignment horizontal="right"/>
    </xf>
    <xf numFmtId="0" fontId="34" fillId="0" borderId="0" xfId="0" applyFont="1" applyAlignment="1">
      <alignment horizontal="center" vertical="top"/>
    </xf>
    <xf numFmtId="165" fontId="34" fillId="0" borderId="0" xfId="0" applyNumberFormat="1" applyFont="1" applyAlignment="1">
      <alignment horizontal="center" vertical="top"/>
    </xf>
    <xf numFmtId="0" fontId="34" fillId="0" borderId="2" xfId="0" applyFont="1" applyBorder="1" applyAlignment="1">
      <alignment horizontal="center" vertical="top"/>
    </xf>
    <xf numFmtId="0" fontId="11" fillId="9" borderId="0" xfId="0" applyFont="1" applyFill="1"/>
    <xf numFmtId="170" fontId="50" fillId="0" borderId="22" xfId="0" applyNumberFormat="1" applyFont="1" applyBorder="1" applyAlignment="1">
      <alignment horizontal="center" vertical="top"/>
    </xf>
    <xf numFmtId="170" fontId="50" fillId="0" borderId="23" xfId="0" applyNumberFormat="1" applyFont="1" applyBorder="1" applyAlignment="1">
      <alignment horizontal="center" vertical="top"/>
    </xf>
    <xf numFmtId="170" fontId="50" fillId="0" borderId="24" xfId="0" applyNumberFormat="1" applyFont="1" applyBorder="1" applyAlignment="1">
      <alignment horizontal="center" vertical="top"/>
    </xf>
    <xf numFmtId="0" fontId="50" fillId="0" borderId="0" xfId="0" applyFont="1" applyAlignment="1">
      <alignment horizontal="center" vertical="top"/>
    </xf>
    <xf numFmtId="0" fontId="11" fillId="9" borderId="2" xfId="0" applyFont="1" applyFill="1" applyBorder="1"/>
    <xf numFmtId="170" fontId="50" fillId="7" borderId="25" xfId="0" applyNumberFormat="1" applyFont="1" applyFill="1" applyBorder="1" applyAlignment="1">
      <alignment horizontal="center" vertical="top"/>
    </xf>
    <xf numFmtId="170" fontId="50" fillId="0" borderId="25" xfId="0" applyNumberFormat="1" applyFont="1" applyBorder="1" applyAlignment="1">
      <alignment horizontal="center" vertical="top"/>
    </xf>
    <xf numFmtId="170" fontId="50" fillId="0" borderId="26" xfId="0" applyNumberFormat="1" applyFont="1" applyBorder="1" applyAlignment="1">
      <alignment horizontal="center" vertical="top"/>
    </xf>
    <xf numFmtId="170" fontId="50" fillId="0" borderId="27" xfId="0" applyNumberFormat="1" applyFont="1" applyBorder="1" applyAlignment="1">
      <alignment horizontal="center" vertical="top"/>
    </xf>
    <xf numFmtId="0" fontId="11" fillId="14" borderId="0" xfId="0" applyFont="1" applyFill="1"/>
    <xf numFmtId="0" fontId="11" fillId="0" borderId="7" xfId="0" applyFont="1" applyBorder="1" applyAlignment="1">
      <alignment horizontal="center" vertical="top"/>
    </xf>
    <xf numFmtId="0" fontId="11" fillId="0" borderId="0" xfId="0" applyFont="1" applyAlignment="1">
      <alignment horizontal="center" vertical="top"/>
    </xf>
    <xf numFmtId="0" fontId="11" fillId="14" borderId="3" xfId="0" applyFont="1" applyFill="1" applyBorder="1"/>
    <xf numFmtId="0" fontId="11" fillId="14" borderId="28" xfId="0" applyFont="1" applyFill="1" applyBorder="1"/>
    <xf numFmtId="170" fontId="11" fillId="0" borderId="29" xfId="0" applyNumberFormat="1" applyFont="1" applyBorder="1" applyAlignment="1">
      <alignment horizontal="center" vertical="top"/>
    </xf>
    <xf numFmtId="0" fontId="11" fillId="14" borderId="5" xfId="0" applyFont="1" applyFill="1" applyBorder="1"/>
    <xf numFmtId="0" fontId="11" fillId="14" borderId="30" xfId="0" applyFont="1" applyFill="1" applyBorder="1"/>
    <xf numFmtId="170" fontId="11" fillId="0" borderId="4" xfId="0" applyNumberFormat="1" applyFont="1" applyBorder="1" applyAlignment="1">
      <alignment horizontal="center" vertical="top"/>
    </xf>
    <xf numFmtId="0" fontId="11" fillId="14" borderId="31" xfId="0" applyFont="1" applyFill="1" applyBorder="1"/>
    <xf numFmtId="0" fontId="11" fillId="14" borderId="32" xfId="0" applyFont="1" applyFill="1" applyBorder="1"/>
    <xf numFmtId="170" fontId="11" fillId="0" borderId="33" xfId="0" applyNumberFormat="1" applyFont="1" applyBorder="1" applyAlignment="1">
      <alignment horizontal="center" vertical="top"/>
    </xf>
    <xf numFmtId="0" fontId="26" fillId="14" borderId="7" xfId="0" applyFont="1" applyFill="1" applyBorder="1"/>
    <xf numFmtId="170" fontId="26" fillId="14" borderId="0" xfId="0" applyNumberFormat="1" applyFont="1" applyFill="1" applyAlignment="1">
      <alignment horizontal="center"/>
    </xf>
    <xf numFmtId="170" fontId="11" fillId="14" borderId="0" xfId="7" applyNumberFormat="1" applyFont="1" applyFill="1" applyBorder="1" applyAlignment="1">
      <alignment horizontal="center" vertical="top"/>
    </xf>
    <xf numFmtId="175" fontId="11" fillId="14" borderId="0" xfId="7" applyNumberFormat="1" applyFont="1" applyFill="1" applyBorder="1" applyAlignment="1">
      <alignment horizontal="center" vertical="top"/>
    </xf>
    <xf numFmtId="175" fontId="11" fillId="14" borderId="0" xfId="7" applyNumberFormat="1" applyFont="1" applyFill="1" applyAlignment="1">
      <alignment horizontal="center" vertical="top"/>
    </xf>
    <xf numFmtId="0" fontId="32" fillId="14" borderId="0" xfId="0" applyFont="1" applyFill="1"/>
    <xf numFmtId="0" fontId="26" fillId="14" borderId="0" xfId="0" applyFont="1" applyFill="1"/>
    <xf numFmtId="0" fontId="26" fillId="14" borderId="0" xfId="0" applyFont="1" applyFill="1" applyAlignment="1">
      <alignment horizontal="right"/>
    </xf>
    <xf numFmtId="0" fontId="26" fillId="14" borderId="0" xfId="0" applyFont="1" applyFill="1" applyAlignment="1">
      <alignment horizontal="center"/>
    </xf>
    <xf numFmtId="0" fontId="34" fillId="0" borderId="0" xfId="0" applyFont="1" applyAlignment="1">
      <alignment horizontal="left" indent="1"/>
    </xf>
    <xf numFmtId="0" fontId="11" fillId="0" borderId="20" xfId="0" applyFont="1" applyBorder="1" applyAlignment="1">
      <alignment horizontal="left" indent="1"/>
    </xf>
    <xf numFmtId="0" fontId="26" fillId="9" borderId="7" xfId="0" applyFont="1" applyFill="1" applyBorder="1" applyAlignment="1">
      <alignment wrapText="1"/>
    </xf>
    <xf numFmtId="0" fontId="26" fillId="9" borderId="7" xfId="0" applyFont="1" applyFill="1" applyBorder="1" applyAlignment="1">
      <alignment horizontal="right" wrapText="1"/>
    </xf>
    <xf numFmtId="0" fontId="26" fillId="9" borderId="7" xfId="0" applyFont="1" applyFill="1" applyBorder="1" applyAlignment="1">
      <alignment horizontal="right"/>
    </xf>
    <xf numFmtId="0" fontId="26" fillId="9" borderId="7" xfId="0" applyFont="1" applyFill="1" applyBorder="1" applyAlignment="1">
      <alignment horizontal="center" wrapText="1"/>
    </xf>
    <xf numFmtId="0" fontId="26" fillId="9" borderId="21" xfId="0" applyFont="1" applyFill="1" applyBorder="1" applyAlignment="1">
      <alignment horizontal="center" wrapText="1"/>
    </xf>
    <xf numFmtId="0" fontId="26" fillId="0" borderId="0" xfId="0" applyFont="1" applyAlignment="1">
      <alignment horizontal="center" wrapText="1"/>
    </xf>
    <xf numFmtId="0" fontId="11" fillId="7" borderId="5" xfId="0" applyFont="1" applyFill="1" applyBorder="1" applyAlignment="1" applyProtection="1">
      <alignment wrapText="1"/>
      <protection locked="0"/>
    </xf>
    <xf numFmtId="0" fontId="47" fillId="0" borderId="34" xfId="0" applyFont="1" applyBorder="1" applyAlignment="1">
      <alignment horizontal="left" indent="1"/>
    </xf>
    <xf numFmtId="0" fontId="50" fillId="15" borderId="3" xfId="0" applyFont="1" applyFill="1" applyBorder="1" applyAlignment="1" applyProtection="1">
      <alignment horizontal="center"/>
      <protection locked="0"/>
    </xf>
    <xf numFmtId="49" fontId="50" fillId="15" borderId="3" xfId="0" applyNumberFormat="1" applyFont="1" applyFill="1" applyBorder="1" applyAlignment="1" applyProtection="1">
      <alignment horizontal="center"/>
      <protection locked="0"/>
    </xf>
    <xf numFmtId="170" fontId="50" fillId="15" borderId="3" xfId="0" applyNumberFormat="1" applyFont="1" applyFill="1" applyBorder="1" applyProtection="1">
      <protection locked="0"/>
    </xf>
    <xf numFmtId="191" fontId="50" fillId="15" borderId="35" xfId="0" applyNumberFormat="1" applyFont="1" applyFill="1" applyBorder="1" applyAlignment="1" applyProtection="1">
      <alignment horizontal="center"/>
      <protection locked="0"/>
    </xf>
    <xf numFmtId="0" fontId="47" fillId="0" borderId="36" xfId="0" applyFont="1" applyBorder="1" applyAlignment="1">
      <alignment horizontal="left" indent="1"/>
    </xf>
    <xf numFmtId="0" fontId="12" fillId="7" borderId="5" xfId="0" applyFont="1" applyFill="1" applyBorder="1" applyProtection="1">
      <protection locked="0"/>
    </xf>
    <xf numFmtId="0" fontId="12" fillId="7" borderId="5" xfId="0" applyFont="1" applyFill="1" applyBorder="1" applyAlignment="1" applyProtection="1">
      <alignment horizontal="center"/>
      <protection locked="0"/>
    </xf>
    <xf numFmtId="49" fontId="12" fillId="7" borderId="5" xfId="0" applyNumberFormat="1" applyFont="1" applyFill="1" applyBorder="1" applyAlignment="1" applyProtection="1">
      <alignment horizontal="center"/>
      <protection locked="0"/>
    </xf>
    <xf numFmtId="170" fontId="12" fillId="7" borderId="5" xfId="0" applyNumberFormat="1" applyFont="1" applyFill="1" applyBorder="1" applyProtection="1">
      <protection locked="0"/>
    </xf>
    <xf numFmtId="171" fontId="12" fillId="7" borderId="37" xfId="0" applyNumberFormat="1" applyFont="1" applyFill="1" applyBorder="1" applyAlignment="1" applyProtection="1">
      <alignment horizontal="center"/>
      <protection locked="0"/>
    </xf>
    <xf numFmtId="0" fontId="53" fillId="15" borderId="5" xfId="0" applyFont="1" applyFill="1" applyBorder="1" applyProtection="1">
      <protection locked="0"/>
    </xf>
    <xf numFmtId="0" fontId="50" fillId="15" borderId="5" xfId="0" applyFont="1" applyFill="1" applyBorder="1" applyProtection="1">
      <protection locked="0"/>
    </xf>
    <xf numFmtId="0" fontId="50" fillId="15" borderId="5" xfId="0" applyFont="1" applyFill="1" applyBorder="1" applyAlignment="1" applyProtection="1">
      <alignment horizontal="center"/>
      <protection locked="0"/>
    </xf>
    <xf numFmtId="49" fontId="50" fillId="15" borderId="5" xfId="0" applyNumberFormat="1" applyFont="1" applyFill="1" applyBorder="1" applyAlignment="1" applyProtection="1">
      <alignment horizontal="center"/>
      <protection locked="0"/>
    </xf>
    <xf numFmtId="170" fontId="50" fillId="15" borderId="5" xfId="0" applyNumberFormat="1" applyFont="1" applyFill="1" applyBorder="1" applyProtection="1">
      <protection locked="0"/>
    </xf>
    <xf numFmtId="171" fontId="50" fillId="15" borderId="37" xfId="0" applyNumberFormat="1" applyFont="1" applyFill="1" applyBorder="1" applyAlignment="1" applyProtection="1">
      <alignment horizontal="center"/>
      <protection locked="0"/>
    </xf>
    <xf numFmtId="0" fontId="47" fillId="0" borderId="38" xfId="0" applyFont="1" applyBorder="1" applyAlignment="1">
      <alignment horizontal="left" indent="1"/>
    </xf>
    <xf numFmtId="0" fontId="12" fillId="7" borderId="39" xfId="0" applyFont="1" applyFill="1" applyBorder="1" applyProtection="1">
      <protection locked="0"/>
    </xf>
    <xf numFmtId="0" fontId="12" fillId="7" borderId="39" xfId="0" applyFont="1" applyFill="1" applyBorder="1" applyAlignment="1" applyProtection="1">
      <alignment horizontal="center"/>
      <protection locked="0"/>
    </xf>
    <xf numFmtId="49" fontId="12" fillId="7" borderId="39" xfId="0" applyNumberFormat="1" applyFont="1" applyFill="1" applyBorder="1" applyAlignment="1" applyProtection="1">
      <alignment horizontal="center"/>
      <protection locked="0"/>
    </xf>
    <xf numFmtId="170" fontId="12" fillId="7" borderId="39" xfId="0" applyNumberFormat="1" applyFont="1" applyFill="1" applyBorder="1" applyProtection="1">
      <protection locked="0"/>
    </xf>
    <xf numFmtId="171" fontId="12" fillId="7" borderId="40" xfId="0" applyNumberFormat="1" applyFont="1" applyFill="1" applyBorder="1" applyAlignment="1" applyProtection="1">
      <alignment horizontal="center"/>
      <protection locked="0"/>
    </xf>
    <xf numFmtId="0" fontId="47" fillId="0" borderId="41" xfId="0" applyFont="1" applyBorder="1" applyAlignment="1">
      <alignment horizontal="left" indent="1"/>
    </xf>
    <xf numFmtId="171" fontId="12" fillId="7" borderId="42" xfId="0" applyNumberFormat="1" applyFont="1" applyFill="1" applyBorder="1" applyAlignment="1" applyProtection="1">
      <alignment horizontal="center"/>
      <protection locked="0"/>
    </xf>
    <xf numFmtId="0" fontId="11" fillId="14" borderId="7" xfId="0" applyFont="1" applyFill="1" applyBorder="1" applyProtection="1">
      <protection locked="0"/>
    </xf>
    <xf numFmtId="170" fontId="11" fillId="14" borderId="7" xfId="0" applyNumberFormat="1" applyFont="1" applyFill="1" applyBorder="1" applyProtection="1">
      <protection locked="0"/>
    </xf>
    <xf numFmtId="191" fontId="11" fillId="14" borderId="7" xfId="0" quotePrefix="1" applyNumberFormat="1" applyFont="1" applyFill="1" applyBorder="1" applyAlignment="1" applyProtection="1">
      <alignment horizontal="center"/>
      <protection locked="0"/>
    </xf>
    <xf numFmtId="170" fontId="26" fillId="0" borderId="0" xfId="0" applyNumberFormat="1" applyFont="1" applyAlignment="1">
      <alignment horizontal="center" wrapText="1"/>
    </xf>
    <xf numFmtId="0" fontId="32" fillId="14" borderId="0" xfId="0" applyFont="1" applyFill="1" applyProtection="1">
      <protection locked="0"/>
    </xf>
    <xf numFmtId="0" fontId="11" fillId="14" borderId="0" xfId="0" applyFont="1" applyFill="1" applyProtection="1">
      <protection locked="0"/>
    </xf>
    <xf numFmtId="170" fontId="11" fillId="7" borderId="0" xfId="0" applyNumberFormat="1" applyFont="1" applyFill="1" applyProtection="1">
      <protection locked="0"/>
    </xf>
    <xf numFmtId="191" fontId="11" fillId="7" borderId="0" xfId="0" quotePrefix="1" applyNumberFormat="1" applyFont="1" applyFill="1" applyAlignment="1" applyProtection="1">
      <alignment horizontal="center"/>
      <protection locked="0"/>
    </xf>
    <xf numFmtId="170" fontId="11" fillId="0" borderId="0" xfId="0" applyNumberFormat="1" applyFont="1" applyProtection="1">
      <protection locked="0"/>
    </xf>
    <xf numFmtId="170" fontId="11" fillId="14" borderId="0" xfId="0" applyNumberFormat="1" applyFont="1" applyFill="1"/>
    <xf numFmtId="191" fontId="11" fillId="14" borderId="0" xfId="0" quotePrefix="1" applyNumberFormat="1" applyFont="1" applyFill="1" applyAlignment="1">
      <alignment horizontal="center"/>
    </xf>
    <xf numFmtId="170" fontId="11" fillId="0" borderId="0" xfId="0" applyNumberFormat="1" applyFont="1"/>
    <xf numFmtId="0" fontId="61" fillId="14" borderId="0" xfId="1" applyFont="1" applyFill="1" applyBorder="1" applyAlignment="1" applyProtection="1"/>
    <xf numFmtId="0" fontId="26" fillId="14" borderId="2" xfId="0" applyFont="1" applyFill="1" applyBorder="1"/>
    <xf numFmtId="0" fontId="11" fillId="14" borderId="2" xfId="0" applyFont="1" applyFill="1" applyBorder="1"/>
    <xf numFmtId="0" fontId="26" fillId="14" borderId="2" xfId="0" applyFont="1" applyFill="1" applyBorder="1" applyAlignment="1">
      <alignment horizontal="right"/>
    </xf>
    <xf numFmtId="0" fontId="26" fillId="14" borderId="2" xfId="0" applyFont="1" applyFill="1" applyBorder="1" applyAlignment="1">
      <alignment horizontal="center"/>
    </xf>
    <xf numFmtId="0" fontId="26" fillId="9" borderId="8" xfId="0" applyFont="1" applyFill="1" applyBorder="1" applyAlignment="1">
      <alignment wrapText="1"/>
    </xf>
    <xf numFmtId="0" fontId="26" fillId="9" borderId="8" xfId="0" applyFont="1" applyFill="1" applyBorder="1" applyAlignment="1">
      <alignment horizontal="center" wrapText="1"/>
    </xf>
    <xf numFmtId="0" fontId="26" fillId="9" borderId="8" xfId="0" applyFont="1" applyFill="1" applyBorder="1" applyAlignment="1">
      <alignment horizontal="right"/>
    </xf>
    <xf numFmtId="0" fontId="26" fillId="9" borderId="8" xfId="0" applyFont="1" applyFill="1" applyBorder="1" applyAlignment="1">
      <alignment horizontal="right" wrapText="1"/>
    </xf>
    <xf numFmtId="0" fontId="47" fillId="0" borderId="43" xfId="0" applyFont="1" applyBorder="1" applyAlignment="1">
      <alignment horizontal="left" indent="1"/>
    </xf>
    <xf numFmtId="0" fontId="11" fillId="14" borderId="7" xfId="0" applyFont="1" applyFill="1" applyBorder="1"/>
    <xf numFmtId="170" fontId="11" fillId="14" borderId="7" xfId="0" applyNumberFormat="1" applyFont="1" applyFill="1" applyBorder="1"/>
    <xf numFmtId="191" fontId="11" fillId="14" borderId="7" xfId="0" quotePrefix="1" applyNumberFormat="1" applyFont="1" applyFill="1" applyBorder="1" applyAlignment="1">
      <alignment horizontal="center"/>
    </xf>
    <xf numFmtId="0" fontId="26" fillId="0" borderId="0" xfId="0" applyFont="1" applyAlignment="1">
      <alignment horizontal="right"/>
    </xf>
    <xf numFmtId="0" fontId="62" fillId="0" borderId="0" xfId="0" applyFont="1" applyAlignment="1">
      <alignment horizontal="center" vertical="top"/>
    </xf>
    <xf numFmtId="192" fontId="26" fillId="6" borderId="16" xfId="0" applyNumberFormat="1" applyFont="1" applyFill="1" applyBorder="1" applyAlignment="1">
      <alignment horizontal="right"/>
    </xf>
    <xf numFmtId="0" fontId="59" fillId="0" borderId="0" xfId="1" applyFont="1" applyFill="1" applyBorder="1" applyAlignment="1" applyProtection="1">
      <alignment horizontal="right" wrapText="1" indent="1"/>
    </xf>
    <xf numFmtId="0" fontId="42" fillId="0" borderId="7" xfId="1" applyFont="1" applyFill="1" applyBorder="1" applyAlignment="1" applyProtection="1">
      <alignment horizontal="left" wrapText="1" indent="1"/>
    </xf>
    <xf numFmtId="0" fontId="34" fillId="0" borderId="7" xfId="0" applyFont="1" applyBorder="1" applyAlignment="1">
      <alignment horizontal="center" vertical="top"/>
    </xf>
    <xf numFmtId="0" fontId="29" fillId="0" borderId="7" xfId="0" applyFont="1" applyBorder="1" applyAlignment="1">
      <alignment horizontal="center" vertical="top"/>
    </xf>
    <xf numFmtId="0" fontId="29" fillId="0" borderId="21" xfId="0" applyFont="1" applyBorder="1" applyAlignment="1">
      <alignment horizontal="center" vertical="top"/>
    </xf>
    <xf numFmtId="0" fontId="63" fillId="14" borderId="8" xfId="0" applyFont="1" applyFill="1" applyBorder="1"/>
    <xf numFmtId="0" fontId="11" fillId="0" borderId="8" xfId="0" applyFont="1" applyBorder="1"/>
    <xf numFmtId="0" fontId="29" fillId="0" borderId="8" xfId="0" applyFont="1" applyBorder="1" applyAlignment="1">
      <alignment horizontal="center" vertical="top"/>
    </xf>
    <xf numFmtId="170" fontId="34" fillId="0" borderId="7" xfId="0" applyNumberFormat="1" applyFont="1" applyBorder="1" applyAlignment="1">
      <alignment horizontal="right" vertical="top"/>
    </xf>
    <xf numFmtId="0" fontId="29" fillId="0" borderId="0" xfId="0" applyFont="1" applyAlignment="1">
      <alignment horizontal="center" vertical="top"/>
    </xf>
    <xf numFmtId="0" fontId="26" fillId="9" borderId="8" xfId="0" applyFont="1" applyFill="1" applyBorder="1"/>
    <xf numFmtId="0" fontId="11" fillId="9" borderId="8" xfId="0" applyFont="1" applyFill="1" applyBorder="1"/>
    <xf numFmtId="0" fontId="29" fillId="9" borderId="8" xfId="0" applyFont="1" applyFill="1" applyBorder="1" applyAlignment="1">
      <alignment horizontal="center" vertical="top"/>
    </xf>
    <xf numFmtId="0" fontId="34" fillId="9" borderId="8" xfId="0" applyFont="1" applyFill="1" applyBorder="1" applyAlignment="1">
      <alignment horizontal="center" vertical="top"/>
    </xf>
    <xf numFmtId="0" fontId="26" fillId="0" borderId="0" xfId="0" applyFont="1" applyProtection="1">
      <protection locked="0"/>
    </xf>
    <xf numFmtId="0" fontId="26" fillId="9" borderId="0" xfId="0" applyFont="1" applyFill="1"/>
    <xf numFmtId="0" fontId="29" fillId="9" borderId="0" xfId="0" applyFont="1" applyFill="1" applyAlignment="1">
      <alignment horizontal="center" vertical="top"/>
    </xf>
    <xf numFmtId="0" fontId="34" fillId="9" borderId="0" xfId="0" applyFont="1" applyFill="1" applyAlignment="1">
      <alignment horizontal="center" vertical="top"/>
    </xf>
    <xf numFmtId="0" fontId="11" fillId="0" borderId="3" xfId="0" applyFont="1" applyBorder="1"/>
    <xf numFmtId="170" fontId="50" fillId="0" borderId="29" xfId="0" applyNumberFormat="1" applyFont="1" applyBorder="1" applyAlignment="1">
      <alignment horizontal="right" vertical="top"/>
    </xf>
    <xf numFmtId="0" fontId="12" fillId="7" borderId="29" xfId="0" applyFont="1" applyFill="1" applyBorder="1" applyAlignment="1" applyProtection="1">
      <alignment horizontal="center" vertical="top"/>
      <protection locked="0"/>
    </xf>
    <xf numFmtId="170" fontId="12" fillId="7" borderId="29" xfId="0" applyNumberFormat="1" applyFont="1" applyFill="1" applyBorder="1" applyAlignment="1" applyProtection="1">
      <alignment horizontal="right" vertical="top"/>
      <protection locked="0"/>
    </xf>
    <xf numFmtId="0" fontId="12" fillId="7" borderId="4" xfId="0" applyFont="1" applyFill="1" applyBorder="1" applyAlignment="1" applyProtection="1">
      <alignment horizontal="center" vertical="top"/>
      <protection locked="0"/>
    </xf>
    <xf numFmtId="170" fontId="12" fillId="7" borderId="4" xfId="0" applyNumberFormat="1" applyFont="1" applyFill="1" applyBorder="1" applyAlignment="1" applyProtection="1">
      <alignment horizontal="right" vertical="top"/>
      <protection locked="0"/>
    </xf>
    <xf numFmtId="0" fontId="11" fillId="14" borderId="39" xfId="0" applyFont="1" applyFill="1" applyBorder="1"/>
    <xf numFmtId="0" fontId="11" fillId="0" borderId="39" xfId="0" applyFont="1" applyBorder="1"/>
    <xf numFmtId="1" fontId="12" fillId="7" borderId="45" xfId="0" applyNumberFormat="1" applyFont="1" applyFill="1" applyBorder="1" applyAlignment="1" applyProtection="1">
      <alignment horizontal="center" vertical="top"/>
      <protection locked="0"/>
    </xf>
    <xf numFmtId="170" fontId="12" fillId="7" borderId="45" xfId="0" applyNumberFormat="1" applyFont="1" applyFill="1" applyBorder="1" applyAlignment="1" applyProtection="1">
      <alignment horizontal="right" vertical="top"/>
      <protection locked="0"/>
    </xf>
    <xf numFmtId="1" fontId="12" fillId="7" borderId="29" xfId="0" applyNumberFormat="1" applyFont="1" applyFill="1" applyBorder="1" applyAlignment="1" applyProtection="1">
      <alignment horizontal="center" vertical="top"/>
      <protection locked="0"/>
    </xf>
    <xf numFmtId="1" fontId="12" fillId="7" borderId="4" xfId="0" applyNumberFormat="1" applyFont="1" applyFill="1" applyBorder="1" applyAlignment="1" applyProtection="1">
      <alignment horizontal="center" vertical="top"/>
      <protection locked="0"/>
    </xf>
    <xf numFmtId="1" fontId="12" fillId="7" borderId="33" xfId="0" applyNumberFormat="1" applyFont="1" applyFill="1" applyBorder="1" applyAlignment="1" applyProtection="1">
      <alignment horizontal="center" vertical="top"/>
      <protection locked="0"/>
    </xf>
    <xf numFmtId="170" fontId="12" fillId="7" borderId="33" xfId="0" applyNumberFormat="1" applyFont="1" applyFill="1" applyBorder="1" applyAlignment="1" applyProtection="1">
      <alignment horizontal="right" vertical="top"/>
      <protection locked="0"/>
    </xf>
    <xf numFmtId="170" fontId="26" fillId="14" borderId="7" xfId="0" applyNumberFormat="1" applyFont="1" applyFill="1" applyBorder="1" applyAlignment="1">
      <alignment horizontal="center"/>
    </xf>
    <xf numFmtId="170" fontId="26" fillId="14" borderId="7" xfId="0" applyNumberFormat="1" applyFont="1" applyFill="1" applyBorder="1" applyAlignment="1">
      <alignment horizontal="right"/>
    </xf>
    <xf numFmtId="170" fontId="52" fillId="7" borderId="7" xfId="0" applyNumberFormat="1" applyFont="1" applyFill="1" applyBorder="1" applyAlignment="1" applyProtection="1">
      <alignment horizontal="right"/>
      <protection locked="0"/>
    </xf>
    <xf numFmtId="0" fontId="11" fillId="14" borderId="0" xfId="0" quotePrefix="1" applyFont="1" applyFill="1"/>
    <xf numFmtId="175" fontId="26" fillId="14" borderId="0" xfId="0" applyNumberFormat="1" applyFont="1" applyFill="1" applyAlignment="1">
      <alignment horizontal="right"/>
    </xf>
    <xf numFmtId="175" fontId="11" fillId="14" borderId="0" xfId="0" applyNumberFormat="1" applyFont="1" applyFill="1" applyAlignment="1">
      <alignment horizontal="right"/>
    </xf>
    <xf numFmtId="175" fontId="26" fillId="14" borderId="7" xfId="0" applyNumberFormat="1" applyFont="1" applyFill="1" applyBorder="1" applyAlignment="1">
      <alignment horizontal="right"/>
    </xf>
    <xf numFmtId="170" fontId="26" fillId="14" borderId="2" xfId="0" applyNumberFormat="1" applyFont="1" applyFill="1" applyBorder="1" applyAlignment="1">
      <alignment horizontal="center"/>
    </xf>
    <xf numFmtId="175" fontId="26" fillId="14" borderId="2" xfId="0" applyNumberFormat="1" applyFont="1" applyFill="1" applyBorder="1" applyAlignment="1">
      <alignment horizontal="right"/>
    </xf>
    <xf numFmtId="170" fontId="30" fillId="7" borderId="4" xfId="7" applyNumberFormat="1" applyFont="1" applyFill="1" applyBorder="1" applyAlignment="1" applyProtection="1">
      <alignment horizontal="right" vertical="top"/>
      <protection locked="0"/>
    </xf>
    <xf numFmtId="0" fontId="49" fillId="14" borderId="0" xfId="0" applyFont="1" applyFill="1"/>
    <xf numFmtId="9" fontId="26" fillId="0" borderId="4" xfId="7" applyFont="1" applyFill="1" applyBorder="1" applyAlignment="1" applyProtection="1">
      <alignment horizontal="center" vertical="top"/>
    </xf>
    <xf numFmtId="9" fontId="30" fillId="7" borderId="4" xfId="7" applyFont="1" applyFill="1" applyBorder="1" applyAlignment="1" applyProtection="1">
      <alignment horizontal="right" vertical="top"/>
      <protection locked="0"/>
    </xf>
    <xf numFmtId="193" fontId="11" fillId="14" borderId="0" xfId="0" applyNumberFormat="1" applyFont="1" applyFill="1" applyAlignment="1">
      <alignment horizontal="right"/>
    </xf>
    <xf numFmtId="0" fontId="11" fillId="14" borderId="0" xfId="0" applyFont="1" applyFill="1" applyAlignment="1">
      <alignment horizontal="right"/>
    </xf>
    <xf numFmtId="0" fontId="26" fillId="9" borderId="2" xfId="0" quotePrefix="1" applyFont="1" applyFill="1" applyBorder="1"/>
    <xf numFmtId="0" fontId="11" fillId="9" borderId="2" xfId="0" applyFont="1" applyFill="1" applyBorder="1" applyAlignment="1">
      <alignment horizontal="center"/>
    </xf>
    <xf numFmtId="0" fontId="26" fillId="9" borderId="2" xfId="0" applyFont="1" applyFill="1" applyBorder="1" applyAlignment="1">
      <alignment horizontal="right"/>
    </xf>
    <xf numFmtId="0" fontId="11" fillId="0" borderId="0" xfId="0" quotePrefix="1" applyFont="1" applyAlignment="1">
      <alignment horizontal="center"/>
    </xf>
    <xf numFmtId="0" fontId="32" fillId="0" borderId="3" xfId="0" applyFont="1" applyBorder="1"/>
    <xf numFmtId="0" fontId="11" fillId="0" borderId="3" xfId="0" applyFont="1" applyBorder="1" applyAlignment="1">
      <alignment horizontal="right"/>
    </xf>
    <xf numFmtId="0" fontId="11" fillId="0" borderId="3" xfId="0" applyFont="1" applyBorder="1" applyAlignment="1">
      <alignment horizontal="center"/>
    </xf>
    <xf numFmtId="0" fontId="11" fillId="0" borderId="29" xfId="0" applyFont="1" applyBorder="1"/>
    <xf numFmtId="194" fontId="11" fillId="0" borderId="5" xfId="0" applyNumberFormat="1" applyFont="1" applyBorder="1"/>
    <xf numFmtId="194" fontId="52" fillId="7" borderId="5" xfId="0" applyNumberFormat="1" applyFont="1" applyFill="1" applyBorder="1" applyProtection="1">
      <protection locked="0"/>
    </xf>
    <xf numFmtId="9" fontId="64" fillId="0" borderId="4" xfId="7" applyFont="1" applyFill="1" applyBorder="1" applyAlignment="1" applyProtection="1">
      <alignment horizontal="center" vertical="top"/>
    </xf>
    <xf numFmtId="170" fontId="65" fillId="0" borderId="4" xfId="7" applyNumberFormat="1" applyFont="1" applyFill="1" applyBorder="1" applyAlignment="1" applyProtection="1">
      <alignment horizontal="right" vertical="top"/>
    </xf>
    <xf numFmtId="170" fontId="66" fillId="0" borderId="4" xfId="7" applyNumberFormat="1" applyFont="1" applyFill="1" applyBorder="1" applyAlignment="1" applyProtection="1">
      <alignment horizontal="center" vertical="top"/>
    </xf>
    <xf numFmtId="194" fontId="11" fillId="0" borderId="5" xfId="0" quotePrefix="1" applyNumberFormat="1" applyFont="1" applyBorder="1"/>
    <xf numFmtId="170" fontId="64" fillId="0" borderId="4" xfId="7" applyNumberFormat="1" applyFont="1" applyFill="1" applyBorder="1" applyAlignment="1" applyProtection="1">
      <alignment horizontal="center" vertical="top"/>
    </xf>
    <xf numFmtId="194" fontId="52" fillId="0" borderId="5" xfId="0" applyNumberFormat="1" applyFont="1" applyBorder="1"/>
    <xf numFmtId="194" fontId="11" fillId="0" borderId="31" xfId="0" applyNumberFormat="1" applyFont="1" applyBorder="1"/>
    <xf numFmtId="194" fontId="11" fillId="0" borderId="39" xfId="0" applyNumberFormat="1" applyFont="1" applyBorder="1"/>
    <xf numFmtId="9" fontId="64" fillId="0" borderId="45" xfId="7" applyFont="1" applyFill="1" applyBorder="1" applyAlignment="1" applyProtection="1">
      <alignment horizontal="center" vertical="top"/>
    </xf>
    <xf numFmtId="170" fontId="64" fillId="0" borderId="45" xfId="7" applyNumberFormat="1" applyFont="1" applyFill="1" applyBorder="1" applyAlignment="1" applyProtection="1">
      <alignment horizontal="right" vertical="top"/>
    </xf>
    <xf numFmtId="194" fontId="11" fillId="0" borderId="7" xfId="0" applyNumberFormat="1" applyFont="1" applyBorder="1"/>
    <xf numFmtId="194" fontId="26" fillId="0" borderId="7" xfId="0" applyNumberFormat="1" applyFont="1" applyBorder="1"/>
    <xf numFmtId="170" fontId="66" fillId="0" borderId="7" xfId="7" applyNumberFormat="1" applyFont="1" applyFill="1" applyBorder="1" applyAlignment="1" applyProtection="1">
      <alignment horizontal="center" vertical="top"/>
    </xf>
    <xf numFmtId="170" fontId="66" fillId="0" borderId="7" xfId="7" applyNumberFormat="1" applyFont="1" applyFill="1" applyBorder="1" applyAlignment="1" applyProtection="1">
      <alignment vertical="top"/>
    </xf>
    <xf numFmtId="170" fontId="67" fillId="0" borderId="0" xfId="7" applyNumberFormat="1" applyFont="1" applyFill="1" applyBorder="1" applyAlignment="1" applyProtection="1">
      <alignment horizontal="center" vertical="top"/>
    </xf>
    <xf numFmtId="170" fontId="68" fillId="0" borderId="0" xfId="7" applyNumberFormat="1" applyFont="1" applyFill="1" applyBorder="1" applyAlignment="1" applyProtection="1">
      <alignment horizontal="right" vertical="top"/>
    </xf>
    <xf numFmtId="0" fontId="26" fillId="9" borderId="2" xfId="0" applyFont="1" applyFill="1" applyBorder="1"/>
    <xf numFmtId="0" fontId="11" fillId="0" borderId="0" xfId="0" quotePrefix="1" applyFont="1" applyAlignment="1">
      <alignment horizontal="left"/>
    </xf>
    <xf numFmtId="0" fontId="11" fillId="7" borderId="29" xfId="0" applyFont="1" applyFill="1" applyBorder="1" applyProtection="1">
      <protection locked="0"/>
    </xf>
    <xf numFmtId="194" fontId="50" fillId="0" borderId="5" xfId="0" applyNumberFormat="1" applyFont="1" applyBorder="1" applyAlignment="1">
      <alignment horizontal="center"/>
    </xf>
    <xf numFmtId="176" fontId="50" fillId="0" borderId="5" xfId="0" applyNumberFormat="1" applyFont="1" applyBorder="1" applyAlignment="1">
      <alignment horizontal="center"/>
    </xf>
    <xf numFmtId="9" fontId="69" fillId="7" borderId="4" xfId="7" applyFont="1" applyFill="1" applyBorder="1" applyAlignment="1" applyProtection="1">
      <alignment horizontal="center" vertical="top"/>
      <protection locked="0"/>
    </xf>
    <xf numFmtId="170" fontId="69" fillId="7" borderId="4" xfId="7" applyNumberFormat="1" applyFont="1" applyFill="1" applyBorder="1" applyAlignment="1" applyProtection="1">
      <alignment horizontal="right" vertical="top"/>
      <protection locked="0"/>
    </xf>
    <xf numFmtId="170" fontId="67" fillId="7" borderId="4" xfId="7" applyNumberFormat="1" applyFont="1" applyFill="1" applyBorder="1" applyAlignment="1" applyProtection="1">
      <alignment horizontal="center" vertical="top"/>
      <protection locked="0"/>
    </xf>
    <xf numFmtId="170" fontId="67" fillId="7" borderId="4" xfId="7" applyNumberFormat="1" applyFont="1" applyFill="1" applyBorder="1" applyAlignment="1" applyProtection="1">
      <alignment horizontal="right" vertical="top"/>
      <protection locked="0"/>
    </xf>
    <xf numFmtId="176" fontId="50" fillId="0" borderId="5" xfId="0" quotePrefix="1" applyNumberFormat="1" applyFont="1" applyBorder="1" applyAlignment="1">
      <alignment horizontal="center"/>
    </xf>
    <xf numFmtId="170" fontId="69" fillId="7" borderId="4" xfId="7" applyNumberFormat="1" applyFont="1" applyFill="1" applyBorder="1" applyAlignment="1" applyProtection="1">
      <alignment horizontal="center" vertical="top"/>
      <protection locked="0"/>
    </xf>
    <xf numFmtId="194" fontId="52" fillId="0" borderId="39" xfId="0" applyNumberFormat="1" applyFont="1" applyBorder="1" applyAlignment="1">
      <alignment horizontal="center"/>
    </xf>
    <xf numFmtId="194" fontId="50" fillId="0" borderId="39" xfId="0" applyNumberFormat="1" applyFont="1" applyBorder="1" applyAlignment="1">
      <alignment horizontal="center"/>
    </xf>
    <xf numFmtId="176" fontId="50" fillId="0" borderId="39" xfId="0" quotePrefix="1" applyNumberFormat="1" applyFont="1" applyBorder="1" applyAlignment="1">
      <alignment horizontal="center"/>
    </xf>
    <xf numFmtId="9" fontId="69" fillId="7" borderId="45" xfId="7" applyFont="1" applyFill="1" applyBorder="1" applyAlignment="1" applyProtection="1">
      <alignment horizontal="center" vertical="top"/>
      <protection locked="0"/>
    </xf>
    <xf numFmtId="170" fontId="69" fillId="7" borderId="45" xfId="7" applyNumberFormat="1" applyFont="1" applyFill="1" applyBorder="1" applyAlignment="1" applyProtection="1">
      <alignment horizontal="right" vertical="top"/>
      <protection locked="0"/>
    </xf>
    <xf numFmtId="194" fontId="11" fillId="0" borderId="7" xfId="0" applyNumberFormat="1" applyFont="1" applyBorder="1" applyAlignment="1">
      <alignment horizontal="center"/>
    </xf>
    <xf numFmtId="194" fontId="26" fillId="0" borderId="7" xfId="0" applyNumberFormat="1" applyFont="1" applyBorder="1" applyAlignment="1">
      <alignment horizontal="center"/>
    </xf>
    <xf numFmtId="170" fontId="67" fillId="0" borderId="7" xfId="7" applyNumberFormat="1" applyFont="1" applyFill="1" applyBorder="1" applyAlignment="1" applyProtection="1">
      <alignment horizontal="center" vertical="top"/>
    </xf>
    <xf numFmtId="170" fontId="53" fillId="0" borderId="7" xfId="7" applyNumberFormat="1" applyFont="1" applyFill="1" applyBorder="1" applyAlignment="1" applyProtection="1">
      <alignment vertical="top"/>
    </xf>
    <xf numFmtId="194" fontId="11" fillId="0" borderId="0" xfId="0" applyNumberFormat="1" applyFont="1"/>
    <xf numFmtId="194" fontId="26" fillId="0" borderId="0" xfId="0" applyNumberFormat="1" applyFont="1"/>
    <xf numFmtId="170" fontId="53" fillId="0" borderId="0" xfId="7" applyNumberFormat="1" applyFont="1" applyFill="1" applyBorder="1" applyAlignment="1" applyProtection="1">
      <alignment vertical="top"/>
    </xf>
    <xf numFmtId="175" fontId="53" fillId="0" borderId="0" xfId="7" applyNumberFormat="1" applyFont="1" applyFill="1" applyBorder="1" applyAlignment="1" applyProtection="1">
      <alignment vertical="top"/>
    </xf>
    <xf numFmtId="170" fontId="67" fillId="0" borderId="0" xfId="7" applyNumberFormat="1" applyFont="1" applyFill="1" applyBorder="1" applyAlignment="1" applyProtection="1">
      <alignment vertical="top"/>
    </xf>
    <xf numFmtId="0" fontId="26" fillId="7" borderId="46" xfId="0" applyFont="1" applyFill="1" applyBorder="1" applyAlignment="1" applyProtection="1">
      <alignment horizontal="left"/>
      <protection locked="0"/>
    </xf>
    <xf numFmtId="0" fontId="70" fillId="0" borderId="0" xfId="1" applyFont="1" applyAlignment="1" applyProtection="1"/>
    <xf numFmtId="9" fontId="26" fillId="0" borderId="0" xfId="7" applyFont="1" applyFill="1" applyBorder="1" applyAlignment="1" applyProtection="1">
      <alignment horizontal="center" vertical="top"/>
    </xf>
    <xf numFmtId="170" fontId="30" fillId="0" borderId="0" xfId="7" applyNumberFormat="1" applyFont="1" applyFill="1" applyBorder="1" applyAlignment="1" applyProtection="1">
      <alignment vertical="top"/>
    </xf>
    <xf numFmtId="0" fontId="11" fillId="9" borderId="2" xfId="0" applyFont="1" applyFill="1" applyBorder="1" applyAlignment="1">
      <alignment horizontal="right"/>
    </xf>
    <xf numFmtId="9" fontId="26" fillId="9" borderId="2" xfId="7" applyFont="1" applyFill="1" applyBorder="1" applyAlignment="1" applyProtection="1">
      <alignment horizontal="center" vertical="top"/>
    </xf>
    <xf numFmtId="170" fontId="30" fillId="9" borderId="2" xfId="7" applyNumberFormat="1" applyFont="1" applyFill="1" applyBorder="1" applyAlignment="1" applyProtection="1">
      <alignment vertical="top"/>
    </xf>
    <xf numFmtId="194" fontId="71" fillId="0" borderId="0" xfId="0" applyNumberFormat="1" applyFont="1"/>
    <xf numFmtId="174" fontId="26" fillId="0" borderId="0" xfId="7" applyNumberFormat="1" applyFont="1" applyFill="1" applyBorder="1" applyAlignment="1" applyProtection="1">
      <alignment horizontal="center" vertical="top"/>
    </xf>
    <xf numFmtId="174" fontId="50" fillId="0" borderId="0" xfId="7" applyNumberFormat="1" applyFont="1" applyFill="1" applyBorder="1" applyAlignment="1" applyProtection="1">
      <alignment vertical="top"/>
    </xf>
    <xf numFmtId="170" fontId="50" fillId="0" borderId="0" xfId="7" applyNumberFormat="1" applyFont="1" applyFill="1" applyBorder="1" applyAlignment="1" applyProtection="1">
      <alignment vertical="top"/>
    </xf>
    <xf numFmtId="174" fontId="11" fillId="0" borderId="5" xfId="0" applyNumberFormat="1" applyFont="1" applyBorder="1"/>
    <xf numFmtId="9" fontId="26" fillId="0" borderId="5" xfId="7" applyFont="1" applyFill="1" applyBorder="1" applyAlignment="1" applyProtection="1">
      <alignment horizontal="center" vertical="top"/>
    </xf>
    <xf numFmtId="170" fontId="50" fillId="0" borderId="5" xfId="7" applyNumberFormat="1" applyFont="1" applyFill="1" applyBorder="1" applyAlignment="1" applyProtection="1">
      <alignment vertical="top"/>
    </xf>
    <xf numFmtId="174" fontId="26" fillId="0" borderId="0" xfId="0" applyNumberFormat="1" applyFont="1"/>
    <xf numFmtId="174" fontId="50" fillId="0" borderId="5" xfId="7" applyNumberFormat="1" applyFont="1" applyFill="1" applyBorder="1" applyAlignment="1" applyProtection="1">
      <alignment vertical="top"/>
    </xf>
    <xf numFmtId="175" fontId="11" fillId="0" borderId="0" xfId="0" applyNumberFormat="1" applyFont="1"/>
    <xf numFmtId="174" fontId="11" fillId="0" borderId="0" xfId="7" applyNumberFormat="1" applyFont="1" applyFill="1" applyBorder="1" applyAlignment="1" applyProtection="1">
      <alignment horizontal="right" vertical="top"/>
    </xf>
    <xf numFmtId="175" fontId="11" fillId="9" borderId="2" xfId="0" applyNumberFormat="1" applyFont="1" applyFill="1" applyBorder="1"/>
    <xf numFmtId="9" fontId="53" fillId="0" borderId="44" xfId="7" applyFont="1" applyFill="1" applyBorder="1" applyAlignment="1" applyProtection="1">
      <alignment horizontal="center" vertical="top"/>
    </xf>
    <xf numFmtId="175" fontId="50" fillId="0" borderId="44" xfId="7" applyNumberFormat="1" applyFont="1" applyFill="1" applyBorder="1" applyAlignment="1" applyProtection="1">
      <alignment horizontal="right" vertical="top"/>
    </xf>
    <xf numFmtId="9" fontId="53" fillId="0" borderId="4" xfId="7" applyFont="1" applyFill="1" applyBorder="1" applyAlignment="1" applyProtection="1">
      <alignment horizontal="center" vertical="top"/>
    </xf>
    <xf numFmtId="175" fontId="50" fillId="0" borderId="4" xfId="7" applyNumberFormat="1" applyFont="1" applyFill="1" applyBorder="1" applyAlignment="1" applyProtection="1">
      <alignment horizontal="right" vertical="top"/>
    </xf>
    <xf numFmtId="9" fontId="53" fillId="0" borderId="45" xfId="7" applyFont="1" applyFill="1" applyBorder="1" applyAlignment="1" applyProtection="1">
      <alignment horizontal="center" vertical="top"/>
    </xf>
    <xf numFmtId="175" fontId="50" fillId="0" borderId="45" xfId="7" applyNumberFormat="1" applyFont="1" applyFill="1" applyBorder="1" applyAlignment="1" applyProtection="1">
      <alignment horizontal="right" vertical="top"/>
    </xf>
    <xf numFmtId="170" fontId="11" fillId="0" borderId="29" xfId="7" applyNumberFormat="1" applyFont="1" applyFill="1" applyBorder="1" applyAlignment="1" applyProtection="1">
      <alignment horizontal="center" vertical="top"/>
    </xf>
    <xf numFmtId="170" fontId="11" fillId="0" borderId="29" xfId="7" applyNumberFormat="1" applyFont="1" applyFill="1" applyBorder="1" applyAlignment="1" applyProtection="1">
      <alignment horizontal="right" vertical="top"/>
    </xf>
    <xf numFmtId="0" fontId="11" fillId="14" borderId="2" xfId="0" applyFont="1" applyFill="1" applyBorder="1" applyAlignment="1">
      <alignment vertical="center" wrapText="1"/>
    </xf>
    <xf numFmtId="0" fontId="11" fillId="14" borderId="2" xfId="0" applyFont="1" applyFill="1" applyBorder="1" applyAlignment="1">
      <alignment vertical="center"/>
    </xf>
    <xf numFmtId="0" fontId="11" fillId="14" borderId="2" xfId="0" applyFont="1" applyFill="1" applyBorder="1" applyAlignment="1">
      <alignment horizontal="center" vertical="top"/>
    </xf>
    <xf numFmtId="0" fontId="11" fillId="14" borderId="0" xfId="0" applyFont="1" applyFill="1" applyAlignment="1">
      <alignment horizontal="center" vertical="top"/>
    </xf>
    <xf numFmtId="176" fontId="12" fillId="16" borderId="44" xfId="8" applyNumberFormat="1" applyFont="1" applyBorder="1" applyAlignment="1" applyProtection="1">
      <alignment horizontal="center" vertical="top"/>
      <protection locked="0"/>
    </xf>
    <xf numFmtId="176" fontId="18" fillId="0" borderId="4" xfId="8" applyNumberFormat="1" applyFont="1" applyFill="1" applyBorder="1" applyAlignment="1" applyProtection="1">
      <alignment horizontal="center" vertical="top"/>
      <protection locked="0"/>
    </xf>
    <xf numFmtId="0" fontId="11" fillId="14" borderId="0" xfId="0" applyFont="1" applyFill="1" applyAlignment="1">
      <alignment horizontal="center"/>
    </xf>
    <xf numFmtId="173" fontId="12" fillId="7" borderId="4" xfId="8" applyNumberFormat="1" applyFont="1" applyFill="1" applyBorder="1" applyAlignment="1" applyProtection="1">
      <alignment horizontal="center" vertical="top"/>
      <protection locked="0"/>
    </xf>
    <xf numFmtId="0" fontId="11" fillId="14" borderId="0" xfId="0" applyFont="1" applyFill="1" applyAlignment="1">
      <alignment horizontal="left"/>
    </xf>
    <xf numFmtId="9" fontId="11" fillId="14" borderId="0" xfId="7" applyFont="1" applyFill="1" applyBorder="1" applyAlignment="1">
      <alignment horizontal="center" vertical="top"/>
    </xf>
    <xf numFmtId="173" fontId="50" fillId="0" borderId="4" xfId="8" applyNumberFormat="1" applyFont="1" applyFill="1" applyBorder="1" applyAlignment="1" applyProtection="1">
      <alignment horizontal="center" vertical="top"/>
      <protection locked="0"/>
    </xf>
    <xf numFmtId="177" fontId="50" fillId="0" borderId="4" xfId="8" applyNumberFormat="1" applyFont="1" applyFill="1" applyBorder="1" applyAlignment="1" applyProtection="1">
      <alignment horizontal="center" vertical="top"/>
      <protection locked="0"/>
    </xf>
    <xf numFmtId="173" fontId="12" fillId="16" borderId="4" xfId="8" applyNumberFormat="1" applyFont="1" applyBorder="1" applyAlignment="1" applyProtection="1">
      <alignment horizontal="center" vertical="top"/>
      <protection locked="0"/>
    </xf>
    <xf numFmtId="177" fontId="11" fillId="0" borderId="45" xfId="8" applyNumberFormat="1" applyFont="1" applyFill="1" applyBorder="1" applyAlignment="1" applyProtection="1">
      <alignment horizontal="center" vertical="top"/>
    </xf>
    <xf numFmtId="177" fontId="11" fillId="0" borderId="0" xfId="8" applyNumberFormat="1" applyFont="1" applyFill="1" applyBorder="1" applyAlignment="1" applyProtection="1">
      <alignment horizontal="center" vertical="top"/>
    </xf>
    <xf numFmtId="170" fontId="11" fillId="0" borderId="0" xfId="0" quotePrefix="1" applyNumberFormat="1" applyFont="1"/>
    <xf numFmtId="174" fontId="11" fillId="0" borderId="0" xfId="0" quotePrefix="1" applyNumberFormat="1" applyFont="1"/>
    <xf numFmtId="0" fontId="26" fillId="0" borderId="7" xfId="0" applyFont="1" applyBorder="1"/>
    <xf numFmtId="9" fontId="26" fillId="9" borderId="0" xfId="7" applyFont="1" applyFill="1" applyBorder="1" applyAlignment="1" applyProtection="1">
      <alignment horizontal="center" vertical="top"/>
    </xf>
    <xf numFmtId="170" fontId="11" fillId="9" borderId="0" xfId="0" applyNumberFormat="1" applyFont="1" applyFill="1"/>
    <xf numFmtId="174" fontId="50" fillId="0" borderId="7" xfId="7" applyNumberFormat="1" applyFont="1" applyFill="1" applyBorder="1" applyAlignment="1" applyProtection="1">
      <alignment vertical="top"/>
    </xf>
    <xf numFmtId="170" fontId="11" fillId="0" borderId="0" xfId="7" applyNumberFormat="1" applyFont="1" applyFill="1" applyBorder="1" applyAlignment="1" applyProtection="1">
      <alignment horizontal="center" vertical="top"/>
    </xf>
    <xf numFmtId="176" fontId="11" fillId="0" borderId="0" xfId="7" applyNumberFormat="1" applyFont="1" applyFill="1" applyBorder="1" applyAlignment="1" applyProtection="1">
      <alignment horizontal="center" vertical="top"/>
    </xf>
    <xf numFmtId="174" fontId="11" fillId="0" borderId="0" xfId="7" applyNumberFormat="1" applyFont="1" applyFill="1" applyBorder="1" applyAlignment="1" applyProtection="1">
      <alignment vertical="top"/>
    </xf>
    <xf numFmtId="174" fontId="11" fillId="0" borderId="7" xfId="7" applyNumberFormat="1" applyFont="1" applyFill="1" applyBorder="1" applyAlignment="1" applyProtection="1">
      <alignment vertical="top"/>
    </xf>
    <xf numFmtId="174" fontId="11" fillId="0" borderId="7" xfId="0" applyNumberFormat="1" applyFont="1" applyBorder="1"/>
    <xf numFmtId="170" fontId="11" fillId="0" borderId="4" xfId="0" applyNumberFormat="1" applyFont="1" applyBorder="1" applyAlignment="1">
      <alignment horizontal="right" vertical="top"/>
    </xf>
    <xf numFmtId="170" fontId="11" fillId="0" borderId="4" xfId="0" quotePrefix="1" applyNumberFormat="1" applyFont="1" applyBorder="1" applyAlignment="1">
      <alignment horizontal="right" vertical="top"/>
    </xf>
    <xf numFmtId="0" fontId="47" fillId="0" borderId="0" xfId="0" applyFont="1" applyAlignment="1">
      <alignment horizontal="center" vertical="center"/>
    </xf>
    <xf numFmtId="0" fontId="11" fillId="0" borderId="0" xfId="0" applyFont="1" applyAlignment="1">
      <alignment wrapText="1"/>
    </xf>
    <xf numFmtId="174" fontId="50" fillId="7" borderId="4" xfId="8" applyNumberFormat="1" applyFont="1" applyFill="1" applyBorder="1" applyAlignment="1" applyProtection="1">
      <alignment horizontal="right" vertical="center"/>
      <protection locked="0"/>
    </xf>
    <xf numFmtId="174" fontId="12" fillId="16" borderId="4" xfId="8" applyNumberFormat="1" applyFont="1" applyBorder="1" applyAlignment="1" applyProtection="1">
      <alignment horizontal="right" vertical="center"/>
      <protection locked="0"/>
    </xf>
    <xf numFmtId="170" fontId="52" fillId="7" borderId="4" xfId="8" applyNumberFormat="1" applyFont="1" applyFill="1" applyBorder="1" applyAlignment="1" applyProtection="1">
      <alignment horizontal="right" vertical="top"/>
      <protection locked="0"/>
    </xf>
    <xf numFmtId="170" fontId="12" fillId="16" borderId="4" xfId="8" applyNumberFormat="1" applyFont="1" applyBorder="1" applyAlignment="1" applyProtection="1">
      <alignment horizontal="right" vertical="top"/>
      <protection locked="0"/>
    </xf>
    <xf numFmtId="170" fontId="50" fillId="7" borderId="4" xfId="8" applyNumberFormat="1" applyFont="1" applyFill="1" applyBorder="1" applyAlignment="1" applyProtection="1">
      <alignment horizontal="right" vertical="top"/>
      <protection locked="0"/>
    </xf>
    <xf numFmtId="174" fontId="11" fillId="0" borderId="0" xfId="0" applyNumberFormat="1" applyFont="1" applyAlignment="1" applyProtection="1">
      <alignment horizontal="right" vertical="top"/>
      <protection locked="0"/>
    </xf>
    <xf numFmtId="170" fontId="12" fillId="7" borderId="4" xfId="8" applyNumberFormat="1" applyFont="1" applyFill="1" applyBorder="1" applyAlignment="1" applyProtection="1">
      <alignment horizontal="right" vertical="top"/>
      <protection locked="0"/>
    </xf>
    <xf numFmtId="0" fontId="26" fillId="9" borderId="7" xfId="0" applyFont="1" applyFill="1" applyBorder="1"/>
    <xf numFmtId="174" fontId="34" fillId="9" borderId="7" xfId="0" applyNumberFormat="1" applyFont="1" applyFill="1" applyBorder="1"/>
    <xf numFmtId="174" fontId="29" fillId="9" borderId="7" xfId="0" applyNumberFormat="1" applyFont="1" applyFill="1" applyBorder="1"/>
    <xf numFmtId="195" fontId="26" fillId="9" borderId="7" xfId="0" applyNumberFormat="1" applyFont="1" applyFill="1" applyBorder="1" applyAlignment="1">
      <alignment horizontal="center" vertical="top"/>
    </xf>
    <xf numFmtId="174" fontId="34" fillId="0" borderId="7" xfId="0" applyNumberFormat="1" applyFont="1" applyBorder="1"/>
    <xf numFmtId="174" fontId="29" fillId="0" borderId="7" xfId="0" applyNumberFormat="1" applyFont="1" applyBorder="1"/>
    <xf numFmtId="195" fontId="26" fillId="0" borderId="7" xfId="0" applyNumberFormat="1" applyFont="1" applyBorder="1" applyAlignment="1">
      <alignment horizontal="center" vertical="top"/>
    </xf>
    <xf numFmtId="195" fontId="49" fillId="0" borderId="7" xfId="0" applyNumberFormat="1" applyFont="1" applyBorder="1" applyAlignment="1">
      <alignment horizontal="center" vertical="top"/>
    </xf>
    <xf numFmtId="195" fontId="49" fillId="0" borderId="0" xfId="0" applyNumberFormat="1" applyFont="1" applyAlignment="1">
      <alignment horizontal="center" vertical="top"/>
    </xf>
    <xf numFmtId="0" fontId="34" fillId="4" borderId="0" xfId="0" applyFont="1" applyFill="1"/>
    <xf numFmtId="0" fontId="42" fillId="0" borderId="0" xfId="0" applyFont="1"/>
    <xf numFmtId="0" fontId="73" fillId="0" borderId="0" xfId="6" applyFont="1"/>
    <xf numFmtId="174" fontId="26" fillId="0" borderId="0" xfId="0" applyNumberFormat="1" applyFont="1" applyAlignment="1">
      <alignment horizontal="right"/>
    </xf>
    <xf numFmtId="0" fontId="11" fillId="2" borderId="0" xfId="0" applyFont="1" applyFill="1"/>
    <xf numFmtId="0" fontId="73" fillId="0" borderId="0" xfId="0" applyFont="1"/>
    <xf numFmtId="0" fontId="75" fillId="0" borderId="0" xfId="1" applyFont="1" applyAlignment="1" applyProtection="1"/>
    <xf numFmtId="0" fontId="47" fillId="0" borderId="0" xfId="0" applyFont="1" applyAlignment="1">
      <alignment horizontal="left" indent="1"/>
    </xf>
    <xf numFmtId="0" fontId="62" fillId="0" borderId="0" xfId="0" applyFont="1" applyAlignment="1">
      <alignment horizontal="right" vertical="top"/>
    </xf>
    <xf numFmtId="0" fontId="76" fillId="0" borderId="0" xfId="0" applyFont="1"/>
    <xf numFmtId="195" fontId="11" fillId="0" borderId="0" xfId="8" applyNumberFormat="1" applyFont="1" applyFill="1" applyBorder="1" applyAlignment="1" applyProtection="1">
      <alignment horizontal="center" vertical="top"/>
    </xf>
    <xf numFmtId="167" fontId="26" fillId="0" borderId="0" xfId="0" applyNumberFormat="1" applyFont="1" applyAlignment="1">
      <alignment horizontal="right"/>
    </xf>
    <xf numFmtId="0" fontId="42" fillId="10" borderId="2" xfId="0" applyFont="1" applyFill="1" applyBorder="1"/>
    <xf numFmtId="0" fontId="26" fillId="10" borderId="2" xfId="0" applyFont="1" applyFill="1" applyBorder="1"/>
    <xf numFmtId="0" fontId="26" fillId="10" borderId="2" xfId="0" applyFont="1" applyFill="1" applyBorder="1" applyAlignment="1">
      <alignment horizontal="right"/>
    </xf>
    <xf numFmtId="0" fontId="42" fillId="0" borderId="2" xfId="0" applyFont="1" applyBorder="1"/>
    <xf numFmtId="165" fontId="57" fillId="0" borderId="2" xfId="0" applyNumberFormat="1" applyFont="1" applyBorder="1"/>
    <xf numFmtId="171" fontId="29" fillId="0" borderId="0" xfId="0" applyNumberFormat="1" applyFont="1" applyAlignment="1">
      <alignment horizontal="right" vertical="top"/>
    </xf>
    <xf numFmtId="0" fontId="34" fillId="0" borderId="7" xfId="0" applyFont="1" applyBorder="1"/>
    <xf numFmtId="171" fontId="34" fillId="0" borderId="7" xfId="0" applyNumberFormat="1" applyFont="1" applyBorder="1" applyAlignment="1">
      <alignment horizontal="right" vertical="top"/>
    </xf>
    <xf numFmtId="173" fontId="29" fillId="0" borderId="0" xfId="0" applyNumberFormat="1" applyFont="1" applyAlignment="1">
      <alignment horizontal="center"/>
    </xf>
    <xf numFmtId="0" fontId="29" fillId="0" borderId="7" xfId="0" applyFont="1" applyBorder="1"/>
    <xf numFmtId="179" fontId="29" fillId="0" borderId="7" xfId="0" applyNumberFormat="1" applyFont="1" applyBorder="1"/>
    <xf numFmtId="179" fontId="34" fillId="0" borderId="7" xfId="0" applyNumberFormat="1" applyFont="1" applyBorder="1"/>
    <xf numFmtId="173" fontId="11" fillId="0" borderId="0" xfId="0" applyNumberFormat="1" applyFont="1" applyAlignment="1">
      <alignment horizontal="center"/>
    </xf>
    <xf numFmtId="0" fontId="42" fillId="6" borderId="2" xfId="0" applyFont="1" applyFill="1" applyBorder="1"/>
    <xf numFmtId="196" fontId="11" fillId="6" borderId="2" xfId="3" applyNumberFormat="1" applyFont="1" applyFill="1" applyBorder="1"/>
    <xf numFmtId="197" fontId="26" fillId="6" borderId="2" xfId="2" applyNumberFormat="1" applyFont="1" applyFill="1" applyBorder="1"/>
    <xf numFmtId="197" fontId="26" fillId="6" borderId="2" xfId="2" applyNumberFormat="1" applyFont="1" applyFill="1" applyBorder="1" applyAlignment="1">
      <alignment horizontal="center"/>
    </xf>
    <xf numFmtId="0" fontId="77" fillId="0" borderId="0" xfId="0" applyFont="1"/>
    <xf numFmtId="196" fontId="11" fillId="0" borderId="0" xfId="3" applyNumberFormat="1" applyFont="1" applyFill="1" applyBorder="1"/>
    <xf numFmtId="197" fontId="26" fillId="0" borderId="0" xfId="2" applyNumberFormat="1" applyFont="1" applyFill="1" applyBorder="1"/>
    <xf numFmtId="197" fontId="26" fillId="0" borderId="0" xfId="2" applyNumberFormat="1" applyFont="1" applyFill="1" applyBorder="1" applyAlignment="1">
      <alignment horizontal="center"/>
    </xf>
    <xf numFmtId="0" fontId="77" fillId="0" borderId="7" xfId="0" applyFont="1" applyBorder="1"/>
    <xf numFmtId="196" fontId="11" fillId="0" borderId="7" xfId="3" applyNumberFormat="1" applyFont="1" applyFill="1" applyBorder="1"/>
    <xf numFmtId="197" fontId="26" fillId="0" borderId="7" xfId="2" applyNumberFormat="1" applyFont="1" applyFill="1" applyBorder="1"/>
    <xf numFmtId="197" fontId="26" fillId="0" borderId="7" xfId="2" applyNumberFormat="1" applyFont="1" applyFill="1" applyBorder="1" applyAlignment="1">
      <alignment horizontal="center"/>
    </xf>
    <xf numFmtId="196" fontId="11" fillId="0" borderId="2" xfId="3" applyNumberFormat="1" applyFont="1" applyFill="1" applyBorder="1"/>
    <xf numFmtId="197" fontId="26" fillId="0" borderId="2" xfId="2" applyNumberFormat="1" applyFont="1" applyFill="1" applyBorder="1"/>
    <xf numFmtId="174" fontId="11" fillId="0" borderId="2" xfId="3" applyNumberFormat="1" applyFont="1" applyFill="1" applyBorder="1"/>
    <xf numFmtId="174" fontId="26" fillId="0" borderId="2" xfId="3" applyNumberFormat="1" applyFont="1" applyFill="1" applyBorder="1"/>
    <xf numFmtId="174" fontId="11" fillId="0" borderId="2" xfId="3" applyNumberFormat="1" applyFont="1" applyFill="1" applyBorder="1" applyAlignment="1">
      <alignment horizontal="right"/>
    </xf>
    <xf numFmtId="174" fontId="11" fillId="0" borderId="2" xfId="0" applyNumberFormat="1" applyFont="1" applyBorder="1"/>
    <xf numFmtId="174" fontId="26" fillId="0" borderId="2" xfId="0" applyNumberFormat="1" applyFont="1" applyBorder="1"/>
    <xf numFmtId="174" fontId="26" fillId="0" borderId="2" xfId="3" applyNumberFormat="1" applyFont="1" applyFill="1" applyBorder="1" applyAlignment="1">
      <alignment horizontal="right"/>
    </xf>
    <xf numFmtId="196" fontId="11" fillId="0" borderId="3" xfId="3" applyNumberFormat="1" applyFont="1" applyFill="1" applyBorder="1"/>
    <xf numFmtId="170" fontId="11" fillId="0" borderId="0" xfId="3" applyNumberFormat="1" applyFont="1" applyFill="1" applyBorder="1" applyAlignment="1">
      <alignment horizontal="right"/>
    </xf>
    <xf numFmtId="196" fontId="11" fillId="0" borderId="5" xfId="3" applyNumberFormat="1" applyFont="1" applyFill="1" applyBorder="1"/>
    <xf numFmtId="170" fontId="11" fillId="0" borderId="5" xfId="3" applyNumberFormat="1" applyFont="1" applyFill="1" applyBorder="1" applyAlignment="1">
      <alignment horizontal="right"/>
    </xf>
    <xf numFmtId="0" fontId="26" fillId="10" borderId="0" xfId="0" applyFont="1" applyFill="1"/>
    <xf numFmtId="0" fontId="26" fillId="10" borderId="0" xfId="0" applyFont="1" applyFill="1" applyAlignment="1">
      <alignment horizontal="right"/>
    </xf>
    <xf numFmtId="167" fontId="26" fillId="10" borderId="0" xfId="0" applyNumberFormat="1" applyFont="1" applyFill="1" applyAlignment="1">
      <alignment horizontal="right"/>
    </xf>
    <xf numFmtId="0" fontId="26" fillId="8" borderId="51" xfId="0" applyFont="1" applyFill="1" applyBorder="1" applyAlignment="1">
      <alignment horizontal="right"/>
    </xf>
    <xf numFmtId="0" fontId="26" fillId="8" borderId="52" xfId="0" applyFont="1" applyFill="1" applyBorder="1" applyAlignment="1">
      <alignment horizontal="right"/>
    </xf>
    <xf numFmtId="0" fontId="11" fillId="14" borderId="53" xfId="0" applyFont="1" applyFill="1" applyBorder="1"/>
    <xf numFmtId="10" fontId="11" fillId="0" borderId="53" xfId="4" applyNumberFormat="1" applyFont="1" applyFill="1" applyBorder="1" applyAlignment="1">
      <alignment horizontal="left" vertical="top"/>
    </xf>
    <xf numFmtId="9" fontId="26" fillId="14" borderId="0" xfId="4" applyFont="1" applyFill="1" applyBorder="1" applyAlignment="1">
      <alignment horizontal="center" vertical="top"/>
    </xf>
    <xf numFmtId="10" fontId="11" fillId="14" borderId="0" xfId="4" applyNumberFormat="1" applyFont="1" applyFill="1" applyBorder="1" applyAlignment="1">
      <alignment horizontal="left" vertical="top"/>
    </xf>
    <xf numFmtId="10" fontId="11" fillId="0" borderId="0" xfId="4" applyNumberFormat="1" applyFont="1" applyFill="1" applyBorder="1" applyAlignment="1">
      <alignment horizontal="left" vertical="top"/>
    </xf>
    <xf numFmtId="174" fontId="12" fillId="16" borderId="4" xfId="8" applyNumberFormat="1" applyFont="1" applyBorder="1" applyAlignment="1" applyProtection="1">
      <alignment horizontal="center" vertical="top"/>
      <protection locked="0"/>
    </xf>
    <xf numFmtId="175" fontId="12" fillId="16" borderId="4" xfId="8" applyNumberFormat="1" applyFont="1" applyBorder="1" applyAlignment="1" applyProtection="1">
      <alignment horizontal="center" vertical="top"/>
      <protection locked="0"/>
    </xf>
    <xf numFmtId="174" fontId="26" fillId="14" borderId="0" xfId="4" applyNumberFormat="1" applyFont="1" applyFill="1" applyBorder="1" applyAlignment="1" applyProtection="1">
      <alignment horizontal="center" vertical="top"/>
      <protection locked="0"/>
    </xf>
    <xf numFmtId="10" fontId="11" fillId="14" borderId="0" xfId="4" quotePrefix="1" applyNumberFormat="1" applyFont="1" applyFill="1" applyBorder="1" applyAlignment="1">
      <alignment horizontal="left" vertical="top"/>
    </xf>
    <xf numFmtId="10" fontId="12" fillId="16" borderId="4" xfId="8" applyNumberFormat="1" applyFont="1" applyBorder="1" applyAlignment="1" applyProtection="1">
      <alignment horizontal="center" vertical="top"/>
      <protection locked="0"/>
    </xf>
    <xf numFmtId="174" fontId="12" fillId="7" borderId="4" xfId="8" applyNumberFormat="1" applyFont="1" applyFill="1" applyBorder="1" applyAlignment="1" applyProtection="1">
      <alignment horizontal="center" vertical="top"/>
      <protection locked="0"/>
    </xf>
    <xf numFmtId="176" fontId="12" fillId="16" borderId="4" xfId="8" applyNumberFormat="1" applyFont="1" applyBorder="1" applyAlignment="1" applyProtection="1">
      <alignment horizontal="center" vertical="top"/>
      <protection locked="0"/>
    </xf>
    <xf numFmtId="10" fontId="11" fillId="14" borderId="0" xfId="4" applyNumberFormat="1" applyFont="1" applyFill="1" applyBorder="1" applyAlignment="1" applyProtection="1">
      <alignment horizontal="center" vertical="top"/>
      <protection locked="0"/>
    </xf>
    <xf numFmtId="10" fontId="11" fillId="14" borderId="0" xfId="4" quotePrefix="1" applyNumberFormat="1" applyFont="1" applyFill="1" applyBorder="1" applyAlignment="1" applyProtection="1">
      <alignment horizontal="center" vertical="top"/>
      <protection locked="0"/>
    </xf>
    <xf numFmtId="10" fontId="50" fillId="0" borderId="4" xfId="8" applyNumberFormat="1" applyFont="1" applyFill="1" applyBorder="1" applyAlignment="1" applyProtection="1">
      <alignment horizontal="center" vertical="top"/>
    </xf>
    <xf numFmtId="170" fontId="12" fillId="16" borderId="4" xfId="8" applyNumberFormat="1" applyFont="1" applyBorder="1" applyAlignment="1" applyProtection="1">
      <alignment horizontal="center"/>
      <protection locked="0"/>
    </xf>
    <xf numFmtId="170" fontId="11" fillId="0" borderId="0" xfId="8" applyNumberFormat="1" applyFont="1" applyFill="1" applyBorder="1" applyAlignment="1" applyProtection="1">
      <alignment horizontal="center"/>
    </xf>
    <xf numFmtId="170" fontId="12" fillId="16" borderId="4" xfId="8" applyNumberFormat="1" applyFont="1" applyBorder="1" applyAlignment="1" applyProtection="1">
      <alignment horizontal="center" vertical="top"/>
      <protection locked="0"/>
    </xf>
    <xf numFmtId="170" fontId="11" fillId="0" borderId="0" xfId="8" applyNumberFormat="1" applyFont="1" applyFill="1" applyBorder="1" applyAlignment="1" applyProtection="1">
      <alignment horizontal="center" vertical="top"/>
    </xf>
    <xf numFmtId="195" fontId="12" fillId="16" borderId="4" xfId="8" applyNumberFormat="1" applyFont="1" applyBorder="1" applyAlignment="1" applyProtection="1">
      <alignment horizontal="center" vertical="top"/>
      <protection locked="0"/>
    </xf>
    <xf numFmtId="0" fontId="47" fillId="0" borderId="0" xfId="0" applyFont="1" applyAlignment="1">
      <alignment horizontal="left" vertical="center" indent="1"/>
    </xf>
    <xf numFmtId="0" fontId="26" fillId="0" borderId="2" xfId="0" applyFont="1" applyBorder="1" applyAlignment="1">
      <alignment horizontal="right"/>
    </xf>
    <xf numFmtId="0" fontId="11" fillId="0" borderId="2" xfId="0" applyFont="1" applyBorder="1" applyAlignment="1">
      <alignment horizontal="center" wrapText="1"/>
    </xf>
    <xf numFmtId="0" fontId="11" fillId="0" borderId="0" xfId="0" applyFont="1" applyAlignment="1">
      <alignment horizontal="center" wrapText="1"/>
    </xf>
    <xf numFmtId="0" fontId="26" fillId="2" borderId="0" xfId="0" applyFont="1" applyFill="1" applyAlignment="1">
      <alignment horizontal="left"/>
    </xf>
    <xf numFmtId="0" fontId="26" fillId="2" borderId="0" xfId="0" applyFont="1" applyFill="1" applyAlignment="1">
      <alignment horizontal="center"/>
    </xf>
    <xf numFmtId="0" fontId="11" fillId="2" borderId="0" xfId="0" applyFont="1" applyFill="1" applyAlignment="1">
      <alignment horizontal="center" wrapText="1"/>
    </xf>
    <xf numFmtId="0" fontId="11" fillId="2" borderId="7" xfId="0" applyFont="1" applyFill="1" applyBorder="1" applyAlignment="1">
      <alignment horizontal="center" wrapText="1"/>
    </xf>
    <xf numFmtId="0" fontId="26" fillId="2" borderId="7" xfId="0" applyFont="1" applyFill="1" applyBorder="1"/>
    <xf numFmtId="0" fontId="11" fillId="2" borderId="7" xfId="0" applyFont="1" applyFill="1" applyBorder="1"/>
    <xf numFmtId="0" fontId="11" fillId="0" borderId="5" xfId="0" applyFont="1" applyBorder="1" applyProtection="1">
      <protection locked="0"/>
    </xf>
    <xf numFmtId="0" fontId="11" fillId="0" borderId="5" xfId="0" quotePrefix="1" applyFont="1" applyBorder="1" applyProtection="1">
      <protection locked="0"/>
    </xf>
    <xf numFmtId="0" fontId="12" fillId="16" borderId="44" xfId="8" applyFont="1" applyBorder="1" applyAlignment="1" applyProtection="1">
      <protection locked="0"/>
    </xf>
    <xf numFmtId="1" fontId="12" fillId="16" borderId="44" xfId="8" applyNumberFormat="1" applyFont="1" applyBorder="1" applyAlignment="1" applyProtection="1">
      <alignment horizontal="center"/>
      <protection locked="0"/>
    </xf>
    <xf numFmtId="195" fontId="12" fillId="7" borderId="44" xfId="0" applyNumberFormat="1" applyFont="1" applyFill="1" applyBorder="1" applyAlignment="1" applyProtection="1">
      <alignment horizontal="center"/>
      <protection locked="0"/>
    </xf>
    <xf numFmtId="195" fontId="12" fillId="0" borderId="0" xfId="0" applyNumberFormat="1" applyFont="1" applyAlignment="1" applyProtection="1">
      <alignment horizontal="center"/>
      <protection locked="0"/>
    </xf>
    <xf numFmtId="171" fontId="11" fillId="7" borderId="29" xfId="0" applyNumberFormat="1" applyFont="1" applyFill="1" applyBorder="1" applyAlignment="1" applyProtection="1">
      <alignment horizontal="center" vertical="top"/>
      <protection locked="0"/>
    </xf>
    <xf numFmtId="0" fontId="12" fillId="16" borderId="4" xfId="8" applyFont="1" applyBorder="1" applyAlignment="1" applyProtection="1">
      <protection locked="0"/>
    </xf>
    <xf numFmtId="1" fontId="12" fillId="16" borderId="4" xfId="8" applyNumberFormat="1" applyFont="1" applyBorder="1" applyAlignment="1" applyProtection="1">
      <alignment horizontal="center"/>
      <protection locked="0"/>
    </xf>
    <xf numFmtId="170" fontId="12" fillId="16" borderId="4" xfId="8" applyNumberFormat="1" applyFont="1" applyBorder="1" applyAlignment="1" applyProtection="1">
      <alignment horizontal="right"/>
      <protection locked="0"/>
    </xf>
    <xf numFmtId="170" fontId="12" fillId="0" borderId="0" xfId="8" applyNumberFormat="1" applyFont="1" applyFill="1" applyBorder="1" applyAlignment="1" applyProtection="1">
      <alignment horizontal="right"/>
      <protection locked="0"/>
    </xf>
    <xf numFmtId="171" fontId="11" fillId="7" borderId="4" xfId="0" applyNumberFormat="1" applyFont="1" applyFill="1" applyBorder="1" applyAlignment="1" applyProtection="1">
      <alignment horizontal="center" vertical="top"/>
      <protection locked="0"/>
    </xf>
    <xf numFmtId="1" fontId="11" fillId="0" borderId="0" xfId="0" applyNumberFormat="1" applyFont="1" applyAlignment="1" applyProtection="1">
      <alignment horizontal="center"/>
      <protection locked="0"/>
    </xf>
    <xf numFmtId="195" fontId="11" fillId="0" borderId="0" xfId="0" applyNumberFormat="1" applyFont="1" applyAlignment="1" applyProtection="1">
      <alignment horizontal="center"/>
      <protection locked="0"/>
    </xf>
    <xf numFmtId="170" fontId="11" fillId="0" borderId="0" xfId="0" applyNumberFormat="1" applyFont="1" applyAlignment="1" applyProtection="1">
      <alignment horizontal="center" vertical="top"/>
      <protection locked="0"/>
    </xf>
    <xf numFmtId="0" fontId="26" fillId="0" borderId="7" xfId="0" applyFont="1" applyBorder="1" applyProtection="1">
      <protection locked="0"/>
    </xf>
    <xf numFmtId="0" fontId="11" fillId="0" borderId="7" xfId="0" applyFont="1" applyBorder="1" applyProtection="1">
      <protection locked="0"/>
    </xf>
    <xf numFmtId="195" fontId="11" fillId="0" borderId="7" xfId="0" applyNumberFormat="1" applyFont="1" applyBorder="1" applyAlignment="1" applyProtection="1">
      <alignment horizontal="center"/>
      <protection locked="0"/>
    </xf>
    <xf numFmtId="171" fontId="26" fillId="0" borderId="7" xfId="0" applyNumberFormat="1" applyFont="1" applyBorder="1" applyAlignment="1" applyProtection="1">
      <alignment horizontal="center" vertical="top"/>
      <protection locked="0"/>
    </xf>
    <xf numFmtId="195" fontId="11" fillId="2" borderId="0" xfId="0" applyNumberFormat="1" applyFont="1" applyFill="1" applyAlignment="1" applyProtection="1">
      <alignment horizontal="center"/>
      <protection locked="0"/>
    </xf>
    <xf numFmtId="173" fontId="11" fillId="2" borderId="0" xfId="0" applyNumberFormat="1" applyFont="1" applyFill="1" applyAlignment="1" applyProtection="1">
      <alignment horizontal="center"/>
      <protection locked="0"/>
    </xf>
    <xf numFmtId="170" fontId="11" fillId="2" borderId="0" xfId="0" applyNumberFormat="1" applyFont="1" applyFill="1" applyAlignment="1" applyProtection="1">
      <alignment horizontal="center" vertical="top"/>
      <protection locked="0"/>
    </xf>
    <xf numFmtId="0" fontId="11" fillId="0" borderId="2" xfId="0" applyFont="1" applyBorder="1" applyProtection="1">
      <protection locked="0"/>
    </xf>
    <xf numFmtId="195" fontId="11" fillId="0" borderId="2" xfId="0" applyNumberFormat="1" applyFont="1" applyBorder="1" applyAlignment="1" applyProtection="1">
      <alignment horizontal="center"/>
      <protection locked="0"/>
    </xf>
    <xf numFmtId="173" fontId="11" fillId="0" borderId="2" xfId="0" applyNumberFormat="1" applyFont="1" applyBorder="1" applyAlignment="1" applyProtection="1">
      <alignment horizontal="center"/>
      <protection locked="0"/>
    </xf>
    <xf numFmtId="170" fontId="11" fillId="0" borderId="2" xfId="0" applyNumberFormat="1" applyFont="1" applyBorder="1" applyAlignment="1" applyProtection="1">
      <alignment horizontal="center" vertical="top"/>
      <protection locked="0"/>
    </xf>
    <xf numFmtId="195" fontId="12" fillId="16" borderId="44" xfId="8" applyNumberFormat="1" applyFont="1" applyBorder="1" applyAlignment="1" applyProtection="1">
      <alignment horizontal="center"/>
      <protection locked="0"/>
    </xf>
    <xf numFmtId="195" fontId="12" fillId="0" borderId="0" xfId="8" applyNumberFormat="1" applyFont="1" applyFill="1" applyBorder="1" applyAlignment="1" applyProtection="1">
      <alignment horizontal="center"/>
      <protection locked="0"/>
    </xf>
    <xf numFmtId="195" fontId="11" fillId="0" borderId="0" xfId="0" applyNumberFormat="1" applyFont="1" applyProtection="1">
      <protection locked="0"/>
    </xf>
    <xf numFmtId="195" fontId="11" fillId="0" borderId="7" xfId="0" applyNumberFormat="1" applyFont="1" applyBorder="1" applyProtection="1">
      <protection locked="0"/>
    </xf>
    <xf numFmtId="195" fontId="11" fillId="2" borderId="0" xfId="0" applyNumberFormat="1" applyFont="1" applyFill="1" applyProtection="1">
      <protection locked="0"/>
    </xf>
    <xf numFmtId="0" fontId="12" fillId="16" borderId="54" xfId="8" applyFont="1" applyBorder="1" applyAlignment="1" applyProtection="1">
      <protection locked="0"/>
    </xf>
    <xf numFmtId="1" fontId="12" fillId="7" borderId="54" xfId="0" applyNumberFormat="1" applyFont="1" applyFill="1" applyBorder="1" applyAlignment="1" applyProtection="1">
      <alignment horizontal="center"/>
      <protection locked="0"/>
    </xf>
    <xf numFmtId="195" fontId="12" fillId="16" borderId="54" xfId="8" applyNumberFormat="1" applyFont="1" applyBorder="1" applyAlignment="1" applyProtection="1">
      <alignment horizontal="center"/>
      <protection locked="0"/>
    </xf>
    <xf numFmtId="0" fontId="12" fillId="16" borderId="47" xfId="8" applyFont="1" applyAlignment="1" applyProtection="1">
      <protection locked="0"/>
    </xf>
    <xf numFmtId="1" fontId="12" fillId="7" borderId="47" xfId="0" applyNumberFormat="1" applyFont="1" applyFill="1" applyBorder="1" applyAlignment="1" applyProtection="1">
      <alignment horizontal="center"/>
      <protection locked="0"/>
    </xf>
    <xf numFmtId="170" fontId="12" fillId="16" borderId="47" xfId="8" applyNumberFormat="1" applyFont="1" applyAlignment="1" applyProtection="1">
      <alignment horizontal="right"/>
      <protection locked="0"/>
    </xf>
    <xf numFmtId="171" fontId="11" fillId="7" borderId="33" xfId="0" applyNumberFormat="1" applyFont="1" applyFill="1" applyBorder="1" applyAlignment="1" applyProtection="1">
      <alignment horizontal="center" vertical="top"/>
      <protection locked="0"/>
    </xf>
    <xf numFmtId="170" fontId="26" fillId="0" borderId="7" xfId="0" applyNumberFormat="1" applyFont="1" applyBorder="1" applyAlignment="1" applyProtection="1">
      <alignment horizontal="center"/>
      <protection locked="0"/>
    </xf>
    <xf numFmtId="171" fontId="26" fillId="0" borderId="7" xfId="0" applyNumberFormat="1" applyFont="1" applyBorder="1" applyAlignment="1" applyProtection="1">
      <alignment horizontal="center"/>
      <protection locked="0"/>
    </xf>
    <xf numFmtId="170" fontId="11" fillId="0" borderId="0" xfId="0" applyNumberFormat="1" applyFont="1" applyAlignment="1" applyProtection="1">
      <alignment horizontal="center"/>
      <protection locked="0"/>
    </xf>
    <xf numFmtId="0" fontId="26" fillId="2" borderId="0" xfId="0" applyFont="1" applyFill="1" applyProtection="1">
      <protection locked="0"/>
    </xf>
    <xf numFmtId="170" fontId="26" fillId="2" borderId="0" xfId="0" applyNumberFormat="1" applyFont="1" applyFill="1" applyAlignment="1" applyProtection="1">
      <alignment horizontal="center" vertical="top"/>
      <protection locked="0"/>
    </xf>
    <xf numFmtId="0" fontId="34" fillId="0" borderId="2" xfId="0" applyFont="1" applyBorder="1" applyProtection="1">
      <protection locked="0"/>
    </xf>
    <xf numFmtId="170" fontId="26" fillId="0" borderId="7" xfId="0" applyNumberFormat="1" applyFont="1" applyBorder="1" applyAlignment="1" applyProtection="1">
      <alignment horizontal="center" vertical="top"/>
      <protection locked="0"/>
    </xf>
    <xf numFmtId="170" fontId="26" fillId="0" borderId="7" xfId="0" applyNumberFormat="1" applyFont="1" applyBorder="1" applyAlignment="1">
      <alignment horizontal="center"/>
    </xf>
    <xf numFmtId="170" fontId="26" fillId="0" borderId="7" xfId="0" applyNumberFormat="1" applyFont="1" applyBorder="1" applyAlignment="1">
      <alignment horizontal="center" vertical="top"/>
    </xf>
    <xf numFmtId="0" fontId="26" fillId="2" borderId="0" xfId="0" applyFont="1" applyFill="1"/>
    <xf numFmtId="170" fontId="11" fillId="2" borderId="0" xfId="0" applyNumberFormat="1" applyFont="1" applyFill="1" applyAlignment="1">
      <alignment horizontal="center" vertical="top"/>
    </xf>
    <xf numFmtId="0" fontId="34" fillId="0" borderId="2" xfId="0" applyFont="1" applyBorder="1"/>
    <xf numFmtId="170" fontId="11" fillId="0" borderId="2" xfId="0" applyNumberFormat="1" applyFont="1" applyBorder="1" applyAlignment="1">
      <alignment horizontal="center" vertical="top"/>
    </xf>
    <xf numFmtId="1" fontId="12" fillId="16" borderId="4" xfId="8" applyNumberFormat="1" applyFont="1" applyBorder="1" applyAlignment="1" applyProtection="1">
      <alignment horizontal="left"/>
      <protection locked="0"/>
    </xf>
    <xf numFmtId="174" fontId="12" fillId="16" borderId="4" xfId="8" applyNumberFormat="1" applyFont="1" applyBorder="1" applyAlignment="1" applyProtection="1">
      <alignment horizontal="right"/>
      <protection locked="0"/>
    </xf>
    <xf numFmtId="174" fontId="12" fillId="16" borderId="4" xfId="8" applyNumberFormat="1" applyFont="1" applyBorder="1" applyAlignment="1" applyProtection="1">
      <alignment horizontal="center"/>
      <protection locked="0"/>
    </xf>
    <xf numFmtId="0" fontId="12" fillId="0" borderId="0" xfId="0" applyFont="1" applyAlignment="1" applyProtection="1">
      <alignment horizontal="left"/>
      <protection locked="0"/>
    </xf>
    <xf numFmtId="0" fontId="12" fillId="0" borderId="0" xfId="0" applyFont="1" applyAlignment="1" applyProtection="1">
      <alignment horizontal="center"/>
      <protection locked="0"/>
    </xf>
    <xf numFmtId="1" fontId="12" fillId="0" borderId="0" xfId="0" applyNumberFormat="1" applyFont="1" applyAlignment="1" applyProtection="1">
      <alignment horizontal="right"/>
      <protection locked="0"/>
    </xf>
    <xf numFmtId="1" fontId="12" fillId="0" borderId="0" xfId="0" applyNumberFormat="1" applyFont="1" applyAlignment="1" applyProtection="1">
      <alignment horizontal="center"/>
      <protection locked="0"/>
    </xf>
    <xf numFmtId="174" fontId="12" fillId="0" borderId="0" xfId="0" applyNumberFormat="1" applyFont="1" applyAlignment="1" applyProtection="1">
      <alignment horizontal="center"/>
      <protection locked="0"/>
    </xf>
    <xf numFmtId="0" fontId="12" fillId="0" borderId="0" xfId="0" applyFont="1" applyProtection="1">
      <protection locked="0"/>
    </xf>
    <xf numFmtId="1" fontId="26" fillId="14" borderId="0" xfId="8" applyNumberFormat="1" applyFont="1" applyFill="1" applyBorder="1" applyAlignment="1" applyProtection="1">
      <alignment horizontal="center"/>
      <protection locked="0"/>
    </xf>
    <xf numFmtId="173" fontId="26" fillId="14" borderId="0" xfId="8" applyNumberFormat="1" applyFont="1" applyFill="1" applyBorder="1" applyAlignment="1" applyProtection="1">
      <alignment horizontal="center"/>
      <protection locked="0"/>
    </xf>
    <xf numFmtId="174" fontId="12" fillId="0" borderId="0" xfId="0" applyNumberFormat="1" applyFont="1" applyProtection="1">
      <protection locked="0"/>
    </xf>
    <xf numFmtId="1" fontId="26" fillId="0" borderId="0" xfId="0" applyNumberFormat="1" applyFont="1" applyAlignment="1">
      <alignment horizontal="center"/>
    </xf>
    <xf numFmtId="173" fontId="26" fillId="0" borderId="0" xfId="0" applyNumberFormat="1" applyFont="1" applyAlignment="1">
      <alignment horizontal="center"/>
    </xf>
    <xf numFmtId="1" fontId="26" fillId="0" borderId="7" xfId="0" applyNumberFormat="1" applyFont="1" applyBorder="1" applyAlignment="1">
      <alignment horizontal="center"/>
    </xf>
    <xf numFmtId="0" fontId="34" fillId="2" borderId="0" xfId="0" applyFont="1" applyFill="1"/>
    <xf numFmtId="173" fontId="34" fillId="2" borderId="0" xfId="0" applyNumberFormat="1" applyFont="1" applyFill="1" applyAlignment="1">
      <alignment horizontal="center"/>
    </xf>
    <xf numFmtId="170" fontId="34" fillId="2" borderId="0" xfId="0" applyNumberFormat="1" applyFont="1" applyFill="1" applyAlignment="1">
      <alignment horizontal="center"/>
    </xf>
    <xf numFmtId="170" fontId="12" fillId="7" borderId="29" xfId="0" applyNumberFormat="1" applyFont="1" applyFill="1" applyBorder="1" applyAlignment="1" applyProtection="1">
      <alignment horizontal="right"/>
      <protection locked="0"/>
    </xf>
    <xf numFmtId="170" fontId="12" fillId="7" borderId="4" xfId="0" applyNumberFormat="1" applyFont="1" applyFill="1" applyBorder="1" applyAlignment="1" applyProtection="1">
      <alignment horizontal="right"/>
      <protection locked="0"/>
    </xf>
    <xf numFmtId="170" fontId="11" fillId="0" borderId="2" xfId="0" applyNumberFormat="1" applyFont="1" applyBorder="1" applyAlignment="1">
      <alignment horizontal="right"/>
    </xf>
    <xf numFmtId="170" fontId="11" fillId="0" borderId="2" xfId="0" applyNumberFormat="1" applyFont="1" applyBorder="1" applyAlignment="1">
      <alignment horizontal="center"/>
    </xf>
    <xf numFmtId="170" fontId="12" fillId="7" borderId="33" xfId="0" applyNumberFormat="1" applyFont="1" applyFill="1" applyBorder="1" applyAlignment="1" applyProtection="1">
      <alignment horizontal="right"/>
      <protection locked="0"/>
    </xf>
    <xf numFmtId="0" fontId="26" fillId="15" borderId="7" xfId="0" applyFont="1" applyFill="1" applyBorder="1"/>
    <xf numFmtId="170" fontId="11" fillId="15" borderId="7" xfId="0" applyNumberFormat="1" applyFont="1" applyFill="1" applyBorder="1" applyAlignment="1">
      <alignment horizontal="right"/>
    </xf>
    <xf numFmtId="170" fontId="11" fillId="15" borderId="7" xfId="0" applyNumberFormat="1" applyFont="1" applyFill="1" applyBorder="1" applyAlignment="1">
      <alignment horizontal="center"/>
    </xf>
    <xf numFmtId="170" fontId="26" fillId="15" borderId="7" xfId="0" applyNumberFormat="1" applyFont="1" applyFill="1" applyBorder="1" applyAlignment="1">
      <alignment horizontal="right"/>
    </xf>
    <xf numFmtId="170" fontId="11" fillId="0" borderId="0" xfId="0" applyNumberFormat="1" applyFont="1" applyAlignment="1">
      <alignment horizontal="left"/>
    </xf>
    <xf numFmtId="174" fontId="26" fillId="15" borderId="7" xfId="0" applyNumberFormat="1" applyFont="1" applyFill="1" applyBorder="1" applyAlignment="1">
      <alignment horizontal="right"/>
    </xf>
    <xf numFmtId="170" fontId="26" fillId="15" borderId="7" xfId="0" applyNumberFormat="1" applyFont="1" applyFill="1" applyBorder="1" applyAlignment="1">
      <alignment horizontal="center"/>
    </xf>
    <xf numFmtId="170" fontId="26" fillId="15" borderId="7" xfId="0" applyNumberFormat="1" applyFont="1" applyFill="1" applyBorder="1" applyAlignment="1">
      <alignment horizontal="left"/>
    </xf>
    <xf numFmtId="170" fontId="11" fillId="0" borderId="0" xfId="0" applyNumberFormat="1" applyFont="1" applyAlignment="1" applyProtection="1">
      <alignment horizontal="left"/>
      <protection hidden="1"/>
    </xf>
    <xf numFmtId="170" fontId="11" fillId="0" borderId="0" xfId="0" applyNumberFormat="1" applyFont="1" applyAlignment="1" applyProtection="1">
      <alignment horizontal="center"/>
      <protection hidden="1"/>
    </xf>
    <xf numFmtId="0" fontId="11" fillId="0" borderId="0" xfId="0" applyFont="1" applyProtection="1">
      <protection hidden="1"/>
    </xf>
    <xf numFmtId="170" fontId="12" fillId="7" borderId="45" xfId="0" applyNumberFormat="1" applyFont="1" applyFill="1" applyBorder="1" applyAlignment="1" applyProtection="1">
      <alignment horizontal="right"/>
      <protection locked="0"/>
    </xf>
    <xf numFmtId="0" fontId="34" fillId="15" borderId="7" xfId="0" applyFont="1" applyFill="1" applyBorder="1"/>
    <xf numFmtId="174" fontId="34" fillId="15" borderId="7" xfId="0" applyNumberFormat="1" applyFont="1" applyFill="1" applyBorder="1" applyAlignment="1">
      <alignment horizontal="right"/>
    </xf>
    <xf numFmtId="0" fontId="26" fillId="15" borderId="0" xfId="0" applyFont="1" applyFill="1"/>
    <xf numFmtId="170" fontId="11" fillId="15" borderId="0" xfId="0" applyNumberFormat="1" applyFont="1" applyFill="1" applyAlignment="1">
      <alignment horizontal="right"/>
    </xf>
    <xf numFmtId="170" fontId="11" fillId="15" borderId="0" xfId="0" applyNumberFormat="1" applyFont="1" applyFill="1" applyAlignment="1">
      <alignment horizontal="center"/>
    </xf>
    <xf numFmtId="174" fontId="11" fillId="0" borderId="0" xfId="0" quotePrefix="1" applyNumberFormat="1" applyFont="1" applyAlignment="1">
      <alignment horizontal="right"/>
    </xf>
    <xf numFmtId="0" fontId="34" fillId="15" borderId="0" xfId="0" applyFont="1" applyFill="1"/>
    <xf numFmtId="174" fontId="34" fillId="15" borderId="0" xfId="0" applyNumberFormat="1" applyFont="1" applyFill="1" applyAlignment="1">
      <alignment horizontal="right"/>
    </xf>
    <xf numFmtId="174" fontId="34" fillId="15" borderId="0" xfId="0" quotePrefix="1" applyNumberFormat="1" applyFont="1" applyFill="1" applyAlignment="1">
      <alignment horizontal="right"/>
    </xf>
    <xf numFmtId="0" fontId="26" fillId="15" borderId="14" xfId="0" applyFont="1" applyFill="1" applyBorder="1"/>
    <xf numFmtId="174" fontId="26" fillId="15" borderId="15" xfId="0" applyNumberFormat="1" applyFont="1" applyFill="1" applyBorder="1" applyAlignment="1">
      <alignment horizontal="right"/>
    </xf>
    <xf numFmtId="170" fontId="26" fillId="15" borderId="15" xfId="0" applyNumberFormat="1" applyFont="1" applyFill="1" applyBorder="1" applyAlignment="1">
      <alignment horizontal="center"/>
    </xf>
    <xf numFmtId="173" fontId="11" fillId="0" borderId="0" xfId="0" applyNumberFormat="1" applyFont="1" applyAlignment="1">
      <alignment horizontal="right"/>
    </xf>
    <xf numFmtId="0" fontId="34" fillId="17" borderId="0" xfId="0" applyFont="1" applyFill="1"/>
    <xf numFmtId="174" fontId="34" fillId="17" borderId="0" xfId="0" applyNumberFormat="1" applyFont="1" applyFill="1" applyAlignment="1">
      <alignment horizontal="right"/>
    </xf>
    <xf numFmtId="0" fontId="34" fillId="17" borderId="0" xfId="0" applyFont="1" applyFill="1" applyAlignment="1">
      <alignment horizontal="right"/>
    </xf>
    <xf numFmtId="173" fontId="34" fillId="17" borderId="0" xfId="0" applyNumberFormat="1" applyFont="1" applyFill="1" applyAlignment="1">
      <alignment horizontal="right"/>
    </xf>
    <xf numFmtId="170" fontId="34" fillId="0" borderId="0" xfId="0" applyNumberFormat="1" applyFont="1" applyAlignment="1">
      <alignment horizontal="center"/>
    </xf>
    <xf numFmtId="174" fontId="11" fillId="0" borderId="0" xfId="0" applyNumberFormat="1" applyFont="1" applyAlignment="1" applyProtection="1">
      <alignment horizontal="right"/>
      <protection hidden="1"/>
    </xf>
    <xf numFmtId="0" fontId="34" fillId="15" borderId="0" xfId="0" applyFont="1" applyFill="1" applyAlignment="1">
      <alignment horizontal="right"/>
    </xf>
    <xf numFmtId="173" fontId="34" fillId="15" borderId="0" xfId="0" applyNumberFormat="1" applyFont="1" applyFill="1" applyAlignment="1">
      <alignment horizontal="right"/>
    </xf>
    <xf numFmtId="174" fontId="26" fillId="0" borderId="7" xfId="0" applyNumberFormat="1" applyFont="1" applyBorder="1" applyAlignment="1">
      <alignment horizontal="right"/>
    </xf>
    <xf numFmtId="170" fontId="26" fillId="0" borderId="7" xfId="0" quotePrefix="1" applyNumberFormat="1" applyFont="1" applyBorder="1" applyAlignment="1">
      <alignment horizontal="right"/>
    </xf>
    <xf numFmtId="174" fontId="26" fillId="0" borderId="0" xfId="0" applyNumberFormat="1" applyFont="1" applyAlignment="1" applyProtection="1">
      <alignment horizontal="right"/>
      <protection hidden="1"/>
    </xf>
    <xf numFmtId="1" fontId="26" fillId="0" borderId="0" xfId="0" applyNumberFormat="1" applyFont="1" applyAlignment="1" applyProtection="1">
      <alignment horizontal="center"/>
      <protection hidden="1"/>
    </xf>
    <xf numFmtId="0" fontId="26" fillId="0" borderId="7" xfId="0" applyFont="1" applyBorder="1" applyProtection="1">
      <protection hidden="1"/>
    </xf>
    <xf numFmtId="174" fontId="26" fillId="0" borderId="7" xfId="0" applyNumberFormat="1" applyFont="1" applyBorder="1" applyAlignment="1" applyProtection="1">
      <alignment horizontal="right"/>
      <protection hidden="1"/>
    </xf>
    <xf numFmtId="0" fontId="11" fillId="0" borderId="7" xfId="0" applyFont="1" applyBorder="1" applyProtection="1">
      <protection hidden="1"/>
    </xf>
    <xf numFmtId="43" fontId="11" fillId="0" borderId="0" xfId="0" applyNumberFormat="1" applyFont="1" applyAlignment="1">
      <alignment horizontal="right"/>
    </xf>
    <xf numFmtId="175" fontId="49" fillId="0" borderId="0" xfId="4" applyNumberFormat="1" applyFont="1" applyAlignment="1" applyProtection="1">
      <alignment horizontal="right"/>
    </xf>
    <xf numFmtId="0" fontId="26" fillId="15" borderId="2" xfId="0" applyFont="1" applyFill="1" applyBorder="1"/>
    <xf numFmtId="174" fontId="11" fillId="15" borderId="2" xfId="0" applyNumberFormat="1" applyFont="1" applyFill="1" applyBorder="1" applyAlignment="1">
      <alignment horizontal="right"/>
    </xf>
    <xf numFmtId="0" fontId="11" fillId="15" borderId="2" xfId="0" applyFont="1" applyFill="1" applyBorder="1"/>
    <xf numFmtId="170" fontId="11" fillId="15" borderId="2" xfId="0" applyNumberFormat="1" applyFont="1" applyFill="1" applyBorder="1"/>
    <xf numFmtId="43" fontId="30" fillId="16" borderId="47" xfId="2" applyFont="1" applyFill="1" applyBorder="1" applyAlignment="1" applyProtection="1">
      <alignment horizontal="center"/>
      <protection locked="0"/>
    </xf>
    <xf numFmtId="174" fontId="30" fillId="16" borderId="47" xfId="8" applyNumberFormat="1" applyFont="1" applyAlignment="1" applyProtection="1">
      <alignment horizontal="right"/>
      <protection locked="0"/>
    </xf>
    <xf numFmtId="3" fontId="26" fillId="0" borderId="0" xfId="0" applyNumberFormat="1" applyFont="1" applyAlignment="1">
      <alignment horizontal="center"/>
    </xf>
    <xf numFmtId="43" fontId="30" fillId="16" borderId="47" xfId="2" applyFont="1" applyFill="1" applyBorder="1" applyAlignment="1" applyProtection="1">
      <alignment horizontal="right"/>
      <protection locked="0"/>
    </xf>
    <xf numFmtId="194" fontId="11" fillId="0" borderId="0" xfId="0" applyNumberFormat="1" applyFont="1" applyAlignment="1">
      <alignment horizontal="right"/>
    </xf>
    <xf numFmtId="0" fontId="26" fillId="15" borderId="15" xfId="0" applyFont="1" applyFill="1" applyBorder="1"/>
    <xf numFmtId="0" fontId="49" fillId="0" borderId="7" xfId="0" applyFont="1" applyBorder="1"/>
    <xf numFmtId="179" fontId="26" fillId="0" borderId="7" xfId="0" applyNumberFormat="1" applyFont="1" applyBorder="1" applyAlignment="1">
      <alignment horizontal="right"/>
    </xf>
    <xf numFmtId="0" fontId="11" fillId="15" borderId="15" xfId="0" applyFont="1" applyFill="1" applyBorder="1"/>
    <xf numFmtId="0" fontId="26" fillId="10" borderId="14" xfId="0" applyFont="1" applyFill="1" applyBorder="1"/>
    <xf numFmtId="174" fontId="26" fillId="10" borderId="15" xfId="0" applyNumberFormat="1" applyFont="1" applyFill="1" applyBorder="1" applyAlignment="1">
      <alignment horizontal="right"/>
    </xf>
    <xf numFmtId="0" fontId="26" fillId="10" borderId="15" xfId="0" applyFont="1" applyFill="1" applyBorder="1"/>
    <xf numFmtId="170" fontId="11" fillId="0" borderId="7" xfId="0" applyNumberFormat="1" applyFont="1" applyBorder="1" applyProtection="1">
      <protection locked="0"/>
    </xf>
    <xf numFmtId="171" fontId="26" fillId="0" borderId="7" xfId="0" applyNumberFormat="1" applyFont="1" applyBorder="1" applyProtection="1">
      <protection locked="0"/>
    </xf>
    <xf numFmtId="170" fontId="26" fillId="0" borderId="7" xfId="0" applyNumberFormat="1" applyFont="1" applyBorder="1" applyProtection="1">
      <protection locked="0"/>
    </xf>
    <xf numFmtId="170" fontId="11" fillId="0" borderId="8" xfId="0" applyNumberFormat="1" applyFont="1" applyBorder="1"/>
    <xf numFmtId="170" fontId="26" fillId="0" borderId="7" xfId="0" applyNumberFormat="1" applyFont="1" applyBorder="1"/>
    <xf numFmtId="0" fontId="45" fillId="3" borderId="0" xfId="0" applyFont="1" applyFill="1" applyProtection="1">
      <protection locked="0"/>
    </xf>
    <xf numFmtId="0" fontId="26" fillId="6" borderId="55" xfId="0" applyFont="1" applyFill="1" applyBorder="1"/>
    <xf numFmtId="0" fontId="26" fillId="6" borderId="56" xfId="0" applyFont="1" applyFill="1" applyBorder="1"/>
    <xf numFmtId="0" fontId="26" fillId="6" borderId="57" xfId="0" applyFont="1" applyFill="1" applyBorder="1"/>
    <xf numFmtId="0" fontId="26" fillId="6" borderId="58" xfId="0" applyFont="1" applyFill="1" applyBorder="1"/>
    <xf numFmtId="3" fontId="12" fillId="7" borderId="59" xfId="8" applyNumberFormat="1" applyFont="1" applyFill="1" applyBorder="1" applyAlignment="1" applyProtection="1">
      <alignment horizontal="center"/>
      <protection locked="0"/>
    </xf>
    <xf numFmtId="0" fontId="26" fillId="6" borderId="60" xfId="0" applyFont="1" applyFill="1" applyBorder="1"/>
    <xf numFmtId="0" fontId="26" fillId="2" borderId="2" xfId="0" applyFont="1" applyFill="1" applyBorder="1"/>
    <xf numFmtId="0" fontId="11" fillId="2" borderId="2" xfId="0" applyFont="1" applyFill="1" applyBorder="1"/>
    <xf numFmtId="0" fontId="26" fillId="0" borderId="16" xfId="0" applyFont="1" applyBorder="1" applyAlignment="1">
      <alignment horizontal="center"/>
    </xf>
    <xf numFmtId="198" fontId="11" fillId="0" borderId="8" xfId="0" applyNumberFormat="1" applyFont="1" applyBorder="1" applyAlignment="1">
      <alignment horizontal="right"/>
    </xf>
    <xf numFmtId="198" fontId="11" fillId="0" borderId="9" xfId="0" applyNumberFormat="1" applyFont="1" applyBorder="1" applyAlignment="1">
      <alignment horizontal="right"/>
    </xf>
    <xf numFmtId="181" fontId="26" fillId="0" borderId="0" xfId="0" applyNumberFormat="1" applyFont="1" applyAlignment="1">
      <alignment horizontal="right"/>
    </xf>
    <xf numFmtId="199" fontId="30" fillId="16" borderId="4" xfId="8" applyNumberFormat="1" applyFont="1" applyBorder="1" applyAlignment="1" applyProtection="1">
      <alignment horizontal="right"/>
      <protection locked="0"/>
    </xf>
    <xf numFmtId="200" fontId="30" fillId="16" borderId="4" xfId="8" applyNumberFormat="1" applyFont="1" applyBorder="1" applyAlignment="1" applyProtection="1">
      <alignment horizontal="right"/>
      <protection locked="0"/>
    </xf>
    <xf numFmtId="201" fontId="50" fillId="0" borderId="4" xfId="8" applyNumberFormat="1" applyFont="1" applyFill="1" applyBorder="1" applyAlignment="1" applyProtection="1">
      <alignment horizontal="right"/>
    </xf>
    <xf numFmtId="202" fontId="50" fillId="0" borderId="4" xfId="8" applyNumberFormat="1" applyFont="1" applyFill="1" applyBorder="1" applyAlignment="1" applyProtection="1">
      <alignment horizontal="right"/>
    </xf>
    <xf numFmtId="175" fontId="12" fillId="12" borderId="4" xfId="8" applyNumberFormat="1" applyFont="1" applyFill="1" applyBorder="1" applyAlignment="1" applyProtection="1">
      <alignment horizontal="right"/>
      <protection locked="0"/>
    </xf>
    <xf numFmtId="175" fontId="12" fillId="16" borderId="4" xfId="8" applyNumberFormat="1" applyFont="1" applyBorder="1" applyAlignment="1" applyProtection="1">
      <alignment horizontal="right"/>
      <protection locked="0"/>
    </xf>
    <xf numFmtId="203" fontId="50" fillId="0" borderId="4" xfId="0" applyNumberFormat="1" applyFont="1" applyBorder="1" applyAlignment="1">
      <alignment horizontal="right"/>
    </xf>
    <xf numFmtId="0" fontId="26" fillId="0" borderId="7" xfId="0" applyFont="1" applyBorder="1" applyAlignment="1">
      <alignment horizontal="left" wrapText="1"/>
    </xf>
    <xf numFmtId="0" fontId="26" fillId="0" borderId="7" xfId="0" applyFont="1" applyBorder="1" applyAlignment="1">
      <alignment horizontal="center"/>
    </xf>
    <xf numFmtId="174" fontId="11" fillId="0" borderId="7" xfId="0" applyNumberFormat="1" applyFont="1" applyBorder="1" applyAlignment="1">
      <alignment horizontal="right" wrapText="1"/>
    </xf>
    <xf numFmtId="0" fontId="11" fillId="0" borderId="0" xfId="0" applyFont="1" applyAlignment="1">
      <alignment horizontal="left" wrapText="1"/>
    </xf>
    <xf numFmtId="174" fontId="11" fillId="0" borderId="0" xfId="0" applyNumberFormat="1" applyFont="1" applyAlignment="1">
      <alignment horizontal="right" wrapText="1"/>
    </xf>
    <xf numFmtId="204" fontId="12" fillId="16" borderId="4" xfId="8" applyNumberFormat="1" applyFont="1" applyBorder="1" applyAlignment="1" applyProtection="1">
      <alignment horizontal="center"/>
      <protection locked="0"/>
    </xf>
    <xf numFmtId="0" fontId="11" fillId="0" borderId="0" xfId="0" quotePrefix="1" applyFont="1" applyProtection="1">
      <protection locked="0"/>
    </xf>
    <xf numFmtId="170" fontId="11" fillId="0" borderId="0" xfId="0" applyNumberFormat="1" applyFont="1" applyAlignment="1" applyProtection="1">
      <alignment horizontal="right" wrapText="1"/>
      <protection locked="0"/>
    </xf>
    <xf numFmtId="170" fontId="12" fillId="7" borderId="4" xfId="0" applyNumberFormat="1" applyFont="1" applyFill="1" applyBorder="1" applyAlignment="1" applyProtection="1">
      <alignment horizontal="right" wrapText="1"/>
      <protection locked="0"/>
    </xf>
    <xf numFmtId="204" fontId="12" fillId="16" borderId="44" xfId="8" applyNumberFormat="1" applyFont="1" applyBorder="1" applyAlignment="1" applyProtection="1">
      <alignment horizontal="center"/>
      <protection locked="0"/>
    </xf>
    <xf numFmtId="8" fontId="11" fillId="14" borderId="0" xfId="0" applyNumberFormat="1" applyFont="1" applyFill="1"/>
    <xf numFmtId="170" fontId="12" fillId="7" borderId="45" xfId="0" applyNumberFormat="1" applyFont="1" applyFill="1" applyBorder="1" applyAlignment="1" applyProtection="1">
      <alignment horizontal="right" wrapText="1"/>
      <protection locked="0"/>
    </xf>
    <xf numFmtId="176" fontId="12" fillId="16" borderId="50" xfId="8" applyNumberFormat="1" applyFont="1" applyBorder="1" applyAlignment="1" applyProtection="1">
      <alignment horizontal="center"/>
      <protection locked="0"/>
    </xf>
    <xf numFmtId="0" fontId="11" fillId="0" borderId="7" xfId="0" quotePrefix="1" applyFont="1" applyBorder="1" applyProtection="1">
      <protection locked="0"/>
    </xf>
    <xf numFmtId="170" fontId="11" fillId="0" borderId="7" xfId="0" applyNumberFormat="1" applyFont="1" applyBorder="1" applyAlignment="1" applyProtection="1">
      <alignment horizontal="right" wrapText="1"/>
      <protection locked="0"/>
    </xf>
    <xf numFmtId="170" fontId="12" fillId="7" borderId="29" xfId="0" applyNumberFormat="1" applyFont="1" applyFill="1" applyBorder="1" applyAlignment="1" applyProtection="1">
      <alignment horizontal="right" wrapText="1"/>
      <protection locked="0"/>
    </xf>
    <xf numFmtId="170" fontId="11" fillId="7" borderId="61" xfId="0" applyNumberFormat="1" applyFont="1" applyFill="1" applyBorder="1" applyAlignment="1" applyProtection="1">
      <alignment horizontal="right"/>
      <protection locked="0"/>
    </xf>
    <xf numFmtId="170" fontId="11" fillId="7" borderId="29" xfId="0" applyNumberFormat="1" applyFont="1" applyFill="1" applyBorder="1" applyAlignment="1" applyProtection="1">
      <alignment horizontal="right"/>
      <protection locked="0"/>
    </xf>
    <xf numFmtId="0" fontId="79" fillId="0" borderId="0" xfId="0" applyFont="1" applyAlignment="1">
      <alignment horizontal="left"/>
    </xf>
    <xf numFmtId="170" fontId="12" fillId="0" borderId="0" xfId="8" applyNumberFormat="1" applyFont="1" applyFill="1" applyBorder="1" applyAlignment="1" applyProtection="1">
      <alignment horizontal="center"/>
      <protection locked="0"/>
    </xf>
    <xf numFmtId="170" fontId="12" fillId="11" borderId="4" xfId="0" applyNumberFormat="1" applyFont="1" applyFill="1" applyBorder="1" applyAlignment="1" applyProtection="1">
      <alignment horizontal="right" wrapText="1"/>
      <protection locked="0"/>
    </xf>
    <xf numFmtId="170" fontId="12" fillId="11" borderId="4" xfId="0" applyNumberFormat="1" applyFont="1" applyFill="1" applyBorder="1" applyAlignment="1" applyProtection="1">
      <alignment horizontal="right"/>
      <protection locked="0"/>
    </xf>
    <xf numFmtId="170" fontId="12" fillId="7" borderId="0" xfId="0" applyNumberFormat="1" applyFont="1" applyFill="1" applyAlignment="1" applyProtection="1">
      <alignment horizontal="right" wrapText="1"/>
      <protection locked="0"/>
    </xf>
    <xf numFmtId="174" fontId="26" fillId="0" borderId="8" xfId="0" applyNumberFormat="1" applyFont="1" applyBorder="1" applyAlignment="1">
      <alignment horizontal="right" wrapText="1"/>
    </xf>
    <xf numFmtId="174" fontId="26" fillId="0" borderId="0" xfId="0" applyNumberFormat="1" applyFont="1" applyAlignment="1">
      <alignment horizontal="right" wrapText="1"/>
    </xf>
    <xf numFmtId="0" fontId="26" fillId="0" borderId="0" xfId="0" applyFont="1" applyAlignment="1">
      <alignment horizontal="left" wrapText="1"/>
    </xf>
    <xf numFmtId="6" fontId="26" fillId="0" borderId="0" xfId="0" applyNumberFormat="1" applyFont="1" applyAlignment="1">
      <alignment horizontal="center" wrapText="1"/>
    </xf>
    <xf numFmtId="3" fontId="26" fillId="2" borderId="2" xfId="8" applyNumberFormat="1" applyFont="1" applyFill="1" applyBorder="1" applyAlignment="1" applyProtection="1">
      <alignment horizontal="center"/>
    </xf>
    <xf numFmtId="205" fontId="12" fillId="16" borderId="47" xfId="8" applyNumberFormat="1" applyFont="1" applyAlignment="1" applyProtection="1">
      <alignment horizontal="center"/>
      <protection locked="0"/>
    </xf>
    <xf numFmtId="176" fontId="12" fillId="16" borderId="47" xfId="8" applyNumberFormat="1" applyFont="1" applyAlignment="1" applyProtection="1">
      <alignment horizontal="center"/>
      <protection locked="0"/>
    </xf>
    <xf numFmtId="174" fontId="26" fillId="0" borderId="0" xfId="0" applyNumberFormat="1" applyFont="1" applyAlignment="1" applyProtection="1">
      <alignment horizontal="center"/>
      <protection locked="0"/>
    </xf>
    <xf numFmtId="8" fontId="11" fillId="0" borderId="0" xfId="0" applyNumberFormat="1" applyFont="1"/>
    <xf numFmtId="6" fontId="11" fillId="0" borderId="0" xfId="0" applyNumberFormat="1" applyFont="1" applyAlignment="1" applyProtection="1">
      <alignment horizontal="center"/>
      <protection locked="0"/>
    </xf>
    <xf numFmtId="206" fontId="12" fillId="16" borderId="47" xfId="8" applyNumberFormat="1" applyFont="1" applyAlignment="1" applyProtection="1">
      <alignment horizontal="center"/>
      <protection locked="0"/>
    </xf>
    <xf numFmtId="174" fontId="11" fillId="0" borderId="0" xfId="0" applyNumberFormat="1" applyFont="1" applyAlignment="1" applyProtection="1">
      <alignment horizontal="center"/>
      <protection locked="0"/>
    </xf>
    <xf numFmtId="207" fontId="12" fillId="16" borderId="47" xfId="8" applyNumberFormat="1" applyFont="1" applyAlignment="1" applyProtection="1">
      <alignment horizontal="center"/>
      <protection locked="0"/>
    </xf>
    <xf numFmtId="174" fontId="50" fillId="0" borderId="0" xfId="0" applyNumberFormat="1" applyFont="1" applyAlignment="1" applyProtection="1">
      <alignment horizontal="center"/>
      <protection locked="0"/>
    </xf>
    <xf numFmtId="8" fontId="26" fillId="0" borderId="0" xfId="0" applyNumberFormat="1" applyFont="1" applyProtection="1">
      <protection locked="0"/>
    </xf>
    <xf numFmtId="170" fontId="12" fillId="0" borderId="0" xfId="0" applyNumberFormat="1" applyFont="1" applyAlignment="1" applyProtection="1">
      <alignment horizontal="right"/>
      <protection locked="0"/>
    </xf>
    <xf numFmtId="170" fontId="12" fillId="0" borderId="0" xfId="0" applyNumberFormat="1" applyFont="1" applyAlignment="1">
      <alignment horizontal="right"/>
    </xf>
    <xf numFmtId="170" fontId="50" fillId="0" borderId="0" xfId="0" applyNumberFormat="1" applyFont="1" applyProtection="1">
      <protection locked="0"/>
    </xf>
    <xf numFmtId="170" fontId="12" fillId="0" borderId="0" xfId="0" applyNumberFormat="1" applyFont="1"/>
    <xf numFmtId="170" fontId="11" fillId="0" borderId="0" xfId="0" applyNumberFormat="1" applyFont="1" applyAlignment="1" applyProtection="1">
      <alignment horizontal="right"/>
      <protection locked="0"/>
    </xf>
    <xf numFmtId="170" fontId="26" fillId="4" borderId="7" xfId="0" applyNumberFormat="1" applyFont="1" applyFill="1" applyBorder="1" applyAlignment="1">
      <alignment horizontal="center"/>
    </xf>
    <xf numFmtId="170" fontId="26" fillId="4" borderId="0" xfId="0" applyNumberFormat="1" applyFont="1" applyFill="1" applyAlignment="1">
      <alignment horizontal="center"/>
    </xf>
    <xf numFmtId="0" fontId="26" fillId="0" borderId="3" xfId="0" applyFont="1" applyBorder="1"/>
    <xf numFmtId="174" fontId="11" fillId="0" borderId="3" xfId="0" applyNumberFormat="1" applyFont="1" applyBorder="1" applyAlignment="1">
      <alignment horizontal="right"/>
    </xf>
    <xf numFmtId="186" fontId="26" fillId="0" borderId="3" xfId="0" applyNumberFormat="1" applyFont="1" applyBorder="1" applyAlignment="1">
      <alignment horizontal="right"/>
    </xf>
    <xf numFmtId="0" fontId="26" fillId="0" borderId="39" xfId="0" applyFont="1" applyBorder="1"/>
    <xf numFmtId="174" fontId="11" fillId="0" borderId="39" xfId="0" applyNumberFormat="1" applyFont="1" applyBorder="1" applyAlignment="1">
      <alignment horizontal="right"/>
    </xf>
    <xf numFmtId="186" fontId="26" fillId="0" borderId="39" xfId="0" quotePrefix="1" applyNumberFormat="1" applyFont="1" applyBorder="1" applyAlignment="1">
      <alignment horizontal="right"/>
    </xf>
    <xf numFmtId="186" fontId="26" fillId="0" borderId="39" xfId="0" applyNumberFormat="1" applyFont="1" applyBorder="1" applyAlignment="1">
      <alignment horizontal="right"/>
    </xf>
    <xf numFmtId="174" fontId="26" fillId="0" borderId="3" xfId="0" applyNumberFormat="1" applyFont="1" applyBorder="1" applyAlignment="1">
      <alignment horizontal="right"/>
    </xf>
    <xf numFmtId="186" fontId="11" fillId="0" borderId="0" xfId="0" applyNumberFormat="1" applyFont="1" applyAlignment="1">
      <alignment horizontal="right"/>
    </xf>
    <xf numFmtId="186" fontId="11" fillId="0" borderId="0" xfId="0" applyNumberFormat="1" applyFont="1" applyAlignment="1">
      <alignment horizontal="center"/>
    </xf>
    <xf numFmtId="167" fontId="26" fillId="0" borderId="2" xfId="0" applyNumberFormat="1" applyFont="1" applyBorder="1" applyAlignment="1">
      <alignment horizontal="right"/>
    </xf>
    <xf numFmtId="0" fontId="29" fillId="6" borderId="62" xfId="0" applyFont="1" applyFill="1" applyBorder="1" applyAlignment="1">
      <alignment horizontal="right" vertical="top"/>
    </xf>
    <xf numFmtId="0" fontId="29" fillId="6" borderId="22" xfId="0" applyFont="1" applyFill="1" applyBorder="1" applyAlignment="1">
      <alignment horizontal="right" vertical="top"/>
    </xf>
    <xf numFmtId="0" fontId="29" fillId="6" borderId="23" xfId="0" applyFont="1" applyFill="1" applyBorder="1" applyAlignment="1">
      <alignment horizontal="right" vertical="top"/>
    </xf>
    <xf numFmtId="0" fontId="29" fillId="6" borderId="24" xfId="0" applyFont="1" applyFill="1" applyBorder="1" applyAlignment="1">
      <alignment horizontal="right" vertical="top"/>
    </xf>
    <xf numFmtId="0" fontId="34" fillId="0" borderId="63" xfId="0" applyFont="1" applyBorder="1" applyAlignment="1">
      <alignment horizontal="right" vertical="top"/>
    </xf>
    <xf numFmtId="0" fontId="34" fillId="6" borderId="63" xfId="0" applyFont="1" applyFill="1" applyBorder="1" applyAlignment="1">
      <alignment horizontal="right" vertical="top"/>
    </xf>
    <xf numFmtId="0" fontId="34" fillId="6" borderId="25" xfId="0" applyFont="1" applyFill="1" applyBorder="1" applyAlignment="1">
      <alignment horizontal="right" vertical="top"/>
    </xf>
    <xf numFmtId="0" fontId="34" fillId="6" borderId="26" xfId="0" applyFont="1" applyFill="1" applyBorder="1" applyAlignment="1">
      <alignment horizontal="right" vertical="top"/>
    </xf>
    <xf numFmtId="0" fontId="34" fillId="6" borderId="27" xfId="0" applyFont="1" applyFill="1" applyBorder="1" applyAlignment="1">
      <alignment horizontal="right" vertical="top"/>
    </xf>
    <xf numFmtId="0" fontId="34" fillId="0" borderId="0" xfId="0" applyFont="1" applyAlignment="1">
      <alignment horizontal="left" vertical="top"/>
    </xf>
    <xf numFmtId="208" fontId="34" fillId="0" borderId="0" xfId="3" applyNumberFormat="1" applyFont="1" applyAlignment="1">
      <alignment horizontal="right" vertical="top"/>
    </xf>
    <xf numFmtId="208" fontId="34" fillId="0" borderId="0" xfId="3" applyNumberFormat="1" applyFont="1" applyAlignment="1">
      <alignment horizontal="center" vertical="top"/>
    </xf>
    <xf numFmtId="0" fontId="29" fillId="0" borderId="0" xfId="0" applyFont="1" applyAlignment="1">
      <alignment horizontal="left" vertical="top"/>
    </xf>
    <xf numFmtId="170" fontId="29" fillId="0" borderId="0" xfId="3" applyNumberFormat="1" applyFont="1" applyAlignment="1">
      <alignment horizontal="right" vertical="top"/>
    </xf>
    <xf numFmtId="170" fontId="11" fillId="0" borderId="0" xfId="3" applyNumberFormat="1" applyFont="1" applyAlignment="1">
      <alignment horizontal="right"/>
    </xf>
    <xf numFmtId="0" fontId="11" fillId="0" borderId="2" xfId="0" applyFont="1" applyBorder="1" applyAlignment="1">
      <alignment horizontal="right"/>
    </xf>
    <xf numFmtId="0" fontId="59" fillId="0" borderId="0" xfId="1" applyFont="1" applyBorder="1" applyAlignment="1" applyProtection="1">
      <alignment horizontal="right" wrapText="1" indent="1"/>
    </xf>
    <xf numFmtId="0" fontId="34" fillId="0" borderId="16" xfId="0" applyFont="1" applyBorder="1" applyAlignment="1">
      <alignment horizontal="center" vertical="top"/>
    </xf>
    <xf numFmtId="0" fontId="29" fillId="0" borderId="7" xfId="0" applyFont="1" applyBorder="1" applyAlignment="1">
      <alignment horizontal="right" vertical="top"/>
    </xf>
    <xf numFmtId="0" fontId="34" fillId="0" borderId="7" xfId="0" applyFont="1" applyBorder="1" applyAlignment="1">
      <alignment horizontal="right" vertical="top"/>
    </xf>
    <xf numFmtId="0" fontId="29" fillId="9" borderId="2" xfId="0" applyFont="1" applyFill="1" applyBorder="1" applyAlignment="1">
      <alignment horizontal="right" vertical="top"/>
    </xf>
    <xf numFmtId="0" fontId="34" fillId="9" borderId="2" xfId="0" applyFont="1" applyFill="1" applyBorder="1" applyAlignment="1">
      <alignment horizontal="right" vertical="top"/>
    </xf>
    <xf numFmtId="0" fontId="29" fillId="0" borderId="0" xfId="0" applyFont="1" applyAlignment="1">
      <alignment horizontal="right" vertical="top"/>
    </xf>
    <xf numFmtId="0" fontId="34" fillId="0" borderId="0" xfId="0" applyFont="1" applyAlignment="1">
      <alignment horizontal="right" vertical="top"/>
    </xf>
    <xf numFmtId="170" fontId="50" fillId="0" borderId="3" xfId="0" applyNumberFormat="1" applyFont="1" applyBorder="1" applyAlignment="1">
      <alignment horizontal="right" vertical="top"/>
    </xf>
    <xf numFmtId="170" fontId="53" fillId="0" borderId="3" xfId="0" applyNumberFormat="1" applyFont="1" applyBorder="1" applyAlignment="1">
      <alignment horizontal="right" vertical="top"/>
    </xf>
    <xf numFmtId="170" fontId="12" fillId="0" borderId="31" xfId="0" applyNumberFormat="1" applyFont="1" applyBorder="1" applyAlignment="1">
      <alignment horizontal="right" vertical="top"/>
    </xf>
    <xf numFmtId="170" fontId="50" fillId="0" borderId="31" xfId="0" applyNumberFormat="1" applyFont="1" applyBorder="1" applyAlignment="1">
      <alignment horizontal="right" vertical="top"/>
    </xf>
    <xf numFmtId="0" fontId="11" fillId="14" borderId="8" xfId="0" applyFont="1" applyFill="1" applyBorder="1"/>
    <xf numFmtId="170" fontId="11" fillId="0" borderId="2" xfId="0" applyNumberFormat="1" applyFont="1" applyBorder="1" applyAlignment="1">
      <alignment horizontal="right" vertical="top"/>
    </xf>
    <xf numFmtId="0" fontId="11" fillId="12" borderId="7" xfId="0" applyFont="1" applyFill="1" applyBorder="1"/>
    <xf numFmtId="0" fontId="11" fillId="12" borderId="0" xfId="0" applyFont="1" applyFill="1"/>
    <xf numFmtId="170" fontId="12" fillId="12" borderId="64" xfId="0" applyNumberFormat="1" applyFont="1" applyFill="1" applyBorder="1" applyAlignment="1" applyProtection="1">
      <alignment horizontal="right" vertical="top"/>
      <protection locked="0"/>
    </xf>
    <xf numFmtId="0" fontId="11" fillId="12" borderId="5" xfId="0" applyFont="1" applyFill="1" applyBorder="1"/>
    <xf numFmtId="170" fontId="12" fillId="12" borderId="65" xfId="0" applyNumberFormat="1" applyFont="1" applyFill="1" applyBorder="1" applyAlignment="1" applyProtection="1">
      <alignment horizontal="right" vertical="top"/>
      <protection locked="0"/>
    </xf>
    <xf numFmtId="170" fontId="12" fillId="12" borderId="66" xfId="0" applyNumberFormat="1" applyFont="1" applyFill="1" applyBorder="1" applyAlignment="1" applyProtection="1">
      <alignment horizontal="right" vertical="top"/>
      <protection locked="0"/>
    </xf>
    <xf numFmtId="170" fontId="50" fillId="12" borderId="65" xfId="0" applyNumberFormat="1" applyFont="1" applyFill="1" applyBorder="1" applyAlignment="1" applyProtection="1">
      <alignment horizontal="right" vertical="top"/>
      <protection locked="0"/>
    </xf>
    <xf numFmtId="170" fontId="50" fillId="12" borderId="66" xfId="0" applyNumberFormat="1" applyFont="1" applyFill="1" applyBorder="1" applyAlignment="1" applyProtection="1">
      <alignment horizontal="right" vertical="top"/>
      <protection locked="0"/>
    </xf>
    <xf numFmtId="170" fontId="50" fillId="12" borderId="47" xfId="0" applyNumberFormat="1" applyFont="1" applyFill="1" applyBorder="1" applyAlignment="1" applyProtection="1">
      <alignment horizontal="right" vertical="top"/>
      <protection locked="0"/>
    </xf>
    <xf numFmtId="170" fontId="50" fillId="12" borderId="67" xfId="0" applyNumberFormat="1" applyFont="1" applyFill="1" applyBorder="1" applyAlignment="1" applyProtection="1">
      <alignment horizontal="right" vertical="top"/>
      <protection locked="0"/>
    </xf>
    <xf numFmtId="170" fontId="50" fillId="12" borderId="68" xfId="0" applyNumberFormat="1" applyFont="1" applyFill="1" applyBorder="1" applyAlignment="1" applyProtection="1">
      <alignment horizontal="right" vertical="top"/>
      <protection locked="0"/>
    </xf>
    <xf numFmtId="0" fontId="26" fillId="0" borderId="5" xfId="0" applyFont="1" applyBorder="1"/>
    <xf numFmtId="174" fontId="29" fillId="0" borderId="3" xfId="0" applyNumberFormat="1" applyFont="1" applyBorder="1"/>
    <xf numFmtId="174" fontId="11" fillId="0" borderId="5" xfId="0" applyNumberFormat="1" applyFont="1" applyBorder="1" applyAlignment="1">
      <alignment horizontal="right" vertical="top"/>
    </xf>
    <xf numFmtId="209" fontId="26" fillId="0" borderId="5" xfId="0" applyNumberFormat="1" applyFont="1" applyBorder="1" applyAlignment="1">
      <alignment horizontal="right" vertical="top"/>
    </xf>
    <xf numFmtId="174" fontId="50" fillId="0" borderId="5" xfId="7" applyNumberFormat="1" applyFont="1" applyFill="1" applyBorder="1" applyAlignment="1">
      <alignment horizontal="right" vertical="top"/>
    </xf>
    <xf numFmtId="170" fontId="50" fillId="0" borderId="39" xfId="7" applyNumberFormat="1" applyFont="1" applyFill="1" applyBorder="1" applyAlignment="1">
      <alignment horizontal="right" vertical="top"/>
    </xf>
    <xf numFmtId="0" fontId="32" fillId="0" borderId="5" xfId="0" applyFont="1" applyBorder="1"/>
    <xf numFmtId="174" fontId="50" fillId="0" borderId="5" xfId="7" applyNumberFormat="1" applyFont="1" applyFill="1" applyBorder="1" applyAlignment="1" applyProtection="1">
      <alignment horizontal="right" vertical="top"/>
      <protection locked="0"/>
    </xf>
    <xf numFmtId="9" fontId="50" fillId="0" borderId="5" xfId="7" applyFont="1" applyFill="1" applyBorder="1" applyAlignment="1" applyProtection="1">
      <alignment horizontal="right" vertical="top"/>
      <protection locked="0"/>
    </xf>
    <xf numFmtId="174" fontId="50" fillId="0" borderId="5" xfId="0" applyNumberFormat="1" applyFont="1" applyBorder="1" applyAlignment="1">
      <alignment horizontal="right"/>
    </xf>
    <xf numFmtId="0" fontId="50" fillId="0" borderId="5" xfId="0" applyFont="1" applyBorder="1" applyAlignment="1">
      <alignment horizontal="right"/>
    </xf>
    <xf numFmtId="174" fontId="50" fillId="0" borderId="5" xfId="7" applyNumberFormat="1" applyFont="1" applyFill="1" applyBorder="1" applyAlignment="1" applyProtection="1">
      <alignment horizontal="right" vertical="top"/>
    </xf>
    <xf numFmtId="170" fontId="50" fillId="0" borderId="5" xfId="7" applyNumberFormat="1" applyFont="1" applyFill="1" applyBorder="1" applyAlignment="1" applyProtection="1">
      <alignment horizontal="right" vertical="top"/>
    </xf>
    <xf numFmtId="174" fontId="11" fillId="0" borderId="5" xfId="7" applyNumberFormat="1" applyFont="1" applyFill="1" applyBorder="1" applyAlignment="1" applyProtection="1">
      <alignment horizontal="right" vertical="top"/>
      <protection locked="0"/>
    </xf>
    <xf numFmtId="170" fontId="12" fillId="0" borderId="5" xfId="7" applyNumberFormat="1" applyFont="1" applyFill="1" applyBorder="1" applyAlignment="1" applyProtection="1">
      <alignment horizontal="right" vertical="top"/>
      <protection locked="0"/>
    </xf>
    <xf numFmtId="174" fontId="11" fillId="0" borderId="5" xfId="7" applyNumberFormat="1" applyFont="1" applyFill="1" applyBorder="1" applyAlignment="1" applyProtection="1">
      <alignment horizontal="right" vertical="top"/>
    </xf>
    <xf numFmtId="170" fontId="50" fillId="0" borderId="1" xfId="7" applyNumberFormat="1" applyFont="1" applyFill="1" applyBorder="1" applyAlignment="1" applyProtection="1">
      <alignment horizontal="right" vertical="top"/>
    </xf>
    <xf numFmtId="0" fontId="11" fillId="0" borderId="39" xfId="0" applyFont="1" applyBorder="1" applyAlignment="1">
      <alignment horizontal="right"/>
    </xf>
    <xf numFmtId="9" fontId="11" fillId="0" borderId="39" xfId="7" applyFont="1" applyFill="1" applyBorder="1" applyAlignment="1">
      <alignment horizontal="right" vertical="top"/>
    </xf>
    <xf numFmtId="174" fontId="11" fillId="0" borderId="3" xfId="0" applyNumberFormat="1" applyFont="1" applyBorder="1" applyAlignment="1">
      <alignment horizontal="right" vertical="top"/>
    </xf>
    <xf numFmtId="170" fontId="11" fillId="0" borderId="3" xfId="0" applyNumberFormat="1" applyFont="1" applyBorder="1" applyAlignment="1">
      <alignment horizontal="right" vertical="top"/>
    </xf>
    <xf numFmtId="174" fontId="29" fillId="0" borderId="5" xfId="0" applyNumberFormat="1" applyFont="1" applyBorder="1"/>
    <xf numFmtId="170" fontId="11" fillId="0" borderId="5" xfId="0" applyNumberFormat="1" applyFont="1" applyBorder="1" applyAlignment="1">
      <alignment horizontal="right" vertical="top"/>
    </xf>
    <xf numFmtId="170" fontId="11" fillId="14" borderId="2" xfId="0" applyNumberFormat="1" applyFont="1" applyFill="1" applyBorder="1" applyAlignment="1">
      <alignment horizontal="right" vertical="top"/>
    </xf>
    <xf numFmtId="170" fontId="11" fillId="14" borderId="0" xfId="0" applyNumberFormat="1" applyFont="1" applyFill="1" applyAlignment="1">
      <alignment horizontal="right" vertical="top"/>
    </xf>
    <xf numFmtId="0" fontId="26" fillId="14" borderId="5" xfId="0" applyFont="1" applyFill="1" applyBorder="1"/>
    <xf numFmtId="170" fontId="11" fillId="14" borderId="5" xfId="0" applyNumberFormat="1" applyFont="1" applyFill="1" applyBorder="1" applyAlignment="1">
      <alignment horizontal="right" vertical="top"/>
    </xf>
    <xf numFmtId="170" fontId="26" fillId="0" borderId="7" xfId="0" applyNumberFormat="1" applyFont="1" applyBorder="1" applyAlignment="1">
      <alignment horizontal="right" vertical="top"/>
    </xf>
    <xf numFmtId="174" fontId="26" fillId="10" borderId="0" xfId="0" applyNumberFormat="1" applyFont="1" applyFill="1" applyAlignment="1">
      <alignment horizontal="right"/>
    </xf>
    <xf numFmtId="0" fontId="26" fillId="10" borderId="0" xfId="0" applyFont="1" applyFill="1" applyAlignment="1">
      <alignment horizontal="center"/>
    </xf>
    <xf numFmtId="0" fontId="32" fillId="0" borderId="0" xfId="0" applyFont="1" applyAlignment="1">
      <alignment horizontal="center"/>
    </xf>
    <xf numFmtId="202" fontId="12" fillId="16" borderId="47" xfId="8" applyNumberFormat="1" applyFont="1" applyAlignment="1" applyProtection="1">
      <alignment horizontal="right"/>
      <protection locked="0"/>
    </xf>
    <xf numFmtId="174" fontId="11" fillId="7" borderId="5" xfId="0" applyNumberFormat="1" applyFont="1" applyFill="1" applyBorder="1" applyAlignment="1" applyProtection="1">
      <alignment horizontal="right" vertical="top"/>
      <protection locked="0"/>
    </xf>
    <xf numFmtId="170" fontId="52" fillId="7" borderId="5" xfId="0" applyNumberFormat="1" applyFont="1" applyFill="1" applyBorder="1" applyAlignment="1">
      <alignment horizontal="center" vertical="top"/>
    </xf>
    <xf numFmtId="170" fontId="11" fillId="7" borderId="5" xfId="0" applyNumberFormat="1" applyFont="1" applyFill="1" applyBorder="1" applyAlignment="1" applyProtection="1">
      <alignment horizontal="right" vertical="top"/>
      <protection locked="0"/>
    </xf>
    <xf numFmtId="202" fontId="11" fillId="0" borderId="47" xfId="8" applyNumberFormat="1" applyFont="1" applyFill="1" applyAlignment="1" applyProtection="1">
      <alignment horizontal="right"/>
      <protection locked="0"/>
    </xf>
    <xf numFmtId="174" fontId="12" fillId="16" borderId="47" xfId="8" applyNumberFormat="1" applyFont="1" applyAlignment="1" applyProtection="1">
      <alignment horizontal="right"/>
      <protection locked="0"/>
    </xf>
    <xf numFmtId="170" fontId="11" fillId="7" borderId="0" xfId="0" applyNumberFormat="1" applyFont="1" applyFill="1" applyAlignment="1">
      <alignment horizontal="right" vertical="top"/>
    </xf>
    <xf numFmtId="170" fontId="12" fillId="7" borderId="5" xfId="0" applyNumberFormat="1" applyFont="1" applyFill="1" applyBorder="1" applyAlignment="1" applyProtection="1">
      <alignment horizontal="right" vertical="top"/>
      <protection locked="0"/>
    </xf>
    <xf numFmtId="177" fontId="11" fillId="0" borderId="2" xfId="0" applyNumberFormat="1" applyFont="1" applyBorder="1" applyAlignment="1">
      <alignment horizontal="center" vertical="top"/>
    </xf>
    <xf numFmtId="0" fontId="26" fillId="15" borderId="69" xfId="0" applyFont="1" applyFill="1" applyBorder="1"/>
    <xf numFmtId="174" fontId="26" fillId="15" borderId="69" xfId="0" applyNumberFormat="1" applyFont="1" applyFill="1" applyBorder="1" applyAlignment="1">
      <alignment horizontal="right"/>
    </xf>
    <xf numFmtId="210" fontId="26" fillId="15" borderId="69" xfId="0" applyNumberFormat="1" applyFont="1" applyFill="1" applyBorder="1" applyAlignment="1">
      <alignment horizontal="right"/>
    </xf>
    <xf numFmtId="174" fontId="52" fillId="7" borderId="4" xfId="0" applyNumberFormat="1" applyFont="1" applyFill="1" applyBorder="1" applyAlignment="1" applyProtection="1">
      <alignment horizontal="right" vertical="top"/>
      <protection locked="0"/>
    </xf>
    <xf numFmtId="174" fontId="52" fillId="8" borderId="4" xfId="0" applyNumberFormat="1" applyFont="1" applyFill="1" applyBorder="1" applyAlignment="1" applyProtection="1">
      <alignment horizontal="right" vertical="top"/>
      <protection locked="0"/>
    </xf>
    <xf numFmtId="0" fontId="52" fillId="7" borderId="5" xfId="0" applyFont="1" applyFill="1" applyBorder="1" applyProtection="1">
      <protection locked="0"/>
    </xf>
    <xf numFmtId="174" fontId="11" fillId="0" borderId="2" xfId="0" applyNumberFormat="1" applyFont="1" applyBorder="1" applyAlignment="1">
      <alignment horizontal="right" vertical="top"/>
    </xf>
    <xf numFmtId="202" fontId="12" fillId="16" borderId="4" xfId="8" applyNumberFormat="1" applyFont="1" applyBorder="1" applyAlignment="1" applyProtection="1">
      <alignment horizontal="center"/>
      <protection locked="0"/>
    </xf>
    <xf numFmtId="202" fontId="11" fillId="0" borderId="0" xfId="8" applyNumberFormat="1" applyFont="1" applyFill="1" applyBorder="1" applyAlignment="1" applyProtection="1">
      <alignment horizontal="center"/>
      <protection locked="0"/>
    </xf>
    <xf numFmtId="202" fontId="12" fillId="16" borderId="4" xfId="8" applyNumberFormat="1" applyFont="1" applyBorder="1" applyAlignment="1" applyProtection="1">
      <alignment horizontal="center" wrapText="1"/>
      <protection locked="0"/>
    </xf>
    <xf numFmtId="202" fontId="11" fillId="0" borderId="0" xfId="8" applyNumberFormat="1" applyFont="1" applyFill="1" applyBorder="1" applyAlignment="1" applyProtection="1">
      <alignment horizontal="center" wrapText="1"/>
      <protection locked="0"/>
    </xf>
    <xf numFmtId="174" fontId="11" fillId="0" borderId="0" xfId="0" applyNumberFormat="1" applyFont="1" applyAlignment="1">
      <alignment horizontal="right" vertical="top" wrapText="1"/>
    </xf>
    <xf numFmtId="174" fontId="11" fillId="14" borderId="0" xfId="0" applyNumberFormat="1" applyFont="1" applyFill="1" applyAlignment="1">
      <alignment horizontal="right"/>
    </xf>
    <xf numFmtId="174" fontId="12" fillId="16" borderId="5" xfId="8" applyNumberFormat="1" applyFont="1" applyBorder="1" applyAlignment="1" applyProtection="1">
      <alignment horizontal="right" vertical="top"/>
      <protection locked="0"/>
    </xf>
    <xf numFmtId="176" fontId="12" fillId="16" borderId="4" xfId="8" applyNumberFormat="1" applyFont="1" applyBorder="1" applyAlignment="1" applyProtection="1">
      <alignment horizontal="center"/>
      <protection locked="0"/>
    </xf>
    <xf numFmtId="10" fontId="11" fillId="14" borderId="0" xfId="7" applyNumberFormat="1" applyFont="1" applyFill="1" applyBorder="1" applyAlignment="1" applyProtection="1">
      <alignment horizontal="center"/>
    </xf>
    <xf numFmtId="170" fontId="30" fillId="16" borderId="4" xfId="8" applyNumberFormat="1" applyFont="1" applyBorder="1" applyAlignment="1" applyProtection="1">
      <alignment horizontal="center" vertical="top"/>
      <protection locked="0"/>
    </xf>
    <xf numFmtId="10" fontId="11" fillId="14" borderId="0" xfId="7" applyNumberFormat="1" applyFont="1" applyFill="1" applyBorder="1" applyAlignment="1" applyProtection="1">
      <alignment horizontal="center" vertical="top"/>
    </xf>
    <xf numFmtId="170" fontId="11" fillId="14" borderId="5" xfId="7" applyNumberFormat="1" applyFont="1" applyFill="1" applyBorder="1" applyAlignment="1" applyProtection="1">
      <alignment horizontal="center" vertical="top"/>
      <protection locked="0"/>
    </xf>
    <xf numFmtId="171" fontId="30" fillId="16" borderId="4" xfId="8" applyNumberFormat="1" applyFont="1" applyBorder="1" applyAlignment="1" applyProtection="1">
      <alignment horizontal="center" vertical="top"/>
      <protection locked="0"/>
    </xf>
    <xf numFmtId="211" fontId="30" fillId="16" borderId="4" xfId="8" applyNumberFormat="1" applyFont="1" applyBorder="1" applyAlignment="1" applyProtection="1">
      <alignment horizontal="center" vertical="top"/>
      <protection locked="0"/>
    </xf>
    <xf numFmtId="202" fontId="11" fillId="14" borderId="5" xfId="0" applyNumberFormat="1" applyFont="1" applyFill="1" applyBorder="1" applyAlignment="1" applyProtection="1">
      <alignment horizontal="center" vertical="top"/>
      <protection locked="0"/>
    </xf>
    <xf numFmtId="202" fontId="30" fillId="16" borderId="4" xfId="8" applyNumberFormat="1" applyFont="1" applyBorder="1" applyAlignment="1" applyProtection="1">
      <alignment horizontal="center" vertical="top"/>
      <protection locked="0"/>
    </xf>
    <xf numFmtId="174" fontId="11" fillId="14" borderId="5" xfId="0" applyNumberFormat="1" applyFont="1" applyFill="1" applyBorder="1" applyAlignment="1" applyProtection="1">
      <alignment horizontal="center"/>
      <protection locked="0"/>
    </xf>
    <xf numFmtId="174" fontId="30" fillId="16" borderId="4" xfId="8" applyNumberFormat="1" applyFont="1" applyBorder="1" applyAlignment="1" applyProtection="1">
      <alignment horizontal="center" vertical="top"/>
      <protection locked="0"/>
    </xf>
    <xf numFmtId="174" fontId="11" fillId="0" borderId="0" xfId="0" applyNumberFormat="1" applyFont="1" applyAlignment="1" applyProtection="1">
      <alignment horizontal="right"/>
      <protection locked="0"/>
    </xf>
    <xf numFmtId="174" fontId="11" fillId="0" borderId="2" xfId="0" applyNumberFormat="1" applyFont="1" applyBorder="1" applyAlignment="1">
      <alignment horizontal="right"/>
    </xf>
    <xf numFmtId="0" fontId="11" fillId="0" borderId="2" xfId="0" applyFont="1" applyBorder="1" applyAlignment="1">
      <alignment horizontal="center"/>
    </xf>
    <xf numFmtId="177" fontId="11" fillId="0" borderId="0" xfId="0" applyNumberFormat="1" applyFont="1" applyAlignment="1">
      <alignment horizontal="center"/>
    </xf>
    <xf numFmtId="210" fontId="11" fillId="0" borderId="0" xfId="0" applyNumberFormat="1" applyFont="1" applyAlignment="1">
      <alignment horizontal="center"/>
    </xf>
    <xf numFmtId="0" fontId="26" fillId="0" borderId="14" xfId="0" applyFont="1" applyBorder="1"/>
    <xf numFmtId="174" fontId="26" fillId="0" borderId="15" xfId="0" applyNumberFormat="1" applyFont="1" applyBorder="1" applyAlignment="1">
      <alignment horizontal="right"/>
    </xf>
    <xf numFmtId="0" fontId="26" fillId="0" borderId="15" xfId="0" applyFont="1" applyBorder="1"/>
    <xf numFmtId="0" fontId="32" fillId="7" borderId="5" xfId="0" applyFont="1" applyFill="1" applyBorder="1" applyProtection="1">
      <protection locked="0"/>
    </xf>
    <xf numFmtId="0" fontId="12" fillId="7" borderId="1" xfId="0" applyFont="1" applyFill="1" applyBorder="1" applyProtection="1">
      <protection locked="0"/>
    </xf>
    <xf numFmtId="174" fontId="50" fillId="0" borderId="7" xfId="2" applyNumberFormat="1" applyFont="1" applyFill="1" applyBorder="1" applyAlignment="1" applyProtection="1">
      <alignment horizontal="center"/>
      <protection locked="0"/>
    </xf>
    <xf numFmtId="197" fontId="26" fillId="0" borderId="7" xfId="2" applyNumberFormat="1" applyFont="1" applyFill="1" applyBorder="1" applyAlignment="1" applyProtection="1">
      <alignment horizontal="center"/>
      <protection locked="0"/>
    </xf>
    <xf numFmtId="174" fontId="12" fillId="7" borderId="0" xfId="0" applyNumberFormat="1" applyFont="1" applyFill="1" applyAlignment="1" applyProtection="1">
      <alignment horizontal="right" vertical="top"/>
      <protection locked="0"/>
    </xf>
    <xf numFmtId="174" fontId="50" fillId="0" borderId="0" xfId="2" applyNumberFormat="1" applyFont="1" applyFill="1" applyBorder="1" applyAlignment="1" applyProtection="1">
      <alignment horizontal="center"/>
      <protection locked="0"/>
    </xf>
    <xf numFmtId="197" fontId="26" fillId="0" borderId="0" xfId="2" applyNumberFormat="1" applyFont="1" applyFill="1" applyBorder="1" applyAlignment="1" applyProtection="1">
      <alignment horizontal="center"/>
      <protection locked="0"/>
    </xf>
    <xf numFmtId="175" fontId="11" fillId="7" borderId="0" xfId="0" applyNumberFormat="1" applyFont="1" applyFill="1" applyAlignment="1" applyProtection="1">
      <alignment horizontal="right"/>
      <protection locked="0"/>
    </xf>
    <xf numFmtId="174" fontId="11" fillId="0" borderId="0" xfId="0" quotePrefix="1" applyNumberFormat="1" applyFont="1" applyAlignment="1">
      <alignment horizontal="right" vertical="top"/>
    </xf>
    <xf numFmtId="177" fontId="11" fillId="0" borderId="0" xfId="0" applyNumberFormat="1" applyFont="1" applyAlignment="1">
      <alignment horizontal="right" vertical="top"/>
    </xf>
    <xf numFmtId="177" fontId="11" fillId="0" borderId="0" xfId="0" quotePrefix="1" applyNumberFormat="1" applyFont="1" applyAlignment="1">
      <alignment horizontal="right" vertical="top"/>
    </xf>
    <xf numFmtId="0" fontId="11" fillId="0" borderId="15" xfId="0" applyFont="1" applyBorder="1"/>
    <xf numFmtId="0" fontId="26" fillId="8" borderId="14" xfId="0" applyFont="1" applyFill="1" applyBorder="1"/>
    <xf numFmtId="174" fontId="26" fillId="8" borderId="15" xfId="0" applyNumberFormat="1" applyFont="1" applyFill="1" applyBorder="1" applyAlignment="1">
      <alignment horizontal="right"/>
    </xf>
    <xf numFmtId="0" fontId="26" fillId="8" borderId="15" xfId="0" applyFont="1" applyFill="1" applyBorder="1"/>
    <xf numFmtId="0" fontId="80" fillId="0" borderId="0" xfId="0" applyFont="1"/>
    <xf numFmtId="0" fontId="34" fillId="0" borderId="0" xfId="5" applyFont="1"/>
    <xf numFmtId="0" fontId="57" fillId="4" borderId="0" xfId="0" applyFont="1" applyFill="1"/>
    <xf numFmtId="167" fontId="26" fillId="6" borderId="7" xfId="0" applyNumberFormat="1" applyFont="1" applyFill="1" applyBorder="1" applyAlignment="1">
      <alignment horizontal="center"/>
    </xf>
    <xf numFmtId="167" fontId="26" fillId="6" borderId="21" xfId="0" applyNumberFormat="1" applyFont="1" applyFill="1" applyBorder="1" applyAlignment="1">
      <alignment horizontal="center"/>
    </xf>
    <xf numFmtId="0" fontId="26" fillId="6" borderId="17" xfId="0" applyFont="1" applyFill="1" applyBorder="1" applyAlignment="1">
      <alignment horizontal="center"/>
    </xf>
    <xf numFmtId="0" fontId="26" fillId="6" borderId="11" xfId="0" applyFont="1" applyFill="1" applyBorder="1" applyAlignment="1">
      <alignment horizontal="center"/>
    </xf>
    <xf numFmtId="0" fontId="26" fillId="6" borderId="12" xfId="0" applyFont="1" applyFill="1" applyBorder="1" applyAlignment="1">
      <alignment horizontal="center"/>
    </xf>
    <xf numFmtId="0" fontId="26" fillId="6" borderId="18" xfId="0" applyFont="1" applyFill="1" applyBorder="1" applyAlignment="1">
      <alignment horizontal="center"/>
    </xf>
    <xf numFmtId="0" fontId="26" fillId="6" borderId="2" xfId="0" applyFont="1" applyFill="1" applyBorder="1" applyAlignment="1">
      <alignment horizontal="center"/>
    </xf>
    <xf numFmtId="0" fontId="26" fillId="6" borderId="13" xfId="0" applyFont="1" applyFill="1" applyBorder="1" applyAlignment="1">
      <alignment horizontal="center"/>
    </xf>
    <xf numFmtId="0" fontId="26" fillId="6" borderId="0" xfId="0" applyFont="1" applyFill="1"/>
    <xf numFmtId="173" fontId="11" fillId="14" borderId="0" xfId="0" applyNumberFormat="1" applyFont="1" applyFill="1"/>
    <xf numFmtId="0" fontId="32" fillId="0" borderId="0" xfId="0" quotePrefix="1" applyFont="1" applyAlignment="1">
      <alignment horizontal="center"/>
    </xf>
    <xf numFmtId="173" fontId="26" fillId="0" borderId="0" xfId="0" applyNumberFormat="1" applyFont="1" applyAlignment="1" applyProtection="1">
      <alignment horizontal="left"/>
      <protection locked="0"/>
    </xf>
    <xf numFmtId="170" fontId="52" fillId="7" borderId="4" xfId="0" applyNumberFormat="1" applyFont="1" applyFill="1" applyBorder="1" applyAlignment="1" applyProtection="1">
      <alignment horizontal="center"/>
      <protection locked="0"/>
    </xf>
    <xf numFmtId="170" fontId="52" fillId="7" borderId="4" xfId="0" applyNumberFormat="1" applyFont="1" applyFill="1" applyBorder="1" applyAlignment="1" applyProtection="1">
      <alignment horizontal="center" vertical="top"/>
      <protection locked="0"/>
    </xf>
    <xf numFmtId="173" fontId="12" fillId="0" borderId="0" xfId="8" applyNumberFormat="1" applyFont="1" applyFill="1" applyBorder="1" applyAlignment="1" applyProtection="1">
      <alignment horizontal="center"/>
      <protection locked="0"/>
    </xf>
    <xf numFmtId="0" fontId="26" fillId="0" borderId="14" xfId="0" applyFont="1" applyBorder="1" applyAlignment="1">
      <alignment wrapText="1"/>
    </xf>
    <xf numFmtId="186" fontId="26" fillId="0" borderId="15" xfId="0" applyNumberFormat="1" applyFont="1" applyBorder="1"/>
    <xf numFmtId="186" fontId="26" fillId="0" borderId="15" xfId="0" applyNumberFormat="1" applyFont="1" applyBorder="1" applyAlignment="1">
      <alignment horizontal="center"/>
    </xf>
    <xf numFmtId="170" fontId="11" fillId="7" borderId="5" xfId="0" applyNumberFormat="1" applyFont="1" applyFill="1" applyBorder="1" applyProtection="1">
      <protection locked="0"/>
    </xf>
    <xf numFmtId="0" fontId="26" fillId="6" borderId="20" xfId="0" applyFont="1" applyFill="1" applyBorder="1" applyAlignment="1">
      <alignment horizontal="center"/>
    </xf>
    <xf numFmtId="197" fontId="11" fillId="0" borderId="0" xfId="2" applyNumberFormat="1" applyFont="1" applyFill="1" applyProtection="1"/>
    <xf numFmtId="197" fontId="11" fillId="0" borderId="0" xfId="2" applyNumberFormat="1" applyFont="1" applyProtection="1"/>
    <xf numFmtId="174" fontId="11" fillId="0" borderId="0" xfId="3" applyNumberFormat="1" applyFont="1" applyFill="1" applyProtection="1"/>
    <xf numFmtId="174" fontId="11" fillId="0" borderId="0" xfId="3" applyNumberFormat="1" applyFont="1" applyProtection="1"/>
    <xf numFmtId="170" fontId="11" fillId="0" borderId="0" xfId="3" applyNumberFormat="1" applyFont="1" applyFill="1" applyProtection="1"/>
    <xf numFmtId="170" fontId="11" fillId="0" borderId="0" xfId="3" applyNumberFormat="1" applyFont="1" applyProtection="1"/>
    <xf numFmtId="0" fontId="45" fillId="3" borderId="0" xfId="0" applyFont="1" applyFill="1"/>
    <xf numFmtId="0" fontId="34" fillId="6" borderId="20" xfId="0" applyFont="1" applyFill="1" applyBorder="1"/>
    <xf numFmtId="0" fontId="26" fillId="6" borderId="7" xfId="0" applyFont="1" applyFill="1" applyBorder="1" applyAlignment="1">
      <alignment horizontal="center"/>
    </xf>
    <xf numFmtId="0" fontId="26" fillId="6" borderId="63" xfId="0" applyFont="1" applyFill="1" applyBorder="1" applyAlignment="1">
      <alignment horizontal="center"/>
    </xf>
    <xf numFmtId="165" fontId="26" fillId="6" borderId="9" xfId="0" applyNumberFormat="1" applyFont="1" applyFill="1" applyBorder="1" applyAlignment="1">
      <alignment horizontal="center"/>
    </xf>
    <xf numFmtId="0" fontId="34" fillId="6" borderId="43" xfId="0" applyFont="1" applyFill="1" applyBorder="1"/>
    <xf numFmtId="0" fontId="26" fillId="6" borderId="0" xfId="0" applyFont="1" applyFill="1" applyAlignment="1">
      <alignment horizontal="center"/>
    </xf>
    <xf numFmtId="165" fontId="26" fillId="6" borderId="13" xfId="0" applyNumberFormat="1" applyFont="1" applyFill="1" applyBorder="1" applyAlignment="1">
      <alignment horizontal="center"/>
    </xf>
    <xf numFmtId="0" fontId="34" fillId="6" borderId="18" xfId="0" applyFont="1" applyFill="1" applyBorder="1"/>
    <xf numFmtId="0" fontId="26" fillId="6" borderId="62" xfId="0" quotePrefix="1" applyFont="1" applyFill="1" applyBorder="1" applyAlignment="1">
      <alignment horizontal="center"/>
    </xf>
    <xf numFmtId="0" fontId="71" fillId="0" borderId="0" xfId="0" applyFont="1" applyAlignment="1">
      <alignment horizontal="center"/>
    </xf>
    <xf numFmtId="0" fontId="12" fillId="0" borderId="1" xfId="0" applyFont="1" applyBorder="1" applyProtection="1">
      <protection locked="0"/>
    </xf>
    <xf numFmtId="174" fontId="12" fillId="0" borderId="1" xfId="0" applyNumberFormat="1" applyFont="1" applyBorder="1" applyProtection="1">
      <protection locked="0"/>
    </xf>
    <xf numFmtId="174" fontId="50" fillId="0" borderId="30" xfId="0" applyNumberFormat="1" applyFont="1" applyBorder="1"/>
    <xf numFmtId="174" fontId="50" fillId="0" borderId="4" xfId="0" applyNumberFormat="1" applyFont="1" applyBorder="1"/>
    <xf numFmtId="0" fontId="53" fillId="0" borderId="31" xfId="0" applyFont="1" applyBorder="1"/>
    <xf numFmtId="170" fontId="12" fillId="0" borderId="31" xfId="0" applyNumberFormat="1" applyFont="1" applyBorder="1"/>
    <xf numFmtId="170" fontId="12" fillId="0" borderId="31" xfId="0" applyNumberFormat="1" applyFont="1" applyBorder="1" applyProtection="1">
      <protection locked="0"/>
    </xf>
    <xf numFmtId="170" fontId="50" fillId="0" borderId="49" xfId="0" applyNumberFormat="1" applyFont="1" applyBorder="1" applyProtection="1">
      <protection locked="0"/>
    </xf>
    <xf numFmtId="170" fontId="50" fillId="0" borderId="45" xfId="0" applyNumberFormat="1" applyFont="1" applyBorder="1" applyProtection="1">
      <protection locked="0"/>
    </xf>
    <xf numFmtId="0" fontId="50" fillId="0" borderId="1" xfId="0" applyFont="1" applyBorder="1" applyAlignment="1">
      <alignment vertical="center"/>
    </xf>
    <xf numFmtId="174" fontId="50" fillId="0" borderId="1" xfId="0" applyNumberFormat="1" applyFont="1" applyBorder="1"/>
    <xf numFmtId="174" fontId="12" fillId="7" borderId="1" xfId="0" applyNumberFormat="1" applyFont="1" applyFill="1" applyBorder="1" applyProtection="1">
      <protection locked="0"/>
    </xf>
    <xf numFmtId="174" fontId="11" fillId="0" borderId="3" xfId="0" applyNumberFormat="1" applyFont="1" applyBorder="1" applyProtection="1">
      <protection locked="0"/>
    </xf>
    <xf numFmtId="174" fontId="12" fillId="7" borderId="70" xfId="0" applyNumberFormat="1" applyFont="1" applyFill="1" applyBorder="1" applyProtection="1">
      <protection locked="0"/>
    </xf>
    <xf numFmtId="174" fontId="12" fillId="7" borderId="28" xfId="0" applyNumberFormat="1" applyFont="1" applyFill="1" applyBorder="1" applyProtection="1">
      <protection locked="0"/>
    </xf>
    <xf numFmtId="174" fontId="12" fillId="7" borderId="29" xfId="0" applyNumberFormat="1" applyFont="1" applyFill="1" applyBorder="1" applyProtection="1">
      <protection locked="0"/>
    </xf>
    <xf numFmtId="0" fontId="71" fillId="0" borderId="0" xfId="0" applyFont="1" applyAlignment="1">
      <alignment horizontal="center" vertical="center"/>
    </xf>
    <xf numFmtId="0" fontId="50" fillId="0" borderId="5" xfId="0" applyFont="1" applyBorder="1" applyAlignment="1">
      <alignment wrapText="1"/>
    </xf>
    <xf numFmtId="174" fontId="50" fillId="0" borderId="5" xfId="0" applyNumberFormat="1" applyFont="1" applyBorder="1"/>
    <xf numFmtId="170" fontId="11" fillId="0" borderId="5" xfId="0" applyNumberFormat="1" applyFont="1" applyBorder="1" applyProtection="1">
      <protection locked="0"/>
    </xf>
    <xf numFmtId="170" fontId="12" fillId="7" borderId="71" xfId="0" applyNumberFormat="1" applyFont="1" applyFill="1" applyBorder="1" applyProtection="1">
      <protection locked="0"/>
    </xf>
    <xf numFmtId="170" fontId="12" fillId="7" borderId="30" xfId="0" applyNumberFormat="1" applyFont="1" applyFill="1" applyBorder="1" applyProtection="1">
      <protection locked="0"/>
    </xf>
    <xf numFmtId="170" fontId="12" fillId="7" borderId="4" xfId="0" applyNumberFormat="1" applyFont="1" applyFill="1" applyBorder="1" applyProtection="1">
      <protection locked="0"/>
    </xf>
    <xf numFmtId="0" fontId="50" fillId="0" borderId="5" xfId="0" applyFont="1" applyBorder="1"/>
    <xf numFmtId="170" fontId="50" fillId="0" borderId="5" xfId="0" applyNumberFormat="1" applyFont="1" applyBorder="1"/>
    <xf numFmtId="0" fontId="50" fillId="0" borderId="5" xfId="0" applyFont="1" applyBorder="1" applyAlignment="1">
      <alignment vertical="center"/>
    </xf>
    <xf numFmtId="0" fontId="12" fillId="0" borderId="5" xfId="0" applyFont="1" applyBorder="1" applyAlignment="1" applyProtection="1">
      <alignment vertical="center"/>
      <protection locked="0"/>
    </xf>
    <xf numFmtId="170" fontId="12" fillId="0" borderId="5" xfId="0" applyNumberFormat="1" applyFont="1" applyBorder="1" applyProtection="1">
      <protection locked="0"/>
    </xf>
    <xf numFmtId="170" fontId="12" fillId="0" borderId="71" xfId="0" applyNumberFormat="1" applyFont="1" applyBorder="1" applyProtection="1">
      <protection locked="0"/>
    </xf>
    <xf numFmtId="170" fontId="12" fillId="0" borderId="30" xfId="0" applyNumberFormat="1" applyFont="1" applyBorder="1" applyProtection="1">
      <protection locked="0"/>
    </xf>
    <xf numFmtId="170" fontId="12" fillId="0" borderId="4" xfId="0" applyNumberFormat="1" applyFont="1" applyBorder="1" applyProtection="1">
      <protection locked="0"/>
    </xf>
    <xf numFmtId="170" fontId="12" fillId="0" borderId="39" xfId="0" applyNumberFormat="1" applyFont="1" applyBorder="1" applyProtection="1">
      <protection locked="0"/>
    </xf>
    <xf numFmtId="170" fontId="11" fillId="0" borderId="39" xfId="0" applyNumberFormat="1" applyFont="1" applyBorder="1" applyProtection="1">
      <protection locked="0"/>
    </xf>
    <xf numFmtId="170" fontId="12" fillId="0" borderId="72" xfId="0" applyNumberFormat="1" applyFont="1" applyBorder="1" applyProtection="1">
      <protection locked="0"/>
    </xf>
    <xf numFmtId="170" fontId="12" fillId="0" borderId="49" xfId="0" applyNumberFormat="1" applyFont="1" applyBorder="1" applyProtection="1">
      <protection locked="0"/>
    </xf>
    <xf numFmtId="170" fontId="12" fillId="0" borderId="45" xfId="0" applyNumberFormat="1" applyFont="1" applyBorder="1" applyProtection="1">
      <protection locked="0"/>
    </xf>
    <xf numFmtId="0" fontId="50" fillId="0" borderId="39" xfId="0" applyFont="1" applyBorder="1" applyAlignment="1" applyProtection="1">
      <alignment vertical="center"/>
      <protection locked="0"/>
    </xf>
    <xf numFmtId="174" fontId="11" fillId="0" borderId="5" xfId="0" applyNumberFormat="1" applyFont="1" applyBorder="1" applyProtection="1">
      <protection locked="0"/>
    </xf>
    <xf numFmtId="170" fontId="11" fillId="0" borderId="39" xfId="0" applyNumberFormat="1" applyFont="1" applyBorder="1"/>
    <xf numFmtId="0" fontId="12" fillId="0" borderId="39" xfId="0" applyFont="1" applyBorder="1" applyAlignment="1" applyProtection="1">
      <alignment vertical="center"/>
      <protection locked="0"/>
    </xf>
    <xf numFmtId="0" fontId="53" fillId="0" borderId="31" xfId="0" applyFont="1" applyBorder="1" applyAlignment="1" applyProtection="1">
      <alignment vertical="center"/>
      <protection locked="0"/>
    </xf>
    <xf numFmtId="170" fontId="12" fillId="7" borderId="1" xfId="0" applyNumberFormat="1" applyFont="1" applyFill="1" applyBorder="1" applyProtection="1">
      <protection locked="0"/>
    </xf>
    <xf numFmtId="170" fontId="11" fillId="0" borderId="3" xfId="0" applyNumberFormat="1" applyFont="1" applyBorder="1" applyProtection="1">
      <protection locked="0"/>
    </xf>
    <xf numFmtId="170" fontId="12" fillId="7" borderId="70" xfId="0" applyNumberFormat="1" applyFont="1" applyFill="1" applyBorder="1" applyProtection="1">
      <protection locked="0"/>
    </xf>
    <xf numFmtId="170" fontId="12" fillId="7" borderId="28" xfId="0" applyNumberFormat="1" applyFont="1" applyFill="1" applyBorder="1" applyProtection="1">
      <protection locked="0"/>
    </xf>
    <xf numFmtId="170" fontId="12" fillId="7" borderId="29" xfId="0" applyNumberFormat="1" applyFont="1" applyFill="1" applyBorder="1" applyProtection="1">
      <protection locked="0"/>
    </xf>
    <xf numFmtId="0" fontId="12" fillId="7" borderId="5" xfId="0" applyFont="1" applyFill="1" applyBorder="1" applyAlignment="1" applyProtection="1">
      <alignment vertical="center"/>
      <protection locked="0"/>
    </xf>
    <xf numFmtId="0" fontId="12" fillId="7" borderId="5" xfId="0" quotePrefix="1" applyFont="1" applyFill="1" applyBorder="1" applyAlignment="1" applyProtection="1">
      <alignment vertical="center"/>
      <protection locked="0"/>
    </xf>
    <xf numFmtId="0" fontId="63" fillId="7" borderId="5" xfId="0" applyFont="1" applyFill="1" applyBorder="1" applyProtection="1">
      <protection locked="0"/>
    </xf>
    <xf numFmtId="170" fontId="12" fillId="12" borderId="39" xfId="0" applyNumberFormat="1" applyFont="1" applyFill="1" applyBorder="1" applyProtection="1">
      <protection locked="0"/>
    </xf>
    <xf numFmtId="170" fontId="12" fillId="12" borderId="71" xfId="0" applyNumberFormat="1" applyFont="1" applyFill="1" applyBorder="1" applyAlignment="1" applyProtection="1">
      <alignment horizontal="right"/>
      <protection locked="0"/>
    </xf>
    <xf numFmtId="170" fontId="12" fillId="12" borderId="30" xfId="0" applyNumberFormat="1" applyFont="1" applyFill="1" applyBorder="1" applyAlignment="1" applyProtection="1">
      <alignment horizontal="right"/>
      <protection locked="0"/>
    </xf>
    <xf numFmtId="170" fontId="12" fillId="12" borderId="4" xfId="0" applyNumberFormat="1" applyFont="1" applyFill="1" applyBorder="1" applyAlignment="1" applyProtection="1">
      <alignment horizontal="right"/>
      <protection locked="0"/>
    </xf>
    <xf numFmtId="0" fontId="63" fillId="7" borderId="39" xfId="0" applyFont="1" applyFill="1" applyBorder="1" applyProtection="1">
      <protection locked="0"/>
    </xf>
    <xf numFmtId="170" fontId="12" fillId="12" borderId="73" xfId="0" applyNumberFormat="1" applyFont="1" applyFill="1" applyBorder="1" applyAlignment="1" applyProtection="1">
      <alignment horizontal="right"/>
      <protection locked="0"/>
    </xf>
    <xf numFmtId="170" fontId="12" fillId="12" borderId="49" xfId="0" applyNumberFormat="1" applyFont="1" applyFill="1" applyBorder="1" applyAlignment="1" applyProtection="1">
      <alignment horizontal="right"/>
      <protection locked="0"/>
    </xf>
    <xf numFmtId="170" fontId="12" fillId="12" borderId="45" xfId="0" applyNumberFormat="1" applyFont="1" applyFill="1" applyBorder="1" applyAlignment="1" applyProtection="1">
      <alignment horizontal="right"/>
      <protection locked="0"/>
    </xf>
    <xf numFmtId="0" fontId="50" fillId="0" borderId="7" xfId="0" applyFont="1" applyBorder="1" applyProtection="1">
      <protection locked="0"/>
    </xf>
    <xf numFmtId="170" fontId="12" fillId="0" borderId="7" xfId="0" applyNumberFormat="1" applyFont="1" applyBorder="1" applyProtection="1">
      <protection locked="0"/>
    </xf>
    <xf numFmtId="170" fontId="50" fillId="0" borderId="28" xfId="0" applyNumberFormat="1" applyFont="1" applyBorder="1"/>
    <xf numFmtId="170" fontId="50" fillId="0" borderId="29" xfId="0" applyNumberFormat="1" applyFont="1" applyBorder="1"/>
    <xf numFmtId="0" fontId="50" fillId="0" borderId="0" xfId="0" applyFont="1" applyProtection="1">
      <protection locked="0"/>
    </xf>
    <xf numFmtId="170" fontId="12" fillId="0" borderId="0" xfId="0" applyNumberFormat="1" applyFont="1" applyProtection="1">
      <protection locked="0"/>
    </xf>
    <xf numFmtId="194" fontId="12" fillId="7" borderId="31" xfId="0" applyNumberFormat="1" applyFont="1" applyFill="1" applyBorder="1" applyProtection="1">
      <protection locked="0"/>
    </xf>
    <xf numFmtId="170" fontId="11" fillId="0" borderId="31" xfId="0" applyNumberFormat="1" applyFont="1" applyBorder="1"/>
    <xf numFmtId="170" fontId="50" fillId="0" borderId="0" xfId="0" quotePrefix="1" applyNumberFormat="1" applyFont="1"/>
    <xf numFmtId="170" fontId="50" fillId="0" borderId="0" xfId="0" applyNumberFormat="1" applyFont="1"/>
    <xf numFmtId="174" fontId="34" fillId="6" borderId="7" xfId="0" applyNumberFormat="1" applyFont="1" applyFill="1" applyBorder="1"/>
    <xf numFmtId="0" fontId="0" fillId="12" borderId="0" xfId="0" applyFill="1"/>
    <xf numFmtId="0" fontId="26" fillId="6" borderId="20" xfId="0" applyFont="1" applyFill="1" applyBorder="1"/>
    <xf numFmtId="0" fontId="11" fillId="6" borderId="7" xfId="0" applyFont="1" applyFill="1" applyBorder="1"/>
    <xf numFmtId="0" fontId="11" fillId="6" borderId="21" xfId="0" applyFont="1" applyFill="1" applyBorder="1"/>
    <xf numFmtId="0" fontId="26" fillId="6" borderId="16" xfId="0" applyFont="1" applyFill="1" applyBorder="1" applyAlignment="1">
      <alignment horizontal="center"/>
    </xf>
    <xf numFmtId="0" fontId="26" fillId="6" borderId="8" xfId="0" applyFont="1" applyFill="1" applyBorder="1" applyAlignment="1">
      <alignment horizontal="center"/>
    </xf>
    <xf numFmtId="0" fontId="26" fillId="6" borderId="9" xfId="0" applyFont="1" applyFill="1" applyBorder="1" applyAlignment="1">
      <alignment horizontal="center"/>
    </xf>
    <xf numFmtId="0" fontId="34" fillId="6" borderId="22" xfId="0" applyFont="1" applyFill="1" applyBorder="1" applyAlignment="1">
      <alignment horizontal="center" vertical="top"/>
    </xf>
    <xf numFmtId="0" fontId="34" fillId="6" borderId="22" xfId="0" quotePrefix="1" applyFont="1" applyFill="1" applyBorder="1" applyAlignment="1">
      <alignment horizontal="center" vertical="top"/>
    </xf>
    <xf numFmtId="0" fontId="34" fillId="6" borderId="23" xfId="0" applyFont="1" applyFill="1" applyBorder="1" applyAlignment="1">
      <alignment horizontal="center" vertical="top"/>
    </xf>
    <xf numFmtId="0" fontId="34" fillId="6" borderId="24" xfId="0" applyFont="1" applyFill="1" applyBorder="1" applyAlignment="1">
      <alignment horizontal="center" vertical="top"/>
    </xf>
    <xf numFmtId="0" fontId="34" fillId="6" borderId="25" xfId="0" applyFont="1" applyFill="1" applyBorder="1" applyAlignment="1">
      <alignment horizontal="center" vertical="top"/>
    </xf>
    <xf numFmtId="0" fontId="34" fillId="6" borderId="26" xfId="0" applyFont="1" applyFill="1" applyBorder="1" applyAlignment="1">
      <alignment horizontal="center" vertical="top"/>
    </xf>
    <xf numFmtId="0" fontId="34" fillId="6" borderId="27" xfId="0" applyFont="1" applyFill="1" applyBorder="1" applyAlignment="1">
      <alignment horizontal="center" vertical="top"/>
    </xf>
    <xf numFmtId="0" fontId="81" fillId="0" borderId="0" xfId="1" applyFont="1" applyFill="1" applyBorder="1" applyAlignment="1" applyProtection="1">
      <alignment wrapText="1"/>
    </xf>
    <xf numFmtId="170" fontId="11" fillId="7" borderId="29" xfId="0" applyNumberFormat="1" applyFont="1" applyFill="1" applyBorder="1" applyAlignment="1">
      <alignment horizontal="center" vertical="top"/>
    </xf>
    <xf numFmtId="170" fontId="50" fillId="0" borderId="4" xfId="0" applyNumberFormat="1" applyFont="1" applyBorder="1" applyAlignment="1">
      <alignment horizontal="center" vertical="top"/>
    </xf>
    <xf numFmtId="173" fontId="11" fillId="0" borderId="2" xfId="0" applyNumberFormat="1" applyFont="1" applyBorder="1" applyAlignment="1">
      <alignment horizontal="center" vertical="top"/>
    </xf>
    <xf numFmtId="170" fontId="11" fillId="7" borderId="4" xfId="0" applyNumberFormat="1" applyFont="1" applyFill="1" applyBorder="1" applyAlignment="1">
      <alignment horizontal="center" vertical="top"/>
    </xf>
    <xf numFmtId="173" fontId="11" fillId="14" borderId="8" xfId="0" applyNumberFormat="1" applyFont="1" applyFill="1" applyBorder="1" applyAlignment="1">
      <alignment horizontal="center" vertical="top"/>
    </xf>
    <xf numFmtId="0" fontId="11" fillId="0" borderId="8" xfId="0" applyFont="1" applyBorder="1" applyAlignment="1">
      <alignment horizontal="center" vertical="top"/>
    </xf>
    <xf numFmtId="173" fontId="11" fillId="14" borderId="0" xfId="0" applyNumberFormat="1" applyFont="1" applyFill="1" applyAlignment="1">
      <alignment horizontal="center" vertical="top"/>
    </xf>
    <xf numFmtId="0" fontId="11" fillId="7" borderId="29" xfId="0" applyFont="1" applyFill="1" applyBorder="1" applyAlignment="1">
      <alignment horizontal="center" vertical="top"/>
    </xf>
    <xf numFmtId="173" fontId="11" fillId="14" borderId="5" xfId="0" applyNumberFormat="1" applyFont="1" applyFill="1" applyBorder="1" applyAlignment="1">
      <alignment horizontal="center" vertical="top"/>
    </xf>
    <xf numFmtId="0" fontId="11" fillId="7" borderId="4" xfId="0" applyFont="1" applyFill="1" applyBorder="1" applyAlignment="1">
      <alignment horizontal="center" vertical="top"/>
    </xf>
    <xf numFmtId="0" fontId="11" fillId="7" borderId="33" xfId="0" applyFont="1" applyFill="1" applyBorder="1" applyAlignment="1">
      <alignment horizontal="center" vertical="top"/>
    </xf>
    <xf numFmtId="0" fontId="26" fillId="14" borderId="7" xfId="0" applyFont="1" applyFill="1" applyBorder="1" applyAlignment="1">
      <alignment horizontal="center"/>
    </xf>
    <xf numFmtId="0" fontId="11" fillId="6" borderId="0" xfId="0" applyFont="1" applyFill="1"/>
    <xf numFmtId="0" fontId="26" fillId="6" borderId="0" xfId="0" applyFont="1" applyFill="1" applyAlignment="1">
      <alignment horizontal="right" wrapText="1"/>
    </xf>
    <xf numFmtId="165" fontId="26" fillId="6" borderId="0" xfId="0" applyNumberFormat="1" applyFont="1" applyFill="1" applyAlignment="1">
      <alignment horizontal="center" wrapText="1"/>
    </xf>
    <xf numFmtId="0" fontId="12" fillId="7" borderId="7" xfId="0" applyFont="1" applyFill="1" applyBorder="1" applyProtection="1">
      <protection locked="0"/>
    </xf>
    <xf numFmtId="174" fontId="50" fillId="0" borderId="7" xfId="0" applyNumberFormat="1" applyFont="1" applyBorder="1" applyProtection="1">
      <protection locked="0"/>
    </xf>
    <xf numFmtId="174" fontId="12" fillId="7" borderId="7" xfId="3" applyNumberFormat="1" applyFont="1" applyFill="1" applyBorder="1" applyProtection="1">
      <protection locked="0"/>
    </xf>
    <xf numFmtId="170" fontId="50" fillId="0" borderId="5" xfId="0" applyNumberFormat="1" applyFont="1" applyBorder="1" applyProtection="1">
      <protection locked="0"/>
    </xf>
    <xf numFmtId="170" fontId="12" fillId="7" borderId="5" xfId="3" applyNumberFormat="1" applyFont="1" applyFill="1" applyBorder="1" applyProtection="1">
      <protection locked="0"/>
    </xf>
    <xf numFmtId="0" fontId="12" fillId="7" borderId="2" xfId="0" applyFont="1" applyFill="1" applyBorder="1" applyProtection="1">
      <protection locked="0"/>
    </xf>
    <xf numFmtId="170" fontId="50" fillId="0" borderId="2" xfId="0" applyNumberFormat="1" applyFont="1" applyBorder="1" applyProtection="1">
      <protection locked="0"/>
    </xf>
    <xf numFmtId="170" fontId="11" fillId="7" borderId="2" xfId="3" applyNumberFormat="1" applyFont="1" applyFill="1" applyBorder="1" applyProtection="1">
      <protection locked="0"/>
    </xf>
    <xf numFmtId="44" fontId="11" fillId="0" borderId="0" xfId="3" applyFont="1" applyFill="1" applyBorder="1"/>
    <xf numFmtId="174" fontId="26" fillId="0" borderId="0" xfId="3" applyNumberFormat="1" applyFont="1" applyFill="1" applyBorder="1"/>
    <xf numFmtId="0" fontId="0" fillId="9" borderId="0" xfId="0" applyFill="1"/>
    <xf numFmtId="166" fontId="11" fillId="0" borderId="0" xfId="1" applyNumberFormat="1" applyFont="1" applyFill="1" applyBorder="1" applyAlignment="1" applyProtection="1">
      <alignment horizontal="center" wrapText="1"/>
    </xf>
    <xf numFmtId="0" fontId="11" fillId="0" borderId="0" xfId="1" applyFont="1" applyFill="1" applyBorder="1" applyAlignment="1" applyProtection="1">
      <alignment horizontal="left" wrapText="1"/>
    </xf>
    <xf numFmtId="0" fontId="11" fillId="0" borderId="0" xfId="1" applyFont="1" applyFill="1" applyBorder="1" applyAlignment="1" applyProtection="1">
      <alignment horizontal="left" wrapText="1"/>
      <protection locked="0"/>
    </xf>
    <xf numFmtId="0" fontId="26" fillId="0" borderId="0" xfId="0" applyFont="1" applyAlignment="1">
      <alignment horizontal="center" vertical="top"/>
    </xf>
    <xf numFmtId="0" fontId="26" fillId="6" borderId="8" xfId="0" applyFont="1" applyFill="1" applyBorder="1" applyAlignment="1">
      <alignment horizontal="right"/>
    </xf>
    <xf numFmtId="0" fontId="26" fillId="6" borderId="9" xfId="0" applyFont="1" applyFill="1" applyBorder="1" applyAlignment="1">
      <alignment horizontal="right"/>
    </xf>
    <xf numFmtId="0" fontId="34" fillId="6" borderId="43" xfId="0" applyFont="1" applyFill="1" applyBorder="1" applyAlignment="1">
      <alignment horizontal="right" vertical="top"/>
    </xf>
    <xf numFmtId="0" fontId="34" fillId="6" borderId="0" xfId="0" quotePrefix="1" applyFont="1" applyFill="1" applyAlignment="1">
      <alignment horizontal="right" vertical="top"/>
    </xf>
    <xf numFmtId="0" fontId="34" fillId="6" borderId="0" xfId="0" applyFont="1" applyFill="1" applyAlignment="1">
      <alignment horizontal="right" vertical="top"/>
    </xf>
    <xf numFmtId="0" fontId="34" fillId="6" borderId="74" xfId="0" applyFont="1" applyFill="1" applyBorder="1" applyAlignment="1">
      <alignment horizontal="right" vertical="top"/>
    </xf>
    <xf numFmtId="0" fontId="34" fillId="6" borderId="18" xfId="0" applyFont="1" applyFill="1" applyBorder="1" applyAlignment="1">
      <alignment horizontal="right" vertical="top"/>
    </xf>
    <xf numFmtId="0" fontId="34" fillId="6" borderId="2" xfId="0" applyFont="1" applyFill="1" applyBorder="1" applyAlignment="1">
      <alignment horizontal="right" vertical="top"/>
    </xf>
    <xf numFmtId="0" fontId="34" fillId="6" borderId="13" xfId="0" applyFont="1" applyFill="1" applyBorder="1" applyAlignment="1">
      <alignment horizontal="right" vertical="top"/>
    </xf>
    <xf numFmtId="0" fontId="34" fillId="0" borderId="39" xfId="0" applyFont="1" applyBorder="1"/>
    <xf numFmtId="0" fontId="59" fillId="0" borderId="39" xfId="1" applyFont="1" applyFill="1" applyBorder="1" applyAlignment="1" applyProtection="1">
      <alignment horizontal="right" wrapText="1" indent="1"/>
    </xf>
    <xf numFmtId="0" fontId="29" fillId="0" borderId="39" xfId="0" applyFont="1" applyBorder="1" applyAlignment="1">
      <alignment horizontal="center" vertical="top"/>
    </xf>
    <xf numFmtId="198" fontId="29" fillId="0" borderId="0" xfId="0" applyNumberFormat="1" applyFont="1" applyAlignment="1">
      <alignment horizontal="right" vertical="top"/>
    </xf>
    <xf numFmtId="0" fontId="59" fillId="0" borderId="3" xfId="1" applyFont="1" applyBorder="1" applyAlignment="1" applyProtection="1">
      <alignment horizontal="right" wrapText="1" indent="1"/>
    </xf>
    <xf numFmtId="174" fontId="29" fillId="0" borderId="3" xfId="0" applyNumberFormat="1" applyFont="1" applyBorder="1" applyAlignment="1">
      <alignment horizontal="center" vertical="top"/>
    </xf>
    <xf numFmtId="0" fontId="29" fillId="0" borderId="3" xfId="0" applyFont="1" applyBorder="1" applyAlignment="1">
      <alignment horizontal="right" vertical="top"/>
    </xf>
    <xf numFmtId="170" fontId="29" fillId="0" borderId="3" xfId="0" applyNumberFormat="1" applyFont="1" applyBorder="1" applyAlignment="1">
      <alignment horizontal="right" vertical="top"/>
    </xf>
    <xf numFmtId="0" fontId="59" fillId="0" borderId="5" xfId="1" applyFont="1" applyBorder="1" applyAlignment="1" applyProtection="1">
      <alignment horizontal="right" wrapText="1" indent="1"/>
    </xf>
    <xf numFmtId="174" fontId="29" fillId="0" borderId="5" xfId="0" applyNumberFormat="1" applyFont="1" applyBorder="1" applyAlignment="1">
      <alignment horizontal="center" vertical="top"/>
    </xf>
    <xf numFmtId="174" fontId="29" fillId="0" borderId="5" xfId="0" applyNumberFormat="1" applyFont="1" applyBorder="1" applyAlignment="1">
      <alignment horizontal="right" vertical="top"/>
    </xf>
    <xf numFmtId="170" fontId="29" fillId="0" borderId="5" xfId="0" applyNumberFormat="1" applyFont="1" applyBorder="1" applyAlignment="1">
      <alignment horizontal="right" vertical="top"/>
    </xf>
    <xf numFmtId="0" fontId="29" fillId="14" borderId="5" xfId="0" applyFont="1" applyFill="1" applyBorder="1"/>
    <xf numFmtId="0" fontId="26" fillId="13" borderId="5" xfId="0" applyFont="1" applyFill="1" applyBorder="1" applyAlignment="1" applyProtection="1">
      <alignment horizontal="center" vertical="top"/>
      <protection locked="0"/>
    </xf>
    <xf numFmtId="0" fontId="11" fillId="0" borderId="5" xfId="0" applyFont="1" applyBorder="1" applyAlignment="1">
      <alignment horizontal="right" vertical="top"/>
    </xf>
    <xf numFmtId="170" fontId="26" fillId="0" borderId="5" xfId="0" applyNumberFormat="1" applyFont="1" applyBorder="1" applyAlignment="1">
      <alignment horizontal="right" vertical="top"/>
    </xf>
    <xf numFmtId="0" fontId="29" fillId="14" borderId="0" xfId="0" applyFont="1" applyFill="1"/>
    <xf numFmtId="0" fontId="11" fillId="0" borderId="0" xfId="0" applyFont="1" applyAlignment="1">
      <alignment horizontal="right" vertical="top"/>
    </xf>
    <xf numFmtId="170" fontId="26" fillId="0" borderId="0" xfId="0" applyNumberFormat="1" applyFont="1" applyAlignment="1">
      <alignment horizontal="right" vertical="top"/>
    </xf>
    <xf numFmtId="0" fontId="11" fillId="0" borderId="0" xfId="0" quotePrefix="1" applyFont="1" applyAlignment="1">
      <alignment horizontal="right" vertical="top"/>
    </xf>
    <xf numFmtId="0" fontId="11" fillId="14" borderId="2" xfId="0" applyFont="1" applyFill="1" applyBorder="1" applyAlignment="1">
      <alignment wrapText="1"/>
    </xf>
    <xf numFmtId="0" fontId="11" fillId="0" borderId="2" xfId="0" applyFont="1" applyBorder="1" applyAlignment="1">
      <alignment horizontal="center" vertical="top"/>
    </xf>
    <xf numFmtId="0" fontId="11" fillId="0" borderId="2" xfId="0" applyFont="1" applyBorder="1" applyAlignment="1">
      <alignment horizontal="right" vertical="top"/>
    </xf>
    <xf numFmtId="0" fontId="63" fillId="7" borderId="29" xfId="0" applyFont="1" applyFill="1" applyBorder="1" applyProtection="1">
      <protection locked="0"/>
    </xf>
    <xf numFmtId="174" fontId="11" fillId="0" borderId="29" xfId="0" applyNumberFormat="1" applyFont="1" applyBorder="1" applyAlignment="1" applyProtection="1">
      <alignment horizontal="right" vertical="top"/>
      <protection locked="0"/>
    </xf>
    <xf numFmtId="0" fontId="12" fillId="7" borderId="4" xfId="0" applyFont="1" applyFill="1" applyBorder="1" applyProtection="1">
      <protection locked="0"/>
    </xf>
    <xf numFmtId="174" fontId="12" fillId="7" borderId="4" xfId="0" applyNumberFormat="1" applyFont="1" applyFill="1" applyBorder="1" applyProtection="1">
      <protection locked="0"/>
    </xf>
    <xf numFmtId="174" fontId="11" fillId="0" borderId="4" xfId="0" applyNumberFormat="1" applyFont="1" applyBorder="1" applyAlignment="1" applyProtection="1">
      <alignment horizontal="right" vertical="top"/>
      <protection locked="0"/>
    </xf>
    <xf numFmtId="175" fontId="12" fillId="7" borderId="4" xfId="0" applyNumberFormat="1" applyFont="1" applyFill="1" applyBorder="1" applyProtection="1">
      <protection locked="0"/>
    </xf>
    <xf numFmtId="0" fontId="12" fillId="7" borderId="33" xfId="0" applyFont="1" applyFill="1" applyBorder="1" applyProtection="1">
      <protection locked="0"/>
    </xf>
    <xf numFmtId="175" fontId="12" fillId="7" borderId="33" xfId="0" applyNumberFormat="1" applyFont="1" applyFill="1" applyBorder="1" applyProtection="1">
      <protection locked="0"/>
    </xf>
    <xf numFmtId="174" fontId="11" fillId="0" borderId="33" xfId="0" applyNumberFormat="1" applyFont="1" applyBorder="1" applyAlignment="1" applyProtection="1">
      <alignment horizontal="right" vertical="top"/>
      <protection locked="0"/>
    </xf>
    <xf numFmtId="0" fontId="12" fillId="0" borderId="0" xfId="0" applyFont="1"/>
    <xf numFmtId="175" fontId="12" fillId="0" borderId="0" xfId="0" applyNumberFormat="1" applyFont="1"/>
    <xf numFmtId="174" fontId="26" fillId="14" borderId="0" xfId="0" applyNumberFormat="1" applyFont="1" applyFill="1" applyAlignment="1">
      <alignment horizontal="right"/>
    </xf>
    <xf numFmtId="0" fontId="50" fillId="0" borderId="0" xfId="0" quotePrefix="1" applyFont="1"/>
    <xf numFmtId="0" fontId="26" fillId="0" borderId="0" xfId="0" quotePrefix="1" applyFont="1" applyAlignment="1">
      <alignment horizontal="center"/>
    </xf>
    <xf numFmtId="0" fontId="62" fillId="0" borderId="2" xfId="0" applyFont="1" applyBorder="1"/>
    <xf numFmtId="0" fontId="11" fillId="14" borderId="0" xfId="0" applyFont="1" applyFill="1" applyAlignment="1">
      <alignment wrapText="1"/>
    </xf>
    <xf numFmtId="0" fontId="12" fillId="7" borderId="44" xfId="0" applyFont="1" applyFill="1" applyBorder="1" applyAlignment="1" applyProtection="1">
      <alignment horizontal="center" vertical="center"/>
      <protection locked="0"/>
    </xf>
    <xf numFmtId="174" fontId="11" fillId="0" borderId="0" xfId="0" applyNumberFormat="1" applyFont="1" applyAlignment="1" applyProtection="1">
      <alignment horizontal="center" vertical="top"/>
      <protection locked="0"/>
    </xf>
    <xf numFmtId="0" fontId="12" fillId="7" borderId="70" xfId="0" applyFont="1" applyFill="1" applyBorder="1" applyAlignment="1" applyProtection="1">
      <alignment horizontal="center" vertical="center"/>
      <protection locked="0"/>
    </xf>
    <xf numFmtId="0" fontId="12" fillId="7" borderId="29" xfId="0" applyFont="1" applyFill="1" applyBorder="1" applyAlignment="1" applyProtection="1">
      <alignment horizontal="center" vertical="center"/>
      <protection locked="0"/>
    </xf>
    <xf numFmtId="170" fontId="12" fillId="7" borderId="75" xfId="0" applyNumberFormat="1" applyFont="1" applyFill="1" applyBorder="1" applyAlignment="1" applyProtection="1">
      <alignment horizontal="center" vertical="center"/>
      <protection locked="0"/>
    </xf>
    <xf numFmtId="170" fontId="12" fillId="7" borderId="76" xfId="0" applyNumberFormat="1" applyFont="1" applyFill="1" applyBorder="1" applyAlignment="1" applyProtection="1">
      <alignment horizontal="center" vertical="center"/>
      <protection locked="0"/>
    </xf>
    <xf numFmtId="0" fontId="12" fillId="7" borderId="77" xfId="0" applyFont="1" applyFill="1" applyBorder="1" applyAlignment="1" applyProtection="1">
      <alignment horizontal="center" vertical="center"/>
      <protection locked="0"/>
    </xf>
    <xf numFmtId="0" fontId="12" fillId="7" borderId="4" xfId="0" applyFont="1" applyFill="1" applyBorder="1" applyAlignment="1" applyProtection="1">
      <alignment horizontal="center" vertical="center"/>
      <protection locked="0"/>
    </xf>
    <xf numFmtId="0" fontId="12" fillId="7" borderId="71" xfId="0" applyFont="1" applyFill="1" applyBorder="1" applyAlignment="1" applyProtection="1">
      <alignment horizontal="center" vertical="center"/>
      <protection locked="0"/>
    </xf>
    <xf numFmtId="170" fontId="12" fillId="7" borderId="78" xfId="0" applyNumberFormat="1" applyFont="1" applyFill="1" applyBorder="1" applyAlignment="1" applyProtection="1">
      <alignment horizontal="center" vertical="center"/>
      <protection locked="0"/>
    </xf>
    <xf numFmtId="170" fontId="12" fillId="7" borderId="79" xfId="0" applyNumberFormat="1" applyFont="1" applyFill="1" applyBorder="1" applyAlignment="1" applyProtection="1">
      <alignment horizontal="center" vertical="center"/>
      <protection locked="0"/>
    </xf>
    <xf numFmtId="0" fontId="12" fillId="7" borderId="73" xfId="0" applyFont="1" applyFill="1" applyBorder="1" applyAlignment="1" applyProtection="1">
      <alignment horizontal="center" vertical="center"/>
      <protection locked="0"/>
    </xf>
    <xf numFmtId="0" fontId="12" fillId="7" borderId="33" xfId="0" applyFont="1" applyFill="1" applyBorder="1" applyAlignment="1" applyProtection="1">
      <alignment horizontal="center" vertical="center"/>
      <protection locked="0"/>
    </xf>
    <xf numFmtId="9" fontId="11" fillId="14" borderId="0" xfId="4" applyFont="1" applyFill="1" applyBorder="1" applyAlignment="1" applyProtection="1">
      <alignment horizontal="center" vertical="top"/>
    </xf>
    <xf numFmtId="9" fontId="11" fillId="14" borderId="0" xfId="4" applyFont="1" applyFill="1" applyBorder="1" applyAlignment="1">
      <alignment horizontal="center" vertical="top"/>
    </xf>
    <xf numFmtId="0" fontId="22" fillId="0" borderId="0" xfId="5" applyFont="1"/>
    <xf numFmtId="0" fontId="23" fillId="0" borderId="0" xfId="5" applyFont="1"/>
    <xf numFmtId="0" fontId="24" fillId="0" borderId="0" xfId="5" applyFont="1"/>
    <xf numFmtId="170" fontId="82" fillId="0" borderId="0" xfId="5" applyNumberFormat="1" applyFont="1"/>
    <xf numFmtId="170" fontId="83" fillId="0" borderId="0" xfId="1" applyNumberFormat="1" applyFont="1" applyAlignment="1" applyProtection="1"/>
    <xf numFmtId="0" fontId="84" fillId="0" borderId="0" xfId="5" applyFont="1"/>
    <xf numFmtId="0" fontId="20" fillId="0" borderId="5" xfId="1" applyFont="1" applyBorder="1" applyAlignment="1" applyProtection="1">
      <alignment horizontal="left"/>
    </xf>
    <xf numFmtId="43" fontId="19" fillId="0" borderId="0" xfId="2" applyFont="1" applyProtection="1"/>
    <xf numFmtId="0" fontId="85" fillId="0" borderId="0" xfId="0" applyFont="1"/>
    <xf numFmtId="43" fontId="11" fillId="0" borderId="0" xfId="2" applyFont="1" applyFill="1" applyProtection="1"/>
    <xf numFmtId="0" fontId="86" fillId="13" borderId="2" xfId="0" applyFont="1" applyFill="1" applyBorder="1"/>
    <xf numFmtId="0" fontId="87" fillId="13" borderId="2" xfId="0" applyFont="1" applyFill="1" applyBorder="1"/>
    <xf numFmtId="0" fontId="87" fillId="0" borderId="0" xfId="0" applyFont="1"/>
    <xf numFmtId="0" fontId="86" fillId="0" borderId="0" xfId="0" applyFont="1"/>
    <xf numFmtId="0" fontId="88" fillId="9" borderId="0" xfId="1" applyFont="1" applyFill="1" applyAlignment="1" applyProtection="1"/>
    <xf numFmtId="0" fontId="86" fillId="9" borderId="0" xfId="0" applyFont="1" applyFill="1"/>
    <xf numFmtId="0" fontId="86" fillId="0" borderId="2" xfId="0" applyFont="1" applyBorder="1"/>
    <xf numFmtId="0" fontId="2" fillId="0" borderId="2" xfId="0" applyFont="1" applyBorder="1" applyAlignment="1">
      <alignment horizontal="right"/>
    </xf>
    <xf numFmtId="174" fontId="0" fillId="8" borderId="0" xfId="0" applyNumberFormat="1" applyFill="1"/>
    <xf numFmtId="174" fontId="0" fillId="9" borderId="0" xfId="0" applyNumberFormat="1" applyFill="1"/>
    <xf numFmtId="0" fontId="0" fillId="0" borderId="0" xfId="0" quotePrefix="1"/>
    <xf numFmtId="0" fontId="87" fillId="0" borderId="5" xfId="0" applyFont="1" applyBorder="1"/>
    <xf numFmtId="170" fontId="0" fillId="8" borderId="5" xfId="0" applyNumberFormat="1" applyFill="1" applyBorder="1"/>
    <xf numFmtId="170" fontId="0" fillId="9" borderId="5" xfId="0" applyNumberFormat="1" applyFill="1" applyBorder="1"/>
    <xf numFmtId="174" fontId="0" fillId="8" borderId="5" xfId="0" applyNumberFormat="1" applyFill="1" applyBorder="1"/>
    <xf numFmtId="174" fontId="0" fillId="9" borderId="5" xfId="0" applyNumberFormat="1" applyFill="1" applyBorder="1"/>
    <xf numFmtId="0" fontId="87" fillId="15" borderId="0" xfId="0" applyFont="1" applyFill="1"/>
    <xf numFmtId="0" fontId="0" fillId="15" borderId="0" xfId="0" applyFill="1"/>
    <xf numFmtId="0" fontId="88" fillId="7" borderId="0" xfId="1" applyFont="1" applyFill="1" applyAlignment="1" applyProtection="1"/>
    <xf numFmtId="0" fontId="86" fillId="7" borderId="0" xfId="0" applyFont="1" applyFill="1"/>
    <xf numFmtId="0" fontId="2" fillId="7" borderId="0" xfId="0" applyFont="1" applyFill="1"/>
    <xf numFmtId="0" fontId="0" fillId="7" borderId="0" xfId="0" applyFill="1"/>
    <xf numFmtId="0" fontId="87" fillId="9" borderId="0" xfId="0" applyFont="1" applyFill="1"/>
    <xf numFmtId="174" fontId="87" fillId="7" borderId="0" xfId="0" applyNumberFormat="1" applyFont="1" applyFill="1" applyAlignment="1">
      <alignment horizontal="right"/>
    </xf>
    <xf numFmtId="0" fontId="87" fillId="9" borderId="5" xfId="0" applyFont="1" applyFill="1" applyBorder="1"/>
    <xf numFmtId="175" fontId="87" fillId="9" borderId="5" xfId="0" applyNumberFormat="1" applyFont="1" applyFill="1" applyBorder="1"/>
    <xf numFmtId="0" fontId="14" fillId="0" borderId="0" xfId="0" applyFont="1"/>
    <xf numFmtId="0" fontId="88" fillId="0" borderId="0" xfId="1" applyFont="1" applyAlignment="1" applyProtection="1"/>
    <xf numFmtId="0" fontId="89" fillId="0" borderId="0" xfId="6" applyFont="1" applyAlignment="1">
      <alignment horizontal="center"/>
    </xf>
    <xf numFmtId="0" fontId="86" fillId="6" borderId="0" xfId="0" applyFont="1" applyFill="1"/>
    <xf numFmtId="0" fontId="87" fillId="6" borderId="0" xfId="0" applyFont="1" applyFill="1"/>
    <xf numFmtId="0" fontId="0" fillId="6" borderId="0" xfId="0" applyFill="1"/>
    <xf numFmtId="0" fontId="90" fillId="0" borderId="0" xfId="6" applyFont="1" applyAlignment="1">
      <alignment horizontal="center"/>
    </xf>
    <xf numFmtId="0" fontId="91" fillId="0" borderId="0" xfId="6" applyFont="1" applyAlignment="1">
      <alignment horizontal="center"/>
    </xf>
    <xf numFmtId="212" fontId="91" fillId="0" borderId="0" xfId="6" applyNumberFormat="1" applyFont="1" applyAlignment="1">
      <alignment horizontal="center"/>
    </xf>
    <xf numFmtId="0" fontId="86" fillId="15" borderId="2" xfId="0" applyFont="1" applyFill="1" applyBorder="1"/>
    <xf numFmtId="0" fontId="87" fillId="15" borderId="2" xfId="0" applyFont="1" applyFill="1" applyBorder="1"/>
    <xf numFmtId="0" fontId="0" fillId="15" borderId="2" xfId="0" applyFill="1" applyBorder="1"/>
    <xf numFmtId="0" fontId="6" fillId="0" borderId="0" xfId="6" applyFont="1" applyAlignment="1">
      <alignment horizontal="center"/>
    </xf>
    <xf numFmtId="0" fontId="86" fillId="0" borderId="0" xfId="0" applyFont="1" applyAlignment="1">
      <alignment horizontal="center"/>
    </xf>
    <xf numFmtId="175" fontId="92" fillId="7" borderId="0" xfId="0" applyNumberFormat="1" applyFont="1" applyFill="1"/>
    <xf numFmtId="0" fontId="92" fillId="7" borderId="0" xfId="0" applyFont="1" applyFill="1"/>
    <xf numFmtId="0" fontId="93" fillId="0" borderId="0" xfId="0" applyFont="1" applyAlignment="1">
      <alignment horizontal="center"/>
    </xf>
    <xf numFmtId="0" fontId="86" fillId="0" borderId="5" xfId="0" applyFont="1" applyBorder="1"/>
    <xf numFmtId="174" fontId="87" fillId="0" borderId="5" xfId="0" applyNumberFormat="1" applyFont="1" applyBorder="1" applyAlignment="1">
      <alignment horizontal="right"/>
    </xf>
    <xf numFmtId="174" fontId="87" fillId="0" borderId="0" xfId="0" applyNumberFormat="1" applyFont="1" applyAlignment="1">
      <alignment horizontal="right"/>
    </xf>
    <xf numFmtId="0" fontId="92" fillId="0" borderId="0" xfId="0" applyFont="1"/>
    <xf numFmtId="0" fontId="2" fillId="0" borderId="2" xfId="0" quotePrefix="1" applyFont="1" applyBorder="1" applyAlignment="1">
      <alignment horizontal="right"/>
    </xf>
    <xf numFmtId="0" fontId="87" fillId="8" borderId="0" xfId="0" applyFont="1" applyFill="1"/>
    <xf numFmtId="176" fontId="0" fillId="0" borderId="0" xfId="0" applyNumberFormat="1"/>
    <xf numFmtId="0" fontId="87" fillId="8" borderId="5" xfId="0" applyFont="1" applyFill="1" applyBorder="1"/>
    <xf numFmtId="0" fontId="2" fillId="0" borderId="2" xfId="0" applyFont="1" applyBorder="1" applyAlignment="1">
      <alignment horizontal="right" wrapText="1"/>
    </xf>
    <xf numFmtId="174" fontId="0" fillId="0" borderId="0" xfId="0" applyNumberFormat="1"/>
    <xf numFmtId="170" fontId="0" fillId="0" borderId="5" xfId="0" applyNumberFormat="1" applyBorder="1"/>
    <xf numFmtId="0" fontId="87" fillId="0" borderId="31" xfId="0" applyFont="1" applyBorder="1"/>
    <xf numFmtId="170" fontId="0" fillId="0" borderId="31" xfId="0" applyNumberFormat="1" applyBorder="1"/>
    <xf numFmtId="170" fontId="0" fillId="9" borderId="31" xfId="0" applyNumberFormat="1" applyFill="1" applyBorder="1"/>
    <xf numFmtId="176" fontId="0" fillId="0" borderId="2" xfId="0" applyNumberFormat="1" applyBorder="1"/>
    <xf numFmtId="176" fontId="87" fillId="7" borderId="0" xfId="0" applyNumberFormat="1" applyFont="1" applyFill="1" applyAlignment="1">
      <alignment horizontal="right"/>
    </xf>
    <xf numFmtId="175" fontId="87" fillId="7" borderId="0" xfId="0" applyNumberFormat="1" applyFont="1" applyFill="1" applyAlignment="1">
      <alignment horizontal="right"/>
    </xf>
    <xf numFmtId="202" fontId="0" fillId="0" borderId="0" xfId="0" applyNumberFormat="1"/>
    <xf numFmtId="8" fontId="0" fillId="0" borderId="0" xfId="0" applyNumberFormat="1"/>
    <xf numFmtId="0" fontId="94" fillId="0" borderId="0" xfId="0" applyFont="1"/>
    <xf numFmtId="0" fontId="34" fillId="0" borderId="7" xfId="6" applyFont="1" applyBorder="1" applyAlignment="1">
      <alignment horizontal="left"/>
    </xf>
    <xf numFmtId="43" fontId="29" fillId="0" borderId="7" xfId="2" applyFont="1" applyBorder="1" applyProtection="1"/>
    <xf numFmtId="170" fontId="29" fillId="0" borderId="7" xfId="11" applyNumberFormat="1" applyFont="1" applyBorder="1" applyAlignment="1" applyProtection="1">
      <alignment horizontal="center"/>
    </xf>
    <xf numFmtId="43" fontId="87" fillId="0" borderId="7" xfId="2" applyFont="1" applyBorder="1" applyProtection="1"/>
    <xf numFmtId="0" fontId="87" fillId="0" borderId="7" xfId="0" applyFont="1" applyBorder="1"/>
    <xf numFmtId="0" fontId="95" fillId="0" borderId="0" xfId="0" applyFont="1"/>
    <xf numFmtId="0" fontId="95" fillId="0" borderId="0" xfId="0" applyFont="1" applyAlignment="1">
      <alignment horizontal="center"/>
    </xf>
    <xf numFmtId="0" fontId="91" fillId="0" borderId="0" xfId="0" applyFont="1" applyAlignment="1">
      <alignment horizontal="center" vertical="center"/>
    </xf>
    <xf numFmtId="0" fontId="29" fillId="0" borderId="0" xfId="6" applyFont="1" applyAlignment="1">
      <alignment horizontal="right"/>
    </xf>
    <xf numFmtId="43" fontId="29" fillId="0" borderId="0" xfId="2" applyFont="1" applyBorder="1" applyProtection="1"/>
    <xf numFmtId="170" fontId="29" fillId="0" borderId="0" xfId="11" applyNumberFormat="1" applyFont="1" applyBorder="1" applyAlignment="1" applyProtection="1">
      <alignment horizontal="center"/>
    </xf>
    <xf numFmtId="0" fontId="87" fillId="9" borderId="44" xfId="0" applyFont="1" applyFill="1" applyBorder="1"/>
    <xf numFmtId="170" fontId="87" fillId="10" borderId="44" xfId="0" applyNumberFormat="1" applyFont="1" applyFill="1" applyBorder="1"/>
    <xf numFmtId="0" fontId="2" fillId="10" borderId="0" xfId="0" applyFont="1" applyFill="1"/>
    <xf numFmtId="0" fontId="87" fillId="9" borderId="45" xfId="0" applyFont="1" applyFill="1" applyBorder="1"/>
    <xf numFmtId="170" fontId="87" fillId="10" borderId="45" xfId="0" applyNumberFormat="1" applyFont="1" applyFill="1" applyBorder="1"/>
    <xf numFmtId="0" fontId="0" fillId="0" borderId="7" xfId="0" applyBorder="1"/>
    <xf numFmtId="170" fontId="0" fillId="0" borderId="7" xfId="0" applyNumberFormat="1" applyBorder="1"/>
    <xf numFmtId="170" fontId="0" fillId="0" borderId="0" xfId="0" applyNumberFormat="1"/>
    <xf numFmtId="0" fontId="21" fillId="0" borderId="2" xfId="0" applyFont="1" applyBorder="1" applyAlignment="1">
      <alignment horizontal="center"/>
    </xf>
    <xf numFmtId="0" fontId="95" fillId="0" borderId="0" xfId="0" applyFont="1" applyAlignment="1">
      <alignment horizontal="left"/>
    </xf>
    <xf numFmtId="0" fontId="21" fillId="0" borderId="0" xfId="0" applyFont="1" applyAlignment="1">
      <alignment horizontal="center"/>
    </xf>
    <xf numFmtId="0" fontId="21" fillId="0" borderId="0" xfId="0" applyFont="1"/>
    <xf numFmtId="0" fontId="21" fillId="7" borderId="4" xfId="0" applyFont="1" applyFill="1" applyBorder="1" applyAlignment="1">
      <alignment horizontal="center"/>
    </xf>
    <xf numFmtId="0" fontId="21" fillId="7" borderId="0" xfId="0" applyFont="1" applyFill="1" applyAlignment="1">
      <alignment horizontal="center"/>
    </xf>
    <xf numFmtId="0" fontId="0" fillId="10" borderId="0" xfId="0" applyFill="1"/>
    <xf numFmtId="0" fontId="21" fillId="0" borderId="2" xfId="0" applyFont="1" applyBorder="1"/>
    <xf numFmtId="0" fontId="95" fillId="0" borderId="2" xfId="0" applyFont="1" applyBorder="1"/>
    <xf numFmtId="0" fontId="95" fillId="0" borderId="2" xfId="0" applyFont="1" applyBorder="1" applyAlignment="1">
      <alignment horizontal="center"/>
    </xf>
    <xf numFmtId="0" fontId="90" fillId="0" borderId="0" xfId="0" applyFont="1" applyAlignment="1">
      <alignment horizontal="center"/>
    </xf>
    <xf numFmtId="0" fontId="96" fillId="7" borderId="63" xfId="0" applyFont="1" applyFill="1" applyBorder="1" applyAlignment="1">
      <alignment horizontal="center"/>
    </xf>
    <xf numFmtId="0" fontId="97" fillId="7" borderId="63" xfId="0" applyFont="1" applyFill="1" applyBorder="1" applyAlignment="1">
      <alignment horizontal="center" vertical="center"/>
    </xf>
    <xf numFmtId="9" fontId="0" fillId="0" borderId="0" xfId="0" applyNumberFormat="1"/>
    <xf numFmtId="9" fontId="0" fillId="7" borderId="0" xfId="0" applyNumberFormat="1" applyFill="1"/>
    <xf numFmtId="0" fontId="0" fillId="0" borderId="0" xfId="0" applyAlignment="1">
      <alignment horizontal="left"/>
    </xf>
    <xf numFmtId="0" fontId="98" fillId="0" borderId="0" xfId="0" applyFont="1" applyAlignment="1">
      <alignment horizontal="center"/>
    </xf>
    <xf numFmtId="0" fontId="91" fillId="0" borderId="2" xfId="0" applyFont="1" applyBorder="1" applyAlignment="1">
      <alignment horizontal="center" vertical="center"/>
    </xf>
    <xf numFmtId="0" fontId="21" fillId="0" borderId="2" xfId="0" applyFont="1" applyBorder="1" applyAlignment="1">
      <alignment horizontal="left"/>
    </xf>
    <xf numFmtId="0" fontId="2" fillId="0" borderId="2" xfId="0" applyFont="1" applyBorder="1" applyAlignment="1">
      <alignment horizontal="center"/>
    </xf>
    <xf numFmtId="0" fontId="4" fillId="13" borderId="0" xfId="0" applyFont="1" applyFill="1" applyAlignment="1">
      <alignment horizontal="center"/>
    </xf>
    <xf numFmtId="170" fontId="21" fillId="9" borderId="63" xfId="0" applyNumberFormat="1" applyFont="1" applyFill="1" applyBorder="1" applyAlignment="1">
      <alignment horizontal="center"/>
    </xf>
    <xf numFmtId="170" fontId="99" fillId="0" borderId="0" xfId="0" applyNumberFormat="1" applyFont="1" applyAlignment="1">
      <alignment horizontal="center"/>
    </xf>
    <xf numFmtId="0" fontId="100" fillId="0" borderId="0" xfId="0" applyFont="1"/>
    <xf numFmtId="175" fontId="100" fillId="0" borderId="0" xfId="0" applyNumberFormat="1" applyFont="1" applyAlignment="1">
      <alignment horizontal="center"/>
    </xf>
    <xf numFmtId="175" fontId="18" fillId="0" borderId="0" xfId="0" applyNumberFormat="1" applyFont="1" applyAlignment="1">
      <alignment horizontal="center"/>
    </xf>
    <xf numFmtId="175" fontId="95" fillId="0" borderId="7" xfId="0" applyNumberFormat="1" applyFont="1" applyBorder="1" applyAlignment="1">
      <alignment horizontal="center"/>
    </xf>
    <xf numFmtId="175" fontId="95" fillId="0" borderId="0" xfId="0" applyNumberFormat="1" applyFont="1" applyAlignment="1">
      <alignment horizontal="center"/>
    </xf>
    <xf numFmtId="175" fontId="21" fillId="0" borderId="0" xfId="0" applyNumberFormat="1" applyFont="1" applyAlignment="1">
      <alignment horizontal="center"/>
    </xf>
    <xf numFmtId="0" fontId="2" fillId="0" borderId="0" xfId="0" applyFont="1" applyAlignment="1">
      <alignment horizontal="center"/>
    </xf>
    <xf numFmtId="170" fontId="21" fillId="0" borderId="0" xfId="0" applyNumberFormat="1" applyFont="1" applyAlignment="1">
      <alignment horizontal="center"/>
    </xf>
    <xf numFmtId="175" fontId="21" fillId="0" borderId="0" xfId="0" applyNumberFormat="1" applyFont="1" applyAlignment="1">
      <alignment horizontal="left"/>
    </xf>
    <xf numFmtId="0" fontId="0" fillId="7" borderId="0" xfId="0" applyFill="1" applyAlignment="1">
      <alignment horizontal="center"/>
    </xf>
    <xf numFmtId="170" fontId="39" fillId="0" borderId="29" xfId="6" applyNumberFormat="1" applyFont="1" applyBorder="1" applyAlignment="1">
      <alignment horizontal="right"/>
    </xf>
    <xf numFmtId="170" fontId="39" fillId="0" borderId="80" xfId="6" applyNumberFormat="1" applyFont="1" applyBorder="1" applyAlignment="1">
      <alignment horizontal="right"/>
    </xf>
    <xf numFmtId="170" fontId="29" fillId="0" borderId="71" xfId="6" applyNumberFormat="1" applyFont="1" applyBorder="1" applyAlignment="1">
      <alignment horizontal="right"/>
    </xf>
    <xf numFmtId="0" fontId="0" fillId="7" borderId="5" xfId="0" applyFill="1" applyBorder="1" applyAlignment="1">
      <alignment horizontal="center"/>
    </xf>
    <xf numFmtId="170" fontId="39" fillId="0" borderId="4" xfId="6" applyNumberFormat="1" applyFont="1" applyBorder="1" applyAlignment="1">
      <alignment horizontal="right"/>
    </xf>
    <xf numFmtId="170" fontId="39" fillId="0" borderId="6" xfId="6" applyNumberFormat="1" applyFont="1" applyBorder="1" applyAlignment="1">
      <alignment horizontal="right"/>
    </xf>
    <xf numFmtId="170" fontId="39" fillId="0" borderId="45" xfId="6" applyNumberFormat="1" applyFont="1" applyBorder="1" applyAlignment="1">
      <alignment horizontal="right"/>
    </xf>
    <xf numFmtId="170" fontId="39" fillId="0" borderId="81" xfId="6" applyNumberFormat="1" applyFont="1" applyBorder="1" applyAlignment="1">
      <alignment horizontal="right"/>
    </xf>
    <xf numFmtId="170" fontId="39" fillId="0" borderId="33" xfId="6" applyNumberFormat="1" applyFont="1" applyBorder="1" applyAlignment="1">
      <alignment horizontal="right"/>
    </xf>
    <xf numFmtId="170" fontId="39" fillId="0" borderId="82" xfId="6" applyNumberFormat="1" applyFont="1" applyBorder="1" applyAlignment="1">
      <alignment horizontal="right"/>
    </xf>
    <xf numFmtId="170" fontId="29" fillId="0" borderId="73" xfId="6" applyNumberFormat="1" applyFont="1" applyBorder="1" applyAlignment="1">
      <alignment horizontal="right"/>
    </xf>
    <xf numFmtId="0" fontId="0" fillId="6" borderId="7" xfId="0" applyFill="1" applyBorder="1"/>
    <xf numFmtId="0" fontId="0" fillId="7" borderId="7" xfId="0" applyFill="1" applyBorder="1" applyAlignment="1">
      <alignment horizontal="center"/>
    </xf>
    <xf numFmtId="174" fontId="2" fillId="0" borderId="83" xfId="0" applyNumberFormat="1" applyFont="1" applyBorder="1"/>
    <xf numFmtId="170" fontId="101" fillId="0" borderId="48" xfId="6" applyNumberFormat="1" applyFont="1" applyBorder="1" applyAlignment="1">
      <alignment horizontal="right"/>
    </xf>
    <xf numFmtId="170" fontId="101" fillId="0" borderId="84" xfId="6" applyNumberFormat="1" applyFont="1" applyBorder="1" applyAlignment="1">
      <alignment horizontal="right"/>
    </xf>
    <xf numFmtId="170" fontId="29" fillId="0" borderId="85" xfId="6" applyNumberFormat="1" applyFont="1" applyBorder="1" applyAlignment="1">
      <alignment horizontal="right"/>
    </xf>
    <xf numFmtId="0" fontId="102" fillId="0" borderId="0" xfId="0" applyFont="1" applyAlignment="1">
      <alignment horizontal="center"/>
    </xf>
    <xf numFmtId="174" fontId="29" fillId="0" borderId="7" xfId="6" applyNumberFormat="1" applyFont="1" applyBorder="1" applyAlignment="1">
      <alignment horizontal="right"/>
    </xf>
    <xf numFmtId="174" fontId="34" fillId="0" borderId="7" xfId="6" applyNumberFormat="1" applyFont="1" applyBorder="1" applyAlignment="1">
      <alignment horizontal="right"/>
    </xf>
    <xf numFmtId="0" fontId="18" fillId="0" borderId="0" xfId="0" applyFont="1"/>
    <xf numFmtId="174" fontId="39" fillId="0" borderId="0" xfId="0" applyNumberFormat="1" applyFont="1" applyAlignment="1">
      <alignment horizontal="right"/>
    </xf>
    <xf numFmtId="175" fontId="39" fillId="0" borderId="0" xfId="0" applyNumberFormat="1" applyFont="1" applyAlignment="1">
      <alignment horizontal="right"/>
    </xf>
    <xf numFmtId="0" fontId="4" fillId="2" borderId="0" xfId="0" applyFont="1" applyFill="1" applyAlignment="1">
      <alignment horizontal="center"/>
    </xf>
    <xf numFmtId="0" fontId="2" fillId="0" borderId="2" xfId="0" applyFont="1" applyBorder="1"/>
    <xf numFmtId="174" fontId="0" fillId="6" borderId="0" xfId="0" applyNumberFormat="1" applyFill="1"/>
    <xf numFmtId="170" fontId="101" fillId="0" borderId="29" xfId="6" applyNumberFormat="1" applyFont="1" applyBorder="1" applyAlignment="1">
      <alignment horizontal="right"/>
    </xf>
    <xf numFmtId="170" fontId="101" fillId="0" borderId="80" xfId="6" applyNumberFormat="1" applyFont="1" applyBorder="1" applyAlignment="1">
      <alignment horizontal="right"/>
    </xf>
    <xf numFmtId="170" fontId="29" fillId="0" borderId="77" xfId="6" applyNumberFormat="1" applyFont="1" applyBorder="1" applyAlignment="1">
      <alignment horizontal="right"/>
    </xf>
    <xf numFmtId="0" fontId="0" fillId="6" borderId="5" xfId="0" applyFill="1" applyBorder="1"/>
    <xf numFmtId="170" fontId="0" fillId="6" borderId="5" xfId="0" applyNumberFormat="1" applyFill="1" applyBorder="1"/>
    <xf numFmtId="170" fontId="101" fillId="0" borderId="4" xfId="6" applyNumberFormat="1" applyFont="1" applyBorder="1" applyAlignment="1">
      <alignment horizontal="right"/>
    </xf>
    <xf numFmtId="170" fontId="101" fillId="0" borderId="6" xfId="6" applyNumberFormat="1" applyFont="1" applyBorder="1" applyAlignment="1">
      <alignment horizontal="right"/>
    </xf>
    <xf numFmtId="170" fontId="101" fillId="0" borderId="45" xfId="6" applyNumberFormat="1" applyFont="1" applyBorder="1" applyAlignment="1">
      <alignment horizontal="right"/>
    </xf>
    <xf numFmtId="170" fontId="101" fillId="0" borderId="81" xfId="6" applyNumberFormat="1" applyFont="1" applyBorder="1" applyAlignment="1">
      <alignment horizontal="right"/>
    </xf>
    <xf numFmtId="170" fontId="101" fillId="0" borderId="33" xfId="6" applyNumberFormat="1" applyFont="1" applyBorder="1" applyAlignment="1">
      <alignment horizontal="right"/>
    </xf>
    <xf numFmtId="170" fontId="101" fillId="0" borderId="82" xfId="6" applyNumberFormat="1" applyFont="1" applyBorder="1" applyAlignment="1">
      <alignment horizontal="right"/>
    </xf>
    <xf numFmtId="174" fontId="2" fillId="6" borderId="83" xfId="0" applyNumberFormat="1" applyFont="1" applyFill="1" applyBorder="1"/>
    <xf numFmtId="174" fontId="2" fillId="7" borderId="0" xfId="0" applyNumberFormat="1" applyFont="1" applyFill="1"/>
    <xf numFmtId="174" fontId="0" fillId="0" borderId="0" xfId="0" quotePrefix="1" applyNumberFormat="1"/>
    <xf numFmtId="0" fontId="103" fillId="0" borderId="86" xfId="0" applyFont="1" applyBorder="1" applyAlignment="1">
      <alignment vertical="center" wrapText="1"/>
    </xf>
    <xf numFmtId="0" fontId="2" fillId="2" borderId="2" xfId="0" applyFont="1" applyFill="1" applyBorder="1"/>
    <xf numFmtId="170" fontId="0" fillId="2" borderId="2" xfId="0" applyNumberFormat="1" applyFill="1" applyBorder="1"/>
    <xf numFmtId="0" fontId="0" fillId="2" borderId="2" xfId="0" applyFill="1" applyBorder="1"/>
    <xf numFmtId="43" fontId="29" fillId="2" borderId="2" xfId="2" applyFont="1" applyFill="1" applyBorder="1" applyProtection="1"/>
    <xf numFmtId="0" fontId="2" fillId="15" borderId="2" xfId="0" applyFont="1" applyFill="1" applyBorder="1"/>
    <xf numFmtId="43" fontId="29" fillId="15" borderId="2" xfId="2" applyFont="1" applyFill="1" applyBorder="1" applyProtection="1"/>
    <xf numFmtId="43" fontId="29" fillId="0" borderId="2" xfId="2" applyFont="1" applyBorder="1" applyProtection="1"/>
    <xf numFmtId="170" fontId="101" fillId="7" borderId="4" xfId="6" applyNumberFormat="1" applyFont="1" applyFill="1" applyBorder="1" applyAlignment="1">
      <alignment horizontal="right"/>
    </xf>
    <xf numFmtId="170" fontId="18" fillId="0" borderId="29" xfId="0" applyNumberFormat="1" applyFont="1" applyBorder="1" applyAlignment="1">
      <alignment horizontal="right"/>
    </xf>
    <xf numFmtId="170" fontId="29" fillId="0" borderId="4" xfId="6" applyNumberFormat="1" applyFont="1" applyBorder="1" applyAlignment="1">
      <alignment horizontal="right"/>
    </xf>
    <xf numFmtId="170" fontId="101" fillId="7" borderId="45" xfId="6" applyNumberFormat="1" applyFont="1" applyFill="1" applyBorder="1" applyAlignment="1">
      <alignment horizontal="right"/>
    </xf>
    <xf numFmtId="170" fontId="29" fillId="0" borderId="45" xfId="6" applyNumberFormat="1" applyFont="1" applyBorder="1" applyAlignment="1">
      <alignment horizontal="right"/>
    </xf>
    <xf numFmtId="0" fontId="2" fillId="0" borderId="7" xfId="0" applyFont="1" applyBorder="1"/>
    <xf numFmtId="170" fontId="29" fillId="0" borderId="7" xfId="6" applyNumberFormat="1" applyFont="1" applyBorder="1" applyAlignment="1">
      <alignment horizontal="right"/>
    </xf>
    <xf numFmtId="170" fontId="18" fillId="0" borderId="0" xfId="0" applyNumberFormat="1" applyFont="1"/>
    <xf numFmtId="0" fontId="0" fillId="0" borderId="8" xfId="0" applyBorder="1"/>
    <xf numFmtId="175" fontId="2" fillId="0" borderId="8" xfId="0" applyNumberFormat="1" applyFont="1" applyBorder="1"/>
    <xf numFmtId="175" fontId="2" fillId="6" borderId="0" xfId="0" applyNumberFormat="1" applyFont="1" applyFill="1" applyAlignment="1">
      <alignment horizontal="right"/>
    </xf>
    <xf numFmtId="0" fontId="18" fillId="8" borderId="0" xfId="0" applyFont="1" applyFill="1"/>
    <xf numFmtId="170" fontId="18" fillId="7" borderId="29" xfId="0" applyNumberFormat="1" applyFont="1" applyFill="1" applyBorder="1"/>
    <xf numFmtId="170" fontId="18" fillId="7" borderId="4" xfId="0" applyNumberFormat="1" applyFont="1" applyFill="1" applyBorder="1"/>
    <xf numFmtId="170" fontId="18" fillId="7" borderId="45" xfId="0" applyNumberFormat="1" applyFont="1" applyFill="1" applyBorder="1"/>
    <xf numFmtId="170" fontId="18" fillId="0" borderId="7" xfId="0" applyNumberFormat="1" applyFont="1" applyBorder="1"/>
    <xf numFmtId="0" fontId="2" fillId="0" borderId="8" xfId="0" applyFont="1" applyBorder="1" applyAlignment="1">
      <alignment horizontal="right"/>
    </xf>
    <xf numFmtId="170" fontId="18" fillId="8" borderId="29" xfId="0" applyNumberFormat="1" applyFont="1" applyFill="1" applyBorder="1"/>
    <xf numFmtId="170" fontId="18" fillId="8" borderId="4" xfId="0" applyNumberFormat="1" applyFont="1" applyFill="1" applyBorder="1"/>
    <xf numFmtId="170" fontId="18" fillId="8" borderId="45" xfId="0" applyNumberFormat="1" applyFont="1" applyFill="1" applyBorder="1"/>
    <xf numFmtId="170" fontId="29" fillId="7" borderId="4" xfId="6" applyNumberFormat="1" applyFont="1" applyFill="1" applyBorder="1" applyAlignment="1">
      <alignment horizontal="right"/>
    </xf>
    <xf numFmtId="0" fontId="18" fillId="0" borderId="29" xfId="0" applyFont="1" applyBorder="1" applyAlignment="1">
      <alignment horizontal="right"/>
    </xf>
    <xf numFmtId="170" fontId="29" fillId="7" borderId="45" xfId="6" applyNumberFormat="1" applyFont="1" applyFill="1" applyBorder="1" applyAlignment="1">
      <alignment horizontal="right"/>
    </xf>
    <xf numFmtId="0" fontId="2" fillId="0" borderId="0" xfId="0" applyFont="1" applyAlignment="1">
      <alignment horizontal="right"/>
    </xf>
    <xf numFmtId="170" fontId="18" fillId="8" borderId="7" xfId="0" applyNumberFormat="1" applyFont="1" applyFill="1" applyBorder="1"/>
    <xf numFmtId="0" fontId="2" fillId="18" borderId="2" xfId="0" applyFont="1" applyFill="1" applyBorder="1"/>
    <xf numFmtId="0" fontId="0" fillId="18" borderId="2" xfId="0" applyFill="1" applyBorder="1"/>
    <xf numFmtId="174" fontId="29" fillId="0" borderId="4" xfId="6" applyNumberFormat="1" applyFont="1" applyBorder="1" applyAlignment="1">
      <alignment horizontal="right"/>
    </xf>
    <xf numFmtId="174" fontId="18" fillId="0" borderId="29" xfId="0" applyNumberFormat="1" applyFont="1" applyBorder="1" applyAlignment="1">
      <alignment horizontal="right"/>
    </xf>
    <xf numFmtId="174" fontId="18" fillId="0" borderId="7" xfId="0" applyNumberFormat="1" applyFont="1" applyBorder="1"/>
    <xf numFmtId="175" fontId="0" fillId="0" borderId="8" xfId="0" applyNumberFormat="1" applyBorder="1"/>
    <xf numFmtId="175" fontId="2" fillId="0" borderId="0" xfId="0" applyNumberFormat="1" applyFont="1" applyAlignment="1">
      <alignment horizontal="right"/>
    </xf>
    <xf numFmtId="174" fontId="18" fillId="0" borderId="29" xfId="0" applyNumberFormat="1" applyFont="1" applyBorder="1"/>
    <xf numFmtId="170" fontId="18" fillId="0" borderId="4" xfId="0" applyNumberFormat="1" applyFont="1" applyBorder="1"/>
    <xf numFmtId="170" fontId="18" fillId="0" borderId="45" xfId="0" applyNumberFormat="1" applyFont="1" applyBorder="1"/>
    <xf numFmtId="174" fontId="18" fillId="8" borderId="7" xfId="0" applyNumberFormat="1" applyFont="1" applyFill="1" applyBorder="1"/>
    <xf numFmtId="174" fontId="18" fillId="8" borderId="29" xfId="0" applyNumberFormat="1" applyFont="1" applyFill="1" applyBorder="1"/>
    <xf numFmtId="174" fontId="18" fillId="0" borderId="0" xfId="0" applyNumberFormat="1" applyFont="1"/>
    <xf numFmtId="174" fontId="104" fillId="0" borderId="7" xfId="0" applyNumberFormat="1" applyFont="1" applyBorder="1"/>
    <xf numFmtId="43" fontId="87" fillId="0" borderId="0" xfId="2" applyFont="1" applyProtection="1"/>
    <xf numFmtId="170" fontId="18" fillId="0" borderId="29" xfId="0" applyNumberFormat="1" applyFont="1" applyBorder="1"/>
    <xf numFmtId="213" fontId="2" fillId="0" borderId="0" xfId="0" applyNumberFormat="1" applyFont="1" applyAlignment="1">
      <alignment horizontal="right"/>
    </xf>
    <xf numFmtId="214" fontId="2" fillId="0" borderId="0" xfId="0" applyNumberFormat="1" applyFont="1" applyAlignment="1">
      <alignment horizontal="right"/>
    </xf>
    <xf numFmtId="0" fontId="103" fillId="0" borderId="0" xfId="0" applyFont="1" applyAlignment="1">
      <alignment vertical="center" wrapText="1"/>
    </xf>
    <xf numFmtId="0" fontId="2" fillId="8" borderId="2" xfId="0" applyFont="1" applyFill="1" applyBorder="1"/>
    <xf numFmtId="0" fontId="0" fillId="8" borderId="2" xfId="0" applyFill="1" applyBorder="1"/>
    <xf numFmtId="174" fontId="87" fillId="0" borderId="0" xfId="0" applyNumberFormat="1" applyFont="1"/>
    <xf numFmtId="0" fontId="86" fillId="12" borderId="0" xfId="0" applyFont="1" applyFill="1"/>
    <xf numFmtId="0" fontId="87" fillId="12" borderId="0" xfId="0" applyFont="1" applyFill="1"/>
    <xf numFmtId="0" fontId="87" fillId="0" borderId="2" xfId="0" applyFont="1" applyBorder="1"/>
    <xf numFmtId="174" fontId="87" fillId="12" borderId="0" xfId="0" applyNumberFormat="1" applyFont="1" applyFill="1"/>
    <xf numFmtId="170" fontId="87" fillId="12" borderId="0" xfId="0" applyNumberFormat="1" applyFont="1" applyFill="1"/>
    <xf numFmtId="170" fontId="87" fillId="0" borderId="0" xfId="0" applyNumberFormat="1" applyFont="1"/>
    <xf numFmtId="170" fontId="0" fillId="9" borderId="0" xfId="0" applyNumberFormat="1" applyFill="1"/>
    <xf numFmtId="170" fontId="87" fillId="12" borderId="0" xfId="0" applyNumberFormat="1" applyFont="1" applyFill="1" applyAlignment="1">
      <alignment horizontal="right"/>
    </xf>
    <xf numFmtId="174" fontId="87" fillId="9" borderId="0" xfId="0" applyNumberFormat="1" applyFont="1" applyFill="1" applyAlignment="1">
      <alignment horizontal="right"/>
    </xf>
    <xf numFmtId="0" fontId="0" fillId="9" borderId="0" xfId="0" applyFill="1" applyAlignment="1">
      <alignment horizontal="right"/>
    </xf>
    <xf numFmtId="0" fontId="86" fillId="2" borderId="2" xfId="0" applyFont="1" applyFill="1" applyBorder="1"/>
    <xf numFmtId="0" fontId="87" fillId="2" borderId="2" xfId="0" applyFont="1" applyFill="1" applyBorder="1"/>
    <xf numFmtId="0" fontId="105" fillId="0" borderId="0" xfId="0" applyFont="1"/>
    <xf numFmtId="0" fontId="29" fillId="0" borderId="0" xfId="0" applyFont="1" applyAlignment="1">
      <alignment horizontal="center"/>
    </xf>
    <xf numFmtId="0" fontId="40" fillId="0" borderId="0" xfId="0" applyFont="1"/>
    <xf numFmtId="43" fontId="19" fillId="0" borderId="0" xfId="2" applyFont="1"/>
    <xf numFmtId="0" fontId="106" fillId="0" borderId="0" xfId="12" applyAlignment="1">
      <alignment horizontal="left" vertical="top"/>
    </xf>
    <xf numFmtId="0" fontId="106" fillId="0" borderId="0" xfId="12" applyAlignment="1" applyProtection="1">
      <alignment horizontal="left" vertical="top"/>
      <protection locked="0"/>
    </xf>
    <xf numFmtId="174" fontId="106" fillId="0" borderId="0" xfId="12" applyNumberFormat="1" applyAlignment="1" applyProtection="1">
      <alignment horizontal="right" vertical="top"/>
      <protection locked="0"/>
    </xf>
    <xf numFmtId="0" fontId="107" fillId="0" borderId="0" xfId="12" quotePrefix="1" applyFont="1" applyAlignment="1" applyProtection="1">
      <alignment horizontal="left" vertical="top"/>
      <protection locked="0"/>
    </xf>
    <xf numFmtId="174" fontId="107" fillId="0" borderId="0" xfId="12" applyNumberFormat="1" applyFont="1" applyAlignment="1" applyProtection="1">
      <alignment horizontal="right" vertical="top"/>
      <protection locked="0"/>
    </xf>
    <xf numFmtId="0" fontId="107" fillId="0" borderId="0" xfId="12" applyFont="1" applyAlignment="1" applyProtection="1">
      <alignment horizontal="left" vertical="top"/>
      <protection locked="0"/>
    </xf>
    <xf numFmtId="202" fontId="107" fillId="7" borderId="0" xfId="12" applyNumberFormat="1" applyFont="1" applyFill="1" applyAlignment="1" applyProtection="1">
      <alignment horizontal="right" vertical="top"/>
      <protection locked="0"/>
    </xf>
    <xf numFmtId="0" fontId="107" fillId="0" borderId="0" xfId="12" applyFont="1" applyAlignment="1">
      <alignment horizontal="left" vertical="top"/>
    </xf>
    <xf numFmtId="0" fontId="106" fillId="0" borderId="2" xfId="12" applyBorder="1" applyAlignment="1">
      <alignment horizontal="left" vertical="top"/>
    </xf>
    <xf numFmtId="215" fontId="50" fillId="0" borderId="87" xfId="12" applyNumberFormat="1" applyFont="1" applyBorder="1" applyAlignment="1" applyProtection="1">
      <alignment horizontal="right" vertical="top" wrapText="1"/>
      <protection locked="0"/>
    </xf>
    <xf numFmtId="0" fontId="50" fillId="0" borderId="88" xfId="12" applyFont="1" applyBorder="1" applyAlignment="1" applyProtection="1">
      <alignment horizontal="left" vertical="top" wrapText="1"/>
      <protection locked="0"/>
    </xf>
    <xf numFmtId="0" fontId="95" fillId="0" borderId="0" xfId="12" applyFont="1" applyAlignment="1" applyProtection="1">
      <alignment vertical="top" wrapText="1"/>
      <protection locked="0"/>
    </xf>
    <xf numFmtId="0" fontId="95" fillId="0" borderId="0" xfId="12" applyFont="1" applyAlignment="1">
      <alignment vertical="top" wrapText="1"/>
    </xf>
    <xf numFmtId="0" fontId="11" fillId="0" borderId="89" xfId="12" applyFont="1" applyBorder="1" applyAlignment="1">
      <alignment vertical="top" wrapText="1"/>
    </xf>
    <xf numFmtId="0" fontId="11" fillId="0" borderId="90" xfId="12" applyFont="1" applyBorder="1" applyAlignment="1">
      <alignment horizontal="left" vertical="top" wrapText="1"/>
    </xf>
    <xf numFmtId="199" fontId="53" fillId="0" borderId="91" xfId="12" applyNumberFormat="1" applyFont="1" applyBorder="1" applyAlignment="1" applyProtection="1">
      <alignment horizontal="right" vertical="top" wrapText="1"/>
      <protection locked="0"/>
    </xf>
    <xf numFmtId="0" fontId="53" fillId="0" borderId="92" xfId="12" applyFont="1" applyBorder="1" applyAlignment="1" applyProtection="1">
      <alignment horizontal="left" vertical="top" wrapText="1"/>
      <protection locked="0"/>
    </xf>
    <xf numFmtId="0" fontId="11" fillId="0" borderId="93" xfId="12" applyFont="1" applyBorder="1" applyAlignment="1">
      <alignment vertical="top" wrapText="1"/>
    </xf>
    <xf numFmtId="0" fontId="11" fillId="0" borderId="94" xfId="12" applyFont="1" applyBorder="1" applyAlignment="1">
      <alignment horizontal="left" vertical="top" wrapText="1"/>
    </xf>
    <xf numFmtId="170" fontId="11" fillId="0" borderId="2" xfId="12" applyNumberFormat="1" applyFont="1" applyBorder="1" applyAlignment="1" applyProtection="1">
      <alignment horizontal="right" vertical="top" wrapText="1"/>
      <protection locked="0"/>
    </xf>
    <xf numFmtId="0" fontId="11" fillId="0" borderId="2" xfId="12" applyFont="1" applyBorder="1" applyAlignment="1" applyProtection="1">
      <alignment horizontal="right" vertical="top" wrapText="1"/>
      <protection locked="0"/>
    </xf>
    <xf numFmtId="0" fontId="11" fillId="0" borderId="2" xfId="12" applyFont="1" applyBorder="1" applyAlignment="1" applyProtection="1">
      <alignment vertical="top" wrapText="1"/>
      <protection locked="0"/>
    </xf>
    <xf numFmtId="175" fontId="12" fillId="7" borderId="13" xfId="12" quotePrefix="1" applyNumberFormat="1" applyFont="1" applyFill="1" applyBorder="1" applyAlignment="1" applyProtection="1">
      <alignment vertical="top" wrapText="1"/>
      <protection locked="0"/>
    </xf>
    <xf numFmtId="170" fontId="11" fillId="0" borderId="2" xfId="12" quotePrefix="1" applyNumberFormat="1" applyFont="1" applyBorder="1" applyAlignment="1">
      <alignment vertical="top" wrapText="1"/>
    </xf>
    <xf numFmtId="0" fontId="11" fillId="0" borderId="18" xfId="12" quotePrefix="1" applyFont="1" applyBorder="1" applyAlignment="1">
      <alignment vertical="top" wrapText="1"/>
    </xf>
    <xf numFmtId="0" fontId="11" fillId="0" borderId="2" xfId="12" applyFont="1" applyBorder="1" applyAlignment="1">
      <alignment horizontal="left" vertical="top" wrapText="1"/>
    </xf>
    <xf numFmtId="170" fontId="11" fillId="0" borderId="7" xfId="12" applyNumberFormat="1" applyFont="1" applyBorder="1" applyAlignment="1" applyProtection="1">
      <alignment horizontal="right" vertical="top" wrapText="1"/>
      <protection locked="0"/>
    </xf>
    <xf numFmtId="0" fontId="11" fillId="0" borderId="7" xfId="12" applyFont="1" applyBorder="1" applyAlignment="1" applyProtection="1">
      <alignment horizontal="right" vertical="top" wrapText="1"/>
      <protection locked="0"/>
    </xf>
    <xf numFmtId="0" fontId="11" fillId="0" borderId="7" xfId="12" applyFont="1" applyBorder="1" applyAlignment="1" applyProtection="1">
      <alignment vertical="top" wrapText="1"/>
      <protection locked="0"/>
    </xf>
    <xf numFmtId="0" fontId="11" fillId="0" borderId="21" xfId="12" applyFont="1" applyBorder="1" applyAlignment="1" applyProtection="1">
      <alignment vertical="top" wrapText="1"/>
      <protection locked="0"/>
    </xf>
    <xf numFmtId="170" fontId="11" fillId="0" borderId="7" xfId="12" applyNumberFormat="1" applyFont="1" applyBorder="1" applyAlignment="1">
      <alignment vertical="top" wrapText="1"/>
    </xf>
    <xf numFmtId="0" fontId="11" fillId="0" borderId="20" xfId="12" applyFont="1" applyBorder="1" applyAlignment="1">
      <alignment vertical="top" wrapText="1"/>
    </xf>
    <xf numFmtId="0" fontId="11" fillId="0" borderId="7" xfId="12" applyFont="1" applyBorder="1" applyAlignment="1">
      <alignment horizontal="left" vertical="top" wrapText="1"/>
    </xf>
    <xf numFmtId="170" fontId="11" fillId="0" borderId="95" xfId="12" applyNumberFormat="1" applyFont="1" applyBorder="1" applyAlignment="1" applyProtection="1">
      <alignment horizontal="right" vertical="center" wrapText="1"/>
      <protection locked="0"/>
    </xf>
    <xf numFmtId="171" fontId="12" fillId="7" borderId="96" xfId="12" applyNumberFormat="1" applyFont="1" applyFill="1" applyBorder="1" applyAlignment="1" applyProtection="1">
      <alignment horizontal="right" vertical="center" wrapText="1"/>
      <protection locked="0"/>
    </xf>
    <xf numFmtId="0" fontId="12" fillId="7" borderId="96" xfId="12" applyFont="1" applyFill="1" applyBorder="1" applyAlignment="1" applyProtection="1">
      <alignment horizontal="right" vertical="center" wrapText="1"/>
      <protection locked="0"/>
    </xf>
    <xf numFmtId="0" fontId="12" fillId="7" borderId="96" xfId="12" applyFont="1" applyFill="1" applyBorder="1" applyAlignment="1" applyProtection="1">
      <alignment vertical="center" wrapText="1"/>
      <protection locked="0"/>
    </xf>
    <xf numFmtId="170" fontId="50" fillId="7" borderId="97" xfId="12" applyNumberFormat="1" applyFont="1" applyFill="1" applyBorder="1" applyAlignment="1" applyProtection="1">
      <alignment vertical="center" wrapText="1"/>
      <protection locked="0"/>
    </xf>
    <xf numFmtId="170" fontId="11" fillId="8" borderId="98" xfId="12" applyNumberFormat="1" applyFont="1" applyFill="1" applyBorder="1" applyAlignment="1">
      <alignment vertical="center" wrapText="1"/>
    </xf>
    <xf numFmtId="0" fontId="11" fillId="8" borderId="99" xfId="12" applyFont="1" applyFill="1" applyBorder="1" applyAlignment="1">
      <alignment vertical="center" wrapText="1"/>
    </xf>
    <xf numFmtId="0" fontId="11" fillId="0" borderId="100" xfId="12" applyFont="1" applyBorder="1" applyAlignment="1">
      <alignment horizontal="left" vertical="center" wrapText="1"/>
    </xf>
    <xf numFmtId="170" fontId="11" fillId="0" borderId="101" xfId="12" applyNumberFormat="1" applyFont="1" applyBorder="1" applyAlignment="1" applyProtection="1">
      <alignment horizontal="right" vertical="center" wrapText="1"/>
      <protection locked="0"/>
    </xf>
    <xf numFmtId="171" fontId="12" fillId="7" borderId="102" xfId="12" applyNumberFormat="1" applyFont="1" applyFill="1" applyBorder="1" applyAlignment="1" applyProtection="1">
      <alignment horizontal="right" vertical="center" wrapText="1"/>
      <protection locked="0"/>
    </xf>
    <xf numFmtId="0" fontId="12" fillId="7" borderId="102" xfId="12" applyFont="1" applyFill="1" applyBorder="1" applyAlignment="1" applyProtection="1">
      <alignment horizontal="right" vertical="center" wrapText="1"/>
      <protection locked="0"/>
    </xf>
    <xf numFmtId="0" fontId="12" fillId="7" borderId="102" xfId="12" applyFont="1" applyFill="1" applyBorder="1" applyAlignment="1" applyProtection="1">
      <alignment vertical="center" wrapText="1"/>
      <protection locked="0"/>
    </xf>
    <xf numFmtId="170" fontId="50" fillId="7" borderId="101" xfId="12" applyNumberFormat="1" applyFont="1" applyFill="1" applyBorder="1" applyAlignment="1" applyProtection="1">
      <alignment vertical="center" wrapText="1"/>
      <protection locked="0"/>
    </xf>
    <xf numFmtId="170" fontId="11" fillId="8" borderId="103" xfId="12" applyNumberFormat="1" applyFont="1" applyFill="1" applyBorder="1" applyAlignment="1">
      <alignment vertical="center" wrapText="1"/>
    </xf>
    <xf numFmtId="0" fontId="11" fillId="8" borderId="102" xfId="12" applyFont="1" applyFill="1" applyBorder="1" applyAlignment="1">
      <alignment vertical="center" wrapText="1"/>
    </xf>
    <xf numFmtId="0" fontId="11" fillId="0" borderId="104" xfId="12" applyFont="1" applyBorder="1" applyAlignment="1">
      <alignment horizontal="left" vertical="center" wrapText="1"/>
    </xf>
    <xf numFmtId="216" fontId="12" fillId="7" borderId="102" xfId="12" applyNumberFormat="1" applyFont="1" applyFill="1" applyBorder="1" applyAlignment="1" applyProtection="1">
      <alignment vertical="center" wrapText="1"/>
      <protection locked="0"/>
    </xf>
    <xf numFmtId="170" fontId="50" fillId="0" borderId="101" xfId="12" quotePrefix="1" applyNumberFormat="1" applyFont="1" applyBorder="1" applyAlignment="1" applyProtection="1">
      <alignment vertical="center" wrapText="1"/>
      <protection locked="0"/>
    </xf>
    <xf numFmtId="170" fontId="12" fillId="7" borderId="102" xfId="12" applyNumberFormat="1" applyFont="1" applyFill="1" applyBorder="1" applyAlignment="1" applyProtection="1">
      <alignment horizontal="right" vertical="center" wrapText="1"/>
      <protection locked="0"/>
    </xf>
    <xf numFmtId="199" fontId="11" fillId="0" borderId="101" xfId="12" applyNumberFormat="1" applyFont="1" applyBorder="1" applyAlignment="1" applyProtection="1">
      <alignment horizontal="right" vertical="center" wrapText="1"/>
      <protection locked="0"/>
    </xf>
    <xf numFmtId="170" fontId="11" fillId="0" borderId="102" xfId="12" applyNumberFormat="1" applyFont="1" applyBorder="1" applyAlignment="1" applyProtection="1">
      <alignment horizontal="right" vertical="center" wrapText="1"/>
      <protection locked="0"/>
    </xf>
    <xf numFmtId="0" fontId="11" fillId="0" borderId="102" xfId="12" applyFont="1" applyBorder="1" applyAlignment="1" applyProtection="1">
      <alignment horizontal="right" vertical="center" wrapText="1"/>
      <protection locked="0"/>
    </xf>
    <xf numFmtId="0" fontId="11" fillId="0" borderId="101" xfId="12" applyFont="1" applyBorder="1" applyAlignment="1" applyProtection="1">
      <alignment horizontal="right" vertical="center" wrapText="1"/>
      <protection locked="0"/>
    </xf>
    <xf numFmtId="0" fontId="11" fillId="0" borderId="74" xfId="12" applyFont="1" applyBorder="1" applyAlignment="1" applyProtection="1">
      <alignment horizontal="left" vertical="center"/>
      <protection locked="0"/>
    </xf>
    <xf numFmtId="170" fontId="11" fillId="0" borderId="101" xfId="12" applyNumberFormat="1" applyFont="1" applyBorder="1" applyAlignment="1" applyProtection="1">
      <alignment vertical="center" wrapText="1"/>
      <protection locked="0"/>
    </xf>
    <xf numFmtId="0" fontId="11" fillId="8" borderId="103" xfId="12" applyFont="1" applyFill="1" applyBorder="1" applyAlignment="1">
      <alignment vertical="center" wrapText="1"/>
    </xf>
    <xf numFmtId="0" fontId="26" fillId="0" borderId="104" xfId="12" applyFont="1" applyBorder="1" applyAlignment="1">
      <alignment horizontal="left" vertical="center" wrapText="1"/>
    </xf>
    <xf numFmtId="0" fontId="12" fillId="0" borderId="102" xfId="12" applyFont="1" applyBorder="1" applyAlignment="1" applyProtection="1">
      <alignment horizontal="right" vertical="center" wrapText="1"/>
      <protection locked="0"/>
    </xf>
    <xf numFmtId="170" fontId="11" fillId="0" borderId="76" xfId="12" applyNumberFormat="1" applyFont="1" applyBorder="1" applyAlignment="1" applyProtection="1">
      <alignment horizontal="right" vertical="center"/>
      <protection locked="0"/>
    </xf>
    <xf numFmtId="217" fontId="12" fillId="7" borderId="71" xfId="12" applyNumberFormat="1" applyFont="1" applyFill="1" applyBorder="1" applyAlignment="1" applyProtection="1">
      <alignment horizontal="right" vertical="center" wrapText="1"/>
      <protection locked="0"/>
    </xf>
    <xf numFmtId="217" fontId="12" fillId="7" borderId="102" xfId="12" applyNumberFormat="1" applyFont="1" applyFill="1" applyBorder="1" applyAlignment="1" applyProtection="1">
      <alignment horizontal="right" vertical="center" wrapText="1"/>
      <protection locked="0"/>
    </xf>
    <xf numFmtId="199" fontId="11" fillId="7" borderId="101" xfId="12" applyNumberFormat="1" applyFont="1" applyFill="1" applyBorder="1" applyAlignment="1" applyProtection="1">
      <alignment vertical="center" wrapText="1"/>
      <protection locked="0"/>
    </xf>
    <xf numFmtId="199" fontId="11" fillId="8" borderId="103" xfId="12" applyNumberFormat="1" applyFont="1" applyFill="1" applyBorder="1" applyAlignment="1">
      <alignment vertical="center" wrapText="1"/>
    </xf>
    <xf numFmtId="170" fontId="12" fillId="7" borderId="71" xfId="12" applyNumberFormat="1" applyFont="1" applyFill="1" applyBorder="1" applyAlignment="1" applyProtection="1">
      <alignment horizontal="right" vertical="center" wrapText="1"/>
      <protection locked="0"/>
    </xf>
    <xf numFmtId="0" fontId="11" fillId="0" borderId="76" xfId="12" applyFont="1" applyBorder="1" applyAlignment="1" applyProtection="1">
      <alignment horizontal="right" vertical="center" wrapText="1"/>
      <protection locked="0"/>
    </xf>
    <xf numFmtId="0" fontId="12" fillId="7" borderId="71" xfId="12" applyFont="1" applyFill="1" applyBorder="1" applyAlignment="1" applyProtection="1">
      <alignment horizontal="right" vertical="center" wrapText="1"/>
      <protection locked="0"/>
    </xf>
    <xf numFmtId="0" fontId="11" fillId="0" borderId="76" xfId="12" applyFont="1" applyBorder="1" applyAlignment="1" applyProtection="1">
      <alignment horizontal="left" vertical="center"/>
      <protection locked="0"/>
    </xf>
    <xf numFmtId="0" fontId="11" fillId="0" borderId="101" xfId="12" applyFont="1" applyBorder="1" applyAlignment="1" applyProtection="1">
      <alignment vertical="center" wrapText="1"/>
      <protection locked="0"/>
    </xf>
    <xf numFmtId="0" fontId="11" fillId="0" borderId="71" xfId="12" applyFont="1" applyBorder="1" applyAlignment="1" applyProtection="1">
      <alignment horizontal="right" vertical="center" wrapText="1"/>
      <protection locked="0"/>
    </xf>
    <xf numFmtId="0" fontId="11" fillId="0" borderId="105" xfId="12" applyFont="1" applyBorder="1" applyAlignment="1" applyProtection="1">
      <alignment vertical="center" wrapText="1"/>
      <protection locked="0"/>
    </xf>
    <xf numFmtId="0" fontId="11" fillId="8" borderId="106" xfId="12" applyFont="1" applyFill="1" applyBorder="1" applyAlignment="1">
      <alignment vertical="center" wrapText="1"/>
    </xf>
    <xf numFmtId="0" fontId="11" fillId="8" borderId="107" xfId="12" applyFont="1" applyFill="1" applyBorder="1" applyAlignment="1">
      <alignment vertical="center" wrapText="1"/>
    </xf>
    <xf numFmtId="0" fontId="6" fillId="2" borderId="110" xfId="12" applyFont="1" applyFill="1" applyBorder="1" applyAlignment="1" applyProtection="1">
      <alignment horizontal="center" vertical="top" wrapText="1"/>
      <protection locked="0"/>
    </xf>
    <xf numFmtId="0" fontId="6" fillId="2" borderId="111" xfId="12" applyFont="1" applyFill="1" applyBorder="1" applyAlignment="1">
      <alignment horizontal="center" vertical="top" wrapText="1"/>
    </xf>
    <xf numFmtId="0" fontId="6" fillId="2" borderId="112" xfId="12" applyFont="1" applyFill="1" applyBorder="1" applyAlignment="1">
      <alignment horizontal="center" vertical="top" wrapText="1"/>
    </xf>
    <xf numFmtId="0" fontId="6" fillId="2" borderId="104" xfId="12" applyFont="1" applyFill="1" applyBorder="1" applyAlignment="1">
      <alignment horizontal="left" vertical="top" wrapText="1"/>
    </xf>
    <xf numFmtId="0" fontId="91" fillId="0" borderId="0" xfId="12" applyFont="1" applyAlignment="1">
      <alignment horizontal="left" vertical="top" wrapText="1"/>
    </xf>
    <xf numFmtId="0" fontId="91" fillId="17" borderId="0" xfId="12" applyFont="1" applyFill="1" applyAlignment="1" applyProtection="1">
      <alignment horizontal="left" vertical="top" wrapText="1"/>
      <protection locked="0"/>
    </xf>
    <xf numFmtId="0" fontId="91" fillId="17" borderId="0" xfId="12" applyFont="1" applyFill="1" applyAlignment="1">
      <alignment horizontal="left" vertical="top" wrapText="1"/>
    </xf>
    <xf numFmtId="0" fontId="42" fillId="17" borderId="0" xfId="12" applyFont="1" applyFill="1" applyAlignment="1">
      <alignment horizontal="left" vertical="top"/>
    </xf>
    <xf numFmtId="170" fontId="108" fillId="0" borderId="4" xfId="12" applyNumberFormat="1" applyFont="1" applyBorder="1" applyAlignment="1" applyProtection="1">
      <alignment horizontal="center" vertical="top"/>
      <protection locked="0"/>
    </xf>
    <xf numFmtId="0" fontId="109" fillId="0" borderId="0" xfId="12" applyFont="1" applyAlignment="1">
      <alignment horizontal="left" vertical="top"/>
    </xf>
    <xf numFmtId="0" fontId="108" fillId="0" borderId="4" xfId="12" applyFont="1" applyBorder="1" applyAlignment="1" applyProtection="1">
      <alignment horizontal="center" vertical="top"/>
      <protection locked="0"/>
    </xf>
    <xf numFmtId="0" fontId="23" fillId="0" borderId="0" xfId="12" applyFont="1" applyAlignment="1">
      <alignment horizontal="left" vertical="top"/>
    </xf>
    <xf numFmtId="0" fontId="34" fillId="6" borderId="27" xfId="0" applyFont="1" applyFill="1" applyBorder="1" applyAlignment="1" applyProtection="1">
      <alignment horizontal="center" vertical="top"/>
      <protection locked="0"/>
    </xf>
    <xf numFmtId="0" fontId="34" fillId="6" borderId="26" xfId="0" applyFont="1" applyFill="1" applyBorder="1" applyAlignment="1" applyProtection="1">
      <alignment horizontal="center" vertical="top"/>
      <protection locked="0"/>
    </xf>
    <xf numFmtId="0" fontId="34" fillId="6" borderId="25" xfId="0" applyFont="1" applyFill="1" applyBorder="1" applyAlignment="1" applyProtection="1">
      <alignment horizontal="center" vertical="top"/>
      <protection locked="0"/>
    </xf>
    <xf numFmtId="0" fontId="22" fillId="0" borderId="0" xfId="12" applyFont="1" applyAlignment="1">
      <alignment horizontal="left" vertical="top"/>
    </xf>
    <xf numFmtId="0" fontId="29" fillId="6" borderId="24" xfId="0" applyFont="1" applyFill="1" applyBorder="1" applyAlignment="1" applyProtection="1">
      <alignment horizontal="center" vertical="top"/>
      <protection locked="0"/>
    </xf>
    <xf numFmtId="0" fontId="29" fillId="6" borderId="23" xfId="0" applyFont="1" applyFill="1" applyBorder="1" applyAlignment="1" applyProtection="1">
      <alignment horizontal="center" vertical="top"/>
      <protection locked="0"/>
    </xf>
    <xf numFmtId="0" fontId="29" fillId="6" borderId="22" xfId="0" applyFont="1" applyFill="1" applyBorder="1" applyAlignment="1" applyProtection="1">
      <alignment horizontal="center" vertical="top"/>
      <protection locked="0"/>
    </xf>
    <xf numFmtId="0" fontId="6" fillId="4" borderId="0" xfId="12" applyFont="1" applyFill="1" applyAlignment="1">
      <alignment horizontal="left" vertical="top"/>
    </xf>
    <xf numFmtId="0" fontId="26" fillId="6" borderId="13" xfId="0" applyFont="1" applyFill="1" applyBorder="1" applyAlignment="1" applyProtection="1">
      <alignment horizontal="center"/>
      <protection locked="0"/>
    </xf>
    <xf numFmtId="0" fontId="26" fillId="6" borderId="2" xfId="0" applyFont="1" applyFill="1" applyBorder="1" applyAlignment="1" applyProtection="1">
      <alignment horizontal="center"/>
      <protection locked="0"/>
    </xf>
    <xf numFmtId="0" fontId="5" fillId="3" borderId="0" xfId="12" applyFont="1" applyFill="1" applyAlignment="1">
      <alignment horizontal="left" vertical="top"/>
    </xf>
    <xf numFmtId="0" fontId="5" fillId="3" borderId="0" xfId="5" applyFont="1" applyFill="1"/>
    <xf numFmtId="0" fontId="6" fillId="4" borderId="0" xfId="5" applyFont="1" applyFill="1"/>
    <xf numFmtId="0" fontId="84" fillId="4" borderId="0" xfId="5" applyFont="1" applyFill="1"/>
    <xf numFmtId="0" fontId="43" fillId="0" borderId="0" xfId="5" quotePrefix="1"/>
    <xf numFmtId="170" fontId="43" fillId="0" borderId="0" xfId="5" applyNumberFormat="1" applyAlignment="1">
      <alignment horizontal="left"/>
    </xf>
    <xf numFmtId="170" fontId="43" fillId="0" borderId="0" xfId="5" quotePrefix="1" applyNumberFormat="1"/>
    <xf numFmtId="174" fontId="0" fillId="0" borderId="0" xfId="3" applyNumberFormat="1" applyFont="1"/>
    <xf numFmtId="0" fontId="0" fillId="0" borderId="0" xfId="0" applyAlignment="1">
      <alignment horizontal="left" wrapText="1"/>
    </xf>
    <xf numFmtId="0" fontId="34" fillId="6" borderId="63" xfId="0" applyFont="1" applyFill="1" applyBorder="1" applyAlignment="1">
      <alignment horizontal="center" vertical="top"/>
    </xf>
    <xf numFmtId="0" fontId="29" fillId="0" borderId="63" xfId="0" applyFont="1" applyBorder="1" applyAlignment="1">
      <alignment horizontal="center" vertical="top"/>
    </xf>
    <xf numFmtId="0" fontId="34" fillId="0" borderId="63" xfId="0" applyFont="1" applyBorder="1" applyAlignment="1">
      <alignment horizontal="center" vertical="top"/>
    </xf>
    <xf numFmtId="0" fontId="29" fillId="6" borderId="24" xfId="0" applyFont="1" applyFill="1" applyBorder="1" applyAlignment="1">
      <alignment horizontal="center" vertical="top"/>
    </xf>
    <xf numFmtId="0" fontId="29" fillId="6" borderId="23" xfId="0" applyFont="1" applyFill="1" applyBorder="1" applyAlignment="1">
      <alignment horizontal="center" vertical="top"/>
    </xf>
    <xf numFmtId="0" fontId="29" fillId="6" borderId="22" xfId="0" applyFont="1" applyFill="1" applyBorder="1" applyAlignment="1">
      <alignment horizontal="center" vertical="top"/>
    </xf>
    <xf numFmtId="0" fontId="29" fillId="6" borderId="63" xfId="0" applyFont="1" applyFill="1" applyBorder="1" applyAlignment="1">
      <alignment horizontal="center" vertical="top"/>
    </xf>
    <xf numFmtId="167" fontId="26" fillId="6" borderId="9" xfId="0" applyNumberFormat="1" applyFont="1" applyFill="1" applyBorder="1" applyAlignment="1">
      <alignment horizontal="center"/>
    </xf>
    <xf numFmtId="167" fontId="26" fillId="6" borderId="8" xfId="0" applyNumberFormat="1" applyFont="1" applyFill="1" applyBorder="1" applyAlignment="1">
      <alignment horizontal="center"/>
    </xf>
    <xf numFmtId="167" fontId="26" fillId="6" borderId="0" xfId="0" applyNumberFormat="1" applyFont="1" applyFill="1" applyAlignment="1">
      <alignment horizontal="right"/>
    </xf>
    <xf numFmtId="0" fontId="26" fillId="6" borderId="0" xfId="0" applyFont="1" applyFill="1" applyAlignment="1">
      <alignment horizontal="right"/>
    </xf>
    <xf numFmtId="170" fontId="50" fillId="0" borderId="0" xfId="0" applyNumberFormat="1" applyFont="1" applyAlignment="1">
      <alignment horizontal="center" vertical="top"/>
    </xf>
    <xf numFmtId="0" fontId="112" fillId="14" borderId="5" xfId="0" applyFont="1" applyFill="1" applyBorder="1"/>
    <xf numFmtId="0" fontId="112" fillId="14" borderId="31" xfId="0" applyFont="1" applyFill="1" applyBorder="1"/>
    <xf numFmtId="0" fontId="74" fillId="0" borderId="0" xfId="0" applyFont="1" applyAlignment="1">
      <alignment horizontal="center"/>
    </xf>
    <xf numFmtId="0" fontId="74" fillId="0" borderId="0" xfId="0" applyFont="1"/>
    <xf numFmtId="0" fontId="74" fillId="7" borderId="5" xfId="0" applyFont="1" applyFill="1" applyBorder="1" applyProtection="1">
      <protection locked="0"/>
    </xf>
    <xf numFmtId="0" fontId="110" fillId="0" borderId="0" xfId="0" applyFont="1"/>
    <xf numFmtId="170" fontId="112" fillId="14" borderId="33" xfId="7" applyNumberFormat="1" applyFont="1" applyFill="1" applyBorder="1" applyAlignment="1">
      <alignment horizontal="right" vertical="top"/>
    </xf>
    <xf numFmtId="0" fontId="112" fillId="0" borderId="0" xfId="0" applyFont="1" applyAlignment="1">
      <alignment horizontal="center"/>
    </xf>
    <xf numFmtId="0" fontId="112" fillId="0" borderId="5" xfId="0" applyFont="1" applyBorder="1"/>
    <xf numFmtId="170" fontId="112" fillId="0" borderId="4" xfId="0" applyNumberFormat="1" applyFont="1" applyBorder="1" applyAlignment="1">
      <alignment horizontal="right" vertical="top"/>
    </xf>
    <xf numFmtId="0" fontId="112" fillId="0" borderId="0" xfId="0" applyFont="1"/>
    <xf numFmtId="0" fontId="112" fillId="7" borderId="5" xfId="0" applyFont="1" applyFill="1" applyBorder="1" applyProtection="1">
      <protection locked="0"/>
    </xf>
    <xf numFmtId="0" fontId="102" fillId="0" borderId="0" xfId="0" applyFont="1"/>
    <xf numFmtId="0" fontId="112" fillId="0" borderId="31" xfId="0" applyFont="1" applyBorder="1"/>
    <xf numFmtId="43" fontId="0" fillId="0" borderId="0" xfId="2" applyFont="1"/>
    <xf numFmtId="174" fontId="0" fillId="0" borderId="0" xfId="2" applyNumberFormat="1" applyFont="1"/>
    <xf numFmtId="43" fontId="26" fillId="0" borderId="0" xfId="2" applyFont="1" applyFill="1" applyBorder="1" applyAlignment="1" applyProtection="1">
      <alignment horizontal="center" vertical="top"/>
    </xf>
    <xf numFmtId="174" fontId="112" fillId="7" borderId="29" xfId="0" applyNumberFormat="1" applyFont="1" applyFill="1" applyBorder="1" applyAlignment="1" applyProtection="1">
      <alignment horizontal="right" wrapText="1"/>
      <protection locked="0"/>
    </xf>
    <xf numFmtId="174" fontId="74" fillId="0" borderId="7" xfId="0" applyNumberFormat="1" applyFont="1" applyBorder="1" applyAlignment="1">
      <alignment horizontal="right"/>
    </xf>
    <xf numFmtId="170" fontId="74" fillId="0" borderId="0" xfId="0" applyNumberFormat="1" applyFont="1" applyAlignment="1">
      <alignment horizontal="right" vertical="top"/>
    </xf>
    <xf numFmtId="174" fontId="74" fillId="7" borderId="5" xfId="0" applyNumberFormat="1" applyFont="1" applyFill="1" applyBorder="1" applyProtection="1">
      <protection locked="0"/>
    </xf>
    <xf numFmtId="0" fontId="113" fillId="0" borderId="14" xfId="0" applyFont="1" applyBorder="1" applyAlignment="1">
      <alignment horizontal="left"/>
    </xf>
    <xf numFmtId="6" fontId="112" fillId="0" borderId="15" xfId="0" applyNumberFormat="1" applyFont="1" applyBorder="1" applyAlignment="1">
      <alignment horizontal="center"/>
    </xf>
    <xf numFmtId="175" fontId="112" fillId="0" borderId="15" xfId="0" applyNumberFormat="1" applyFont="1" applyBorder="1" applyAlignment="1">
      <alignment horizontal="center"/>
    </xf>
    <xf numFmtId="174" fontId="74" fillId="0" borderId="15" xfId="0" applyNumberFormat="1" applyFont="1" applyBorder="1" applyAlignment="1">
      <alignment horizontal="right"/>
    </xf>
    <xf numFmtId="177" fontId="113" fillId="0" borderId="0" xfId="0" applyNumberFormat="1" applyFont="1" applyAlignment="1">
      <alignment horizontal="center"/>
    </xf>
    <xf numFmtId="174" fontId="74" fillId="0" borderId="0" xfId="0" applyNumberFormat="1" applyFont="1"/>
    <xf numFmtId="43" fontId="110" fillId="0" borderId="0" xfId="2" applyFont="1"/>
    <xf numFmtId="0" fontId="0" fillId="0" borderId="60" xfId="0" applyBorder="1"/>
    <xf numFmtId="173" fontId="45" fillId="19" borderId="2" xfId="0" applyNumberFormat="1" applyFont="1" applyFill="1" applyBorder="1" applyAlignment="1">
      <alignment horizontal="center" vertical="top"/>
    </xf>
    <xf numFmtId="173" fontId="45" fillId="19" borderId="2" xfId="0" quotePrefix="1" applyNumberFormat="1" applyFont="1" applyFill="1" applyBorder="1" applyAlignment="1">
      <alignment horizontal="center" vertical="top"/>
    </xf>
    <xf numFmtId="174" fontId="11" fillId="19" borderId="0" xfId="0" applyNumberFormat="1" applyFont="1" applyFill="1" applyAlignment="1">
      <alignment horizontal="center" vertical="top"/>
    </xf>
    <xf numFmtId="175" fontId="11" fillId="19" borderId="0" xfId="0" applyNumberFormat="1" applyFont="1" applyFill="1" applyAlignment="1">
      <alignment horizontal="center" vertical="top"/>
    </xf>
    <xf numFmtId="170" fontId="11" fillId="19" borderId="0" xfId="0" applyNumberFormat="1" applyFont="1" applyFill="1" applyAlignment="1">
      <alignment horizontal="center" vertical="top"/>
    </xf>
    <xf numFmtId="176" fontId="11" fillId="19" borderId="0" xfId="0" applyNumberFormat="1" applyFont="1" applyFill="1" applyAlignment="1">
      <alignment horizontal="center" vertical="top"/>
    </xf>
    <xf numFmtId="174" fontId="26" fillId="19" borderId="8" xfId="0" applyNumberFormat="1" applyFont="1" applyFill="1" applyBorder="1" applyAlignment="1">
      <alignment horizontal="center" vertical="top"/>
    </xf>
    <xf numFmtId="175" fontId="26" fillId="19" borderId="8" xfId="0" applyNumberFormat="1" applyFont="1" applyFill="1" applyBorder="1" applyAlignment="1">
      <alignment horizontal="center" vertical="top"/>
    </xf>
    <xf numFmtId="0" fontId="11" fillId="19" borderId="0" xfId="0" applyFont="1" applyFill="1"/>
    <xf numFmtId="177" fontId="11" fillId="19" borderId="0" xfId="0" applyNumberFormat="1" applyFont="1" applyFill="1"/>
    <xf numFmtId="5" fontId="32" fillId="19" borderId="0" xfId="0" applyNumberFormat="1" applyFont="1" applyFill="1" applyAlignment="1">
      <alignment horizontal="center" vertical="top"/>
    </xf>
    <xf numFmtId="175" fontId="32" fillId="19" borderId="0" xfId="0" applyNumberFormat="1" applyFont="1" applyFill="1" applyAlignment="1">
      <alignment horizontal="center" vertical="top"/>
    </xf>
    <xf numFmtId="175" fontId="32" fillId="19" borderId="0" xfId="0" applyNumberFormat="1" applyFont="1" applyFill="1"/>
    <xf numFmtId="177" fontId="45" fillId="19" borderId="2" xfId="0" applyNumberFormat="1" applyFont="1" applyFill="1" applyBorder="1"/>
    <xf numFmtId="177" fontId="26" fillId="19" borderId="0" xfId="0" applyNumberFormat="1" applyFont="1" applyFill="1" applyAlignment="1">
      <alignment horizontal="center" vertical="top"/>
    </xf>
    <xf numFmtId="175" fontId="26" fillId="19" borderId="0" xfId="0" applyNumberFormat="1" applyFont="1" applyFill="1" applyAlignment="1">
      <alignment horizontal="center" vertical="top"/>
    </xf>
    <xf numFmtId="174" fontId="26" fillId="19" borderId="15" xfId="0" applyNumberFormat="1" applyFont="1" applyFill="1" applyBorder="1" applyAlignment="1">
      <alignment horizontal="center"/>
    </xf>
    <xf numFmtId="175" fontId="26" fillId="19" borderId="15" xfId="0" applyNumberFormat="1" applyFont="1" applyFill="1" applyBorder="1" applyAlignment="1">
      <alignment horizontal="center"/>
    </xf>
    <xf numFmtId="0" fontId="32" fillId="19" borderId="0" xfId="0" applyFont="1" applyFill="1" applyAlignment="1">
      <alignment horizontal="left"/>
    </xf>
    <xf numFmtId="174" fontId="11" fillId="19" borderId="0" xfId="0" applyNumberFormat="1" applyFont="1" applyFill="1" applyAlignment="1">
      <alignment horizontal="center"/>
    </xf>
    <xf numFmtId="174" fontId="26" fillId="19" borderId="0" xfId="0" applyNumberFormat="1" applyFont="1" applyFill="1" applyAlignment="1">
      <alignment horizontal="center"/>
    </xf>
    <xf numFmtId="175" fontId="26" fillId="19" borderId="0" xfId="0" applyNumberFormat="1" applyFont="1" applyFill="1" applyAlignment="1">
      <alignment horizontal="center"/>
    </xf>
    <xf numFmtId="174" fontId="12" fillId="19" borderId="0" xfId="0" applyNumberFormat="1" applyFont="1" applyFill="1" applyAlignment="1" applyProtection="1">
      <alignment horizontal="right"/>
      <protection locked="0"/>
    </xf>
    <xf numFmtId="174" fontId="50" fillId="19" borderId="0" xfId="0" applyNumberFormat="1" applyFont="1" applyFill="1" applyAlignment="1" applyProtection="1">
      <alignment horizontal="right"/>
      <protection locked="0"/>
    </xf>
    <xf numFmtId="174" fontId="12" fillId="19" borderId="7" xfId="0" applyNumberFormat="1" applyFont="1" applyFill="1" applyBorder="1" applyAlignment="1" applyProtection="1">
      <alignment horizontal="right"/>
      <protection locked="0"/>
    </xf>
    <xf numFmtId="174" fontId="50" fillId="19" borderId="7" xfId="0" applyNumberFormat="1" applyFont="1" applyFill="1" applyBorder="1" applyAlignment="1" applyProtection="1">
      <alignment horizontal="right"/>
      <protection locked="0"/>
    </xf>
    <xf numFmtId="176" fontId="12" fillId="19" borderId="0" xfId="0" applyNumberFormat="1" applyFont="1" applyFill="1" applyAlignment="1" applyProtection="1">
      <alignment horizontal="right"/>
      <protection locked="0"/>
    </xf>
    <xf numFmtId="170" fontId="50" fillId="19" borderId="0" xfId="0" applyNumberFormat="1" applyFont="1" applyFill="1" applyAlignment="1" applyProtection="1">
      <alignment horizontal="right"/>
      <protection locked="0"/>
    </xf>
    <xf numFmtId="0" fontId="51" fillId="19" borderId="0" xfId="0" applyFont="1" applyFill="1" applyAlignment="1" applyProtection="1">
      <alignment horizontal="left"/>
      <protection locked="0"/>
    </xf>
    <xf numFmtId="174" fontId="12" fillId="19" borderId="0" xfId="0" applyNumberFormat="1" applyFont="1" applyFill="1" applyAlignment="1" applyProtection="1">
      <alignment horizontal="center"/>
      <protection locked="0"/>
    </xf>
    <xf numFmtId="174" fontId="30" fillId="19" borderId="0" xfId="0" applyNumberFormat="1" applyFont="1" applyFill="1" applyAlignment="1" applyProtection="1">
      <alignment horizontal="center"/>
      <protection locked="0"/>
    </xf>
    <xf numFmtId="175" fontId="30" fillId="19" borderId="0" xfId="0" applyNumberFormat="1" applyFont="1" applyFill="1" applyAlignment="1" applyProtection="1">
      <alignment horizontal="center"/>
      <protection locked="0"/>
    </xf>
    <xf numFmtId="170" fontId="12" fillId="19" borderId="0" xfId="0" applyNumberFormat="1" applyFont="1" applyFill="1" applyAlignment="1" applyProtection="1">
      <alignment horizontal="right"/>
      <protection locked="0"/>
    </xf>
    <xf numFmtId="0" fontId="49" fillId="19" borderId="8" xfId="0" applyFont="1" applyFill="1" applyBorder="1" applyAlignment="1">
      <alignment horizontal="left"/>
    </xf>
    <xf numFmtId="174" fontId="26" fillId="19" borderId="8" xfId="0" applyNumberFormat="1" applyFont="1" applyFill="1" applyBorder="1" applyAlignment="1">
      <alignment horizontal="center"/>
    </xf>
    <xf numFmtId="175" fontId="26" fillId="19" borderId="8" xfId="0" applyNumberFormat="1" applyFont="1" applyFill="1" applyBorder="1" applyAlignment="1">
      <alignment horizontal="center"/>
    </xf>
    <xf numFmtId="174" fontId="26" fillId="19" borderId="8" xfId="0" applyNumberFormat="1" applyFont="1" applyFill="1" applyBorder="1" applyAlignment="1">
      <alignment horizontal="right"/>
    </xf>
    <xf numFmtId="174" fontId="102" fillId="0" borderId="0" xfId="3" applyNumberFormat="1" applyFont="1"/>
    <xf numFmtId="170" fontId="112" fillId="0" borderId="3" xfId="0" applyNumberFormat="1" applyFont="1" applyBorder="1" applyAlignment="1">
      <alignment horizontal="left"/>
    </xf>
    <xf numFmtId="170" fontId="112" fillId="0" borderId="8" xfId="0" applyNumberFormat="1" applyFont="1" applyBorder="1" applyAlignment="1">
      <alignment horizontal="left"/>
    </xf>
    <xf numFmtId="0" fontId="113" fillId="0" borderId="0" xfId="0" applyFont="1"/>
    <xf numFmtId="0" fontId="116" fillId="20" borderId="0" xfId="0" applyFont="1" applyFill="1"/>
    <xf numFmtId="0" fontId="117" fillId="20" borderId="0" xfId="5" applyFont="1" applyFill="1"/>
    <xf numFmtId="0" fontId="43" fillId="20" borderId="0" xfId="5" applyFill="1"/>
    <xf numFmtId="0" fontId="0" fillId="20" borderId="0" xfId="0" applyFill="1"/>
    <xf numFmtId="0" fontId="117" fillId="20" borderId="0" xfId="5" applyFont="1" applyFill="1" applyAlignment="1">
      <alignment wrapText="1"/>
    </xf>
    <xf numFmtId="0" fontId="26" fillId="0" borderId="2" xfId="0" applyFont="1" applyBorder="1" applyAlignment="1">
      <alignment wrapText="1"/>
    </xf>
    <xf numFmtId="0" fontId="31" fillId="7" borderId="3" xfId="0" applyFont="1" applyFill="1" applyBorder="1" applyAlignment="1" applyProtection="1">
      <alignment horizontal="left"/>
      <protection locked="0"/>
    </xf>
    <xf numFmtId="0" fontId="111" fillId="7" borderId="5" xfId="0" applyFont="1" applyFill="1" applyBorder="1" applyAlignment="1" applyProtection="1">
      <alignment horizontal="left"/>
      <protection locked="0"/>
    </xf>
    <xf numFmtId="0" fontId="28" fillId="7" borderId="3" xfId="0" applyFont="1" applyFill="1" applyBorder="1" applyAlignment="1" applyProtection="1">
      <alignment horizontal="center"/>
      <protection locked="0"/>
    </xf>
    <xf numFmtId="0" fontId="26" fillId="0" borderId="2" xfId="0" applyFont="1" applyBorder="1"/>
    <xf numFmtId="0" fontId="12" fillId="7" borderId="3" xfId="0" applyFont="1" applyFill="1" applyBorder="1" applyAlignment="1" applyProtection="1">
      <alignment horizontal="left"/>
      <protection locked="0"/>
    </xf>
    <xf numFmtId="0" fontId="3" fillId="7" borderId="3" xfId="1" applyFill="1" applyBorder="1" applyAlignment="1" applyProtection="1">
      <alignment horizontal="left" wrapText="1"/>
      <protection locked="0"/>
    </xf>
    <xf numFmtId="0" fontId="11" fillId="7" borderId="3" xfId="1"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11" fillId="7" borderId="5" xfId="1" applyFont="1" applyFill="1" applyBorder="1" applyAlignment="1" applyProtection="1">
      <alignment horizontal="left" wrapText="1"/>
      <protection locked="0"/>
    </xf>
    <xf numFmtId="0" fontId="29" fillId="0" borderId="6" xfId="0" applyFont="1" applyBorder="1" applyAlignment="1">
      <alignment horizontal="left" vertical="center" wrapText="1"/>
    </xf>
    <xf numFmtId="0" fontId="29" fillId="0" borderId="5" xfId="0" applyFont="1" applyBorder="1" applyAlignment="1">
      <alignment horizontal="left" vertical="center" wrapText="1"/>
    </xf>
    <xf numFmtId="0" fontId="114" fillId="0" borderId="55" xfId="0" applyFont="1" applyBorder="1" applyAlignment="1">
      <alignment horizontal="center"/>
    </xf>
    <xf numFmtId="0" fontId="114" fillId="0" borderId="56" xfId="0" applyFont="1" applyBorder="1" applyAlignment="1">
      <alignment horizontal="center"/>
    </xf>
    <xf numFmtId="0" fontId="114" fillId="0" borderId="57" xfId="0" applyFont="1" applyBorder="1" applyAlignment="1">
      <alignment horizontal="center"/>
    </xf>
    <xf numFmtId="0" fontId="114" fillId="0" borderId="58" xfId="0" applyFont="1" applyBorder="1" applyAlignment="1">
      <alignment horizontal="center"/>
    </xf>
    <xf numFmtId="0" fontId="114" fillId="0" borderId="113" xfId="0" applyFont="1" applyBorder="1" applyAlignment="1">
      <alignment horizontal="center"/>
    </xf>
    <xf numFmtId="0" fontId="0" fillId="0" borderId="0" xfId="0" applyAlignment="1">
      <alignment horizontal="center"/>
    </xf>
    <xf numFmtId="0" fontId="11" fillId="0" borderId="0" xfId="0" applyFont="1" applyAlignment="1">
      <alignment horizontal="center"/>
    </xf>
    <xf numFmtId="0" fontId="12" fillId="7" borderId="5" xfId="0" applyFont="1" applyFill="1" applyBorder="1" applyProtection="1">
      <protection locked="0"/>
    </xf>
    <xf numFmtId="0" fontId="26" fillId="9" borderId="7" xfId="0" applyFont="1" applyFill="1" applyBorder="1" applyAlignment="1">
      <alignment wrapText="1"/>
    </xf>
    <xf numFmtId="0" fontId="53" fillId="15" borderId="3" xfId="0" applyFont="1" applyFill="1" applyBorder="1" applyProtection="1">
      <protection locked="0"/>
    </xf>
    <xf numFmtId="0" fontId="12" fillId="7" borderId="39" xfId="0" applyFont="1" applyFill="1" applyBorder="1" applyProtection="1">
      <protection locked="0"/>
    </xf>
    <xf numFmtId="10" fontId="78" fillId="7" borderId="5" xfId="4" applyNumberFormat="1" applyFont="1" applyFill="1" applyBorder="1" applyAlignment="1" applyProtection="1">
      <alignment horizontal="left" vertical="top"/>
      <protection locked="0"/>
    </xf>
    <xf numFmtId="0" fontId="53" fillId="0" borderId="7" xfId="0" applyFont="1" applyBorder="1" applyAlignment="1">
      <alignment horizontal="left"/>
    </xf>
    <xf numFmtId="0" fontId="53" fillId="0" borderId="8" xfId="0" applyFont="1" applyBorder="1" applyAlignment="1">
      <alignment horizontal="left"/>
    </xf>
    <xf numFmtId="0" fontId="59" fillId="0" borderId="2" xfId="1" applyFont="1" applyFill="1" applyBorder="1" applyAlignment="1" applyProtection="1">
      <alignment horizontal="right" wrapText="1" indent="1"/>
    </xf>
    <xf numFmtId="0" fontId="59" fillId="0" borderId="13" xfId="1" applyFont="1" applyFill="1" applyBorder="1" applyAlignment="1" applyProtection="1">
      <alignment horizontal="right" wrapText="1" indent="1"/>
    </xf>
    <xf numFmtId="0" fontId="41" fillId="3" borderId="0" xfId="0" applyFont="1" applyFill="1" applyAlignment="1">
      <alignment wrapText="1"/>
    </xf>
    <xf numFmtId="0" fontId="11" fillId="0" borderId="0" xfId="0" applyFont="1"/>
    <xf numFmtId="0" fontId="58" fillId="3" borderId="0" xfId="0" quotePrefix="1" applyFont="1" applyFill="1" applyAlignment="1">
      <alignment wrapText="1"/>
    </xf>
    <xf numFmtId="0" fontId="42" fillId="6" borderId="0" xfId="0" applyFont="1" applyFill="1" applyAlignment="1">
      <alignment horizontal="left"/>
    </xf>
    <xf numFmtId="0" fontId="26" fillId="0" borderId="16" xfId="0" applyFont="1" applyBorder="1" applyAlignment="1">
      <alignment horizontal="center"/>
    </xf>
    <xf numFmtId="0" fontId="26" fillId="0" borderId="8" xfId="0" applyFont="1" applyBorder="1" applyAlignment="1">
      <alignment horizontal="center"/>
    </xf>
    <xf numFmtId="0" fontId="26" fillId="0" borderId="9" xfId="0" applyFont="1" applyBorder="1" applyAlignment="1">
      <alignment horizontal="center"/>
    </xf>
    <xf numFmtId="0" fontId="6" fillId="4" borderId="0" xfId="0" applyFont="1" applyFill="1"/>
    <xf numFmtId="0" fontId="86" fillId="0" borderId="0" xfId="0" applyFont="1" applyAlignment="1">
      <alignment horizontal="center"/>
    </xf>
    <xf numFmtId="0" fontId="6" fillId="2" borderId="109" xfId="12" applyFont="1" applyFill="1" applyBorder="1" applyAlignment="1" applyProtection="1">
      <alignment horizontal="center" vertical="top" wrapText="1"/>
      <protection locked="0"/>
    </xf>
    <xf numFmtId="0" fontId="6" fillId="2" borderId="108" xfId="12" applyFont="1" applyFill="1" applyBorder="1" applyAlignment="1" applyProtection="1">
      <alignment horizontal="center" vertical="top" wrapText="1"/>
      <protection locked="0"/>
    </xf>
  </cellXfs>
  <cellStyles count="13">
    <cellStyle name="Comma" xfId="2" builtinId="3"/>
    <cellStyle name="Comma 2" xfId="11" xr:uid="{8BC6D857-F1F8-4A7C-A1CC-6FF1E8837504}"/>
    <cellStyle name="Currency" xfId="3" builtinId="4"/>
    <cellStyle name="Currency 2" xfId="9" xr:uid="{E41EA451-446B-4CA0-86B7-29BD856281F4}"/>
    <cellStyle name="Hyperlink" xfId="1" builtinId="8"/>
    <cellStyle name="Normal" xfId="0" builtinId="0"/>
    <cellStyle name="Normal 10" xfId="5" xr:uid="{6FB8BB3B-01B8-4BB5-8AD2-9FCB8AD05C83}"/>
    <cellStyle name="Normal 2" xfId="6" xr:uid="{D1824413-036C-4F97-8577-4F19CAF8747F}"/>
    <cellStyle name="Normal 30" xfId="12" xr:uid="{2393749D-5775-4ED4-AA04-9C5125C3CF56}"/>
    <cellStyle name="Percent" xfId="4" builtinId="5"/>
    <cellStyle name="Percent 2" xfId="10" xr:uid="{856480FD-3779-4849-9D2E-AFDE4289018F}"/>
    <cellStyle name="Percent 2 11 2 2" xfId="7" xr:uid="{113FA071-58DA-4DA0-B9AC-18EBE255ACCF}"/>
    <cellStyle name="Style 1" xfId="8" xr:uid="{337C8DEF-395B-4CAF-B2F4-4537666ECB51}"/>
  </cellStyles>
  <dxfs count="68">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rgb="FFCCCCCC"/>
        </patternFill>
      </fill>
    </dxf>
    <dxf>
      <fill>
        <patternFill>
          <bgColor indexed="42"/>
        </patternFill>
      </fill>
    </dxf>
    <dxf>
      <fill>
        <patternFill>
          <bgColor indexed="42"/>
        </patternFill>
      </fill>
    </dxf>
    <dxf>
      <fill>
        <patternFill>
          <bgColor rgb="FFF0F0F0"/>
        </patternFill>
      </fill>
    </dxf>
    <dxf>
      <fill>
        <patternFill>
          <bgColor rgb="FFF0F0F0"/>
        </patternFill>
      </fill>
    </dxf>
    <dxf>
      <fill>
        <patternFill>
          <bgColor indexed="42"/>
        </patternFill>
      </fill>
    </dxf>
    <dxf>
      <fill>
        <patternFill>
          <bgColor indexed="42"/>
        </patternFill>
      </fill>
    </dxf>
    <dxf>
      <fill>
        <patternFill>
          <bgColor rgb="FFCCCCCC"/>
        </patternFill>
      </fill>
    </dxf>
    <dxf>
      <fill>
        <patternFill>
          <bgColor indexed="42"/>
        </patternFill>
      </fill>
    </dxf>
    <dxf>
      <fill>
        <patternFill>
          <bgColor rgb="FFCCCCCC"/>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rgb="FFFF0000"/>
        </patternFill>
      </fill>
    </dxf>
    <dxf>
      <fill>
        <patternFill>
          <bgColor rgb="FFF0F0F0"/>
        </patternFill>
      </fill>
    </dxf>
    <dxf>
      <fill>
        <patternFill>
          <bgColor indexed="42"/>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indexed="42"/>
        </patternFill>
      </fill>
    </dxf>
    <dxf>
      <fill>
        <patternFill>
          <bgColor indexed="22"/>
        </patternFill>
      </fill>
    </dxf>
    <dxf>
      <font>
        <b/>
        <i val="0"/>
      </font>
      <border>
        <left style="thin">
          <color auto="1"/>
        </left>
        <right style="thin">
          <color auto="1"/>
        </right>
        <top style="thin">
          <color auto="1"/>
        </top>
        <bottom style="thin">
          <color auto="1"/>
        </bottom>
      </border>
    </dxf>
    <dxf>
      <fill>
        <patternFill>
          <bgColor rgb="FFF0F0F0"/>
        </patternFill>
      </fill>
    </dxf>
    <dxf>
      <fill>
        <patternFill>
          <bgColor rgb="FFF0F0F0"/>
        </patternFill>
      </fill>
    </dxf>
    <dxf>
      <font>
        <b/>
        <i val="0"/>
      </font>
      <fill>
        <patternFill>
          <bgColor rgb="FFFF9999"/>
        </patternFill>
      </fill>
    </dxf>
    <dxf>
      <fill>
        <patternFill>
          <bgColor indexed="42"/>
        </patternFill>
      </fill>
    </dxf>
    <dxf>
      <font>
        <b/>
        <i val="0"/>
      </font>
      <fill>
        <patternFill patternType="none">
          <bgColor auto="1"/>
        </patternFill>
      </fill>
    </dxf>
    <dxf>
      <fill>
        <patternFill>
          <bgColor rgb="FFF0F0F0"/>
        </patternFill>
      </fill>
    </dxf>
    <dxf>
      <fill>
        <patternFill>
          <bgColor rgb="FFF0F0F0"/>
        </patternFill>
      </fill>
    </dxf>
    <dxf>
      <fill>
        <patternFill>
          <bgColor indexed="42"/>
        </patternFill>
      </fill>
    </dxf>
    <dxf>
      <fill>
        <patternFill>
          <bgColor indexed="42"/>
        </patternFill>
      </fill>
    </dxf>
    <dxf>
      <fill>
        <patternFill>
          <bgColor indexed="42"/>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indexed="42"/>
        </patternFill>
      </fill>
    </dxf>
    <dxf>
      <fill>
        <patternFill>
          <bgColor rgb="FFCCCCCC"/>
        </patternFill>
      </fill>
    </dxf>
    <dxf>
      <fill>
        <patternFill>
          <bgColor indexed="42"/>
        </patternFill>
      </fill>
    </dxf>
    <dxf>
      <fill>
        <patternFill>
          <bgColor indexed="42"/>
        </patternFill>
      </fill>
    </dxf>
    <dxf>
      <fill>
        <patternFill>
          <bgColor rgb="FFCCCCCC"/>
        </patternFill>
      </fill>
    </dxf>
    <dxf>
      <fill>
        <patternFill>
          <bgColor indexed="22"/>
        </patternFill>
      </fill>
    </dxf>
    <dxf>
      <fill>
        <patternFill>
          <bgColor indexed="42"/>
        </patternFill>
      </fill>
    </dxf>
    <dxf>
      <fill>
        <patternFill>
          <bgColor indexed="22"/>
        </patternFill>
      </fill>
    </dxf>
    <dxf>
      <fill>
        <patternFill>
          <bgColor indexed="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06/relationships/rdRichValueStructure" Target="richData/rdrichvaluestructure.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06/relationships/rdRichValue" Target="richData/rdrichvalu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22/10/relationships/richValueRel" Target="richData/richValueRel.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microsoft.com/office/2017/06/relationships/rdRichValueTypes" Target="richData/rdRichValueType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Distribution of Marketing Costs over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numRef>
              <c:f>Marketing!$H$35:$N$35</c:f>
              <c:numCache>
                <c:formatCode>"SYE "General</c:formatCode>
                <c:ptCount val="7"/>
                <c:pt idx="0">
                  <c:v>2025</c:v>
                </c:pt>
                <c:pt idx="1">
                  <c:v>2026</c:v>
                </c:pt>
                <c:pt idx="2">
                  <c:v>2027</c:v>
                </c:pt>
                <c:pt idx="3">
                  <c:v>2028</c:v>
                </c:pt>
                <c:pt idx="4">
                  <c:v>2029</c:v>
                </c:pt>
                <c:pt idx="5">
                  <c:v>2030</c:v>
                </c:pt>
                <c:pt idx="6">
                  <c:v>2031</c:v>
                </c:pt>
              </c:numCache>
            </c:numRef>
          </c:cat>
          <c:val>
            <c:numRef>
              <c:f>Marketing!$H$45:$N$45</c:f>
              <c:numCache>
                <c:formatCode>0%;[Red]\(0%\);"-%"</c:formatCode>
                <c:ptCount val="7"/>
                <c:pt idx="0">
                  <c:v>0.14285714285714285</c:v>
                </c:pt>
                <c:pt idx="1">
                  <c:v>0.14285714285714285</c:v>
                </c:pt>
                <c:pt idx="2">
                  <c:v>0.14285714285714285</c:v>
                </c:pt>
                <c:pt idx="3">
                  <c:v>0.14285714285714285</c:v>
                </c:pt>
                <c:pt idx="4">
                  <c:v>0.14285714285714285</c:v>
                </c:pt>
                <c:pt idx="5">
                  <c:v>0.14285714285714285</c:v>
                </c:pt>
                <c:pt idx="6">
                  <c:v>0.14285714285714285</c:v>
                </c:pt>
              </c:numCache>
            </c:numRef>
          </c:val>
          <c:extLst>
            <c:ext xmlns:c16="http://schemas.microsoft.com/office/drawing/2014/chart" uri="{C3380CC4-5D6E-409C-BE32-E72D297353CC}">
              <c16:uniqueId val="{00000000-096E-45FD-8412-20D86ECA80D3}"/>
            </c:ext>
          </c:extLst>
        </c:ser>
        <c:dLbls>
          <c:showLegendKey val="0"/>
          <c:showVal val="0"/>
          <c:showCatName val="0"/>
          <c:showSerName val="0"/>
          <c:showPercent val="0"/>
          <c:showBubbleSize val="0"/>
        </c:dLbls>
        <c:gapWidth val="219"/>
        <c:overlap val="-27"/>
        <c:axId val="609338608"/>
        <c:axId val="609337296"/>
      </c:barChart>
      <c:catAx>
        <c:axId val="609338608"/>
        <c:scaling>
          <c:orientation val="minMax"/>
        </c:scaling>
        <c:delete val="0"/>
        <c:axPos val="b"/>
        <c:numFmt formatCode="&quot;SYE &quot;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337296"/>
        <c:crosses val="autoZero"/>
        <c:auto val="1"/>
        <c:lblAlgn val="ctr"/>
        <c:lblOffset val="100"/>
        <c:noMultiLvlLbl val="0"/>
      </c:catAx>
      <c:valAx>
        <c:axId val="609337296"/>
        <c:scaling>
          <c:orientation val="minMax"/>
        </c:scaling>
        <c:delete val="0"/>
        <c:axPos val="l"/>
        <c:majorGridlines>
          <c:spPr>
            <a:ln w="9525" cap="flat" cmpd="sng" algn="ctr">
              <a:solidFill>
                <a:schemeClr val="tx1">
                  <a:lumMod val="15000"/>
                  <a:lumOff val="85000"/>
                </a:schemeClr>
              </a:solidFill>
              <a:round/>
            </a:ln>
            <a:effectLst/>
          </c:spPr>
        </c:majorGridlines>
        <c:numFmt formatCode="0%;[Red]\(0%\);&quot;-%&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338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7</xdr:col>
      <xdr:colOff>625668</xdr:colOff>
      <xdr:row>97</xdr:row>
      <xdr:rowOff>133350</xdr:rowOff>
    </xdr:from>
    <xdr:to>
      <xdr:col>8</xdr:col>
      <xdr:colOff>1353545</xdr:colOff>
      <xdr:row>105</xdr:row>
      <xdr:rowOff>98231</xdr:rowOff>
    </xdr:to>
    <xdr:sp macro="" textlink="">
      <xdr:nvSpPr>
        <xdr:cNvPr id="2" name="TextBox 1">
          <a:extLst>
            <a:ext uri="{FF2B5EF4-FFF2-40B4-BE49-F238E27FC236}">
              <a16:creationId xmlns:a16="http://schemas.microsoft.com/office/drawing/2014/main" id="{B088DFD0-67A9-46FA-96CB-C6CDF740234C}"/>
            </a:ext>
          </a:extLst>
        </xdr:cNvPr>
        <xdr:cNvSpPr txBox="1"/>
      </xdr:nvSpPr>
      <xdr:spPr>
        <a:xfrm>
          <a:off x="8664768" y="18783300"/>
          <a:ext cx="2128052" cy="1488881"/>
        </a:xfrm>
        <a:prstGeom prst="rect">
          <a:avLst/>
        </a:prstGeom>
        <a:solidFill>
          <a:srgbClr xmlns:mc="http://schemas.openxmlformats.org/markup-compatibility/2006" xmlns:a14="http://schemas.microsoft.com/office/drawing/2010/main" val="FFFF99" mc:Ignorable="a14" a14:legacySpreadsheetColorIndex="4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Overwrite your inputs to the left.  These assumptions are provided as examples only.  They</a:t>
          </a:r>
          <a:r>
            <a:rPr lang="en-US" sz="1100" baseline="0"/>
            <a:t> </a:t>
          </a:r>
          <a:r>
            <a:rPr lang="en-US" sz="1100"/>
            <a:t>are those that other schools have used. They may not be applicable to your situation.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351075</xdr:colOff>
      <xdr:row>54</xdr:row>
      <xdr:rowOff>152289</xdr:rowOff>
    </xdr:from>
    <xdr:to>
      <xdr:col>5</xdr:col>
      <xdr:colOff>425530</xdr:colOff>
      <xdr:row>91</xdr:row>
      <xdr:rowOff>107675</xdr:rowOff>
    </xdr:to>
    <xdr:sp macro="" textlink="">
      <xdr:nvSpPr>
        <xdr:cNvPr id="2" name="TextBox 1">
          <a:extLst>
            <a:ext uri="{FF2B5EF4-FFF2-40B4-BE49-F238E27FC236}">
              <a16:creationId xmlns:a16="http://schemas.microsoft.com/office/drawing/2014/main" id="{B9152FC4-8277-48E1-B258-B3A5693DD9EE}"/>
            </a:ext>
          </a:extLst>
        </xdr:cNvPr>
        <xdr:cNvSpPr txBox="1"/>
      </xdr:nvSpPr>
      <xdr:spPr>
        <a:xfrm>
          <a:off x="351075" y="11067939"/>
          <a:ext cx="6418105" cy="70038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Times New Roman" panose="02020603050405020304" pitchFamily="18" charset="0"/>
              <a:ea typeface="+mn-ea"/>
              <a:cs typeface="+mn-cs"/>
            </a:rPr>
            <a:t>NAC 388A.190</a:t>
          </a:r>
          <a:r>
            <a:rPr lang="en-US" sz="1100">
              <a:solidFill>
                <a:schemeClr val="dk1"/>
              </a:solidFill>
              <a:effectLst/>
              <a:latin typeface="Times New Roman" panose="02020603050405020304" pitchFamily="18" charset="0"/>
              <a:ea typeface="+mn-ea"/>
              <a:cs typeface="+mn-cs"/>
            </a:rPr>
            <a:t>  </a:t>
          </a:r>
          <a:r>
            <a:rPr lang="en-US" sz="1100" b="1">
              <a:solidFill>
                <a:schemeClr val="dk1"/>
              </a:solidFill>
              <a:effectLst/>
              <a:latin typeface="Times New Roman" panose="02020603050405020304" pitchFamily="18" charset="0"/>
              <a:ea typeface="+mn-ea"/>
              <a:cs typeface="+mn-cs"/>
            </a:rPr>
            <a:t>Provision and maintenance of industrial and general liability insurance coverage. (</a:t>
          </a:r>
          <a:r>
            <a:rPr lang="en-US" sz="1100" u="sng">
              <a:solidFill>
                <a:schemeClr val="dk1"/>
              </a:solidFill>
              <a:effectLst/>
              <a:latin typeface="Times New Roman" panose="02020603050405020304" pitchFamily="18" charset="0"/>
              <a:ea typeface="+mn-ea"/>
              <a:cs typeface="+mn-cs"/>
              <a:hlinkClick xmlns:r="http://schemas.openxmlformats.org/officeDocument/2006/relationships" r:id=""/>
            </a:rPr>
            <a:t>NRS 385.080</a:t>
          </a:r>
          <a:r>
            <a:rPr lang="en-US" sz="1100" b="1">
              <a:solidFill>
                <a:schemeClr val="dk1"/>
              </a:solidFill>
              <a:effectLst/>
              <a:latin typeface="Times New Roman" panose="02020603050405020304" pitchFamily="18" charset="0"/>
              <a:ea typeface="+mn-ea"/>
              <a:cs typeface="+mn-cs"/>
            </a:rPr>
            <a:t>, </a:t>
          </a:r>
          <a:r>
            <a:rPr lang="en-US" sz="1100" u="sng">
              <a:solidFill>
                <a:schemeClr val="dk1"/>
              </a:solidFill>
              <a:effectLst/>
              <a:latin typeface="Times New Roman" panose="02020603050405020304" pitchFamily="18" charset="0"/>
              <a:ea typeface="+mn-ea"/>
              <a:cs typeface="+mn-cs"/>
              <a:hlinkClick xmlns:r="http://schemas.openxmlformats.org/officeDocument/2006/relationships" r:id=""/>
            </a:rPr>
            <a:t>388A.110</a:t>
          </a:r>
          <a:r>
            <a:rPr lang="en-US" sz="1100" b="1">
              <a:solidFill>
                <a:schemeClr val="dk1"/>
              </a:solidFill>
              <a:effectLst/>
              <a:latin typeface="Times New Roman" panose="02020603050405020304" pitchFamily="18" charset="0"/>
              <a:ea typeface="+mn-ea"/>
              <a:cs typeface="+mn-cs"/>
            </a:rPr>
            <a:t>)</a:t>
          </a:r>
          <a:endParaRPr lang="en-US" sz="1100">
            <a:solidFill>
              <a:schemeClr val="dk1"/>
            </a:solidFill>
            <a:effectLst/>
            <a:latin typeface="Times New Roman" panose="02020603050405020304" pitchFamily="18" charset="0"/>
            <a:ea typeface="+mn-ea"/>
            <a:cs typeface="+mn-cs"/>
          </a:endParaRPr>
        </a:p>
        <a:p>
          <a:r>
            <a:rPr lang="en-US" sz="1100">
              <a:solidFill>
                <a:schemeClr val="dk1"/>
              </a:solidFill>
              <a:effectLst/>
              <a:latin typeface="Times New Roman" panose="02020603050405020304" pitchFamily="18" charset="0"/>
              <a:ea typeface="+mn-ea"/>
              <a:cs typeface="+mn-cs"/>
            </a:rPr>
            <a:t>     1.  Except as otherwise provided in subsection 4 of </a:t>
          </a:r>
          <a:r>
            <a:rPr lang="en-US" sz="1100" u="sng">
              <a:solidFill>
                <a:schemeClr val="dk1"/>
              </a:solidFill>
              <a:effectLst/>
              <a:latin typeface="Times New Roman" panose="02020603050405020304" pitchFamily="18" charset="0"/>
              <a:ea typeface="+mn-ea"/>
              <a:cs typeface="+mn-cs"/>
              <a:hlinkClick xmlns:r="http://schemas.openxmlformats.org/officeDocument/2006/relationships" r:id=""/>
            </a:rPr>
            <a:t>NAC 388A.140</a:t>
          </a:r>
          <a:r>
            <a:rPr lang="en-US" sz="1100">
              <a:solidFill>
                <a:schemeClr val="dk1"/>
              </a:solidFill>
              <a:effectLst/>
              <a:latin typeface="Times New Roman" panose="02020603050405020304" pitchFamily="18" charset="0"/>
              <a:ea typeface="+mn-ea"/>
              <a:cs typeface="+mn-cs"/>
            </a:rPr>
            <a:t>, a committee to form a charter school shall obtain insurance from an authorized insurer as follows:</a:t>
          </a:r>
        </a:p>
        <a:p>
          <a:r>
            <a:rPr lang="en-US" sz="1100">
              <a:solidFill>
                <a:schemeClr val="dk1"/>
              </a:solidFill>
              <a:effectLst/>
              <a:latin typeface="Times New Roman" panose="02020603050405020304" pitchFamily="18" charset="0"/>
              <a:ea typeface="+mn-ea"/>
              <a:cs typeface="+mn-cs"/>
            </a:rPr>
            <a:t>     (a) Industrial insurance coverage in accordance with the applicable provisions of the Nevada Industrial Insurance Act, </a:t>
          </a:r>
          <a:r>
            <a:rPr lang="en-US" sz="1100" u="sng">
              <a:solidFill>
                <a:schemeClr val="dk1"/>
              </a:solidFill>
              <a:effectLst/>
              <a:latin typeface="Times New Roman" panose="02020603050405020304" pitchFamily="18" charset="0"/>
              <a:ea typeface="+mn-ea"/>
              <a:cs typeface="+mn-cs"/>
              <a:hlinkClick xmlns:r="http://schemas.openxmlformats.org/officeDocument/2006/relationships" r:id=""/>
            </a:rPr>
            <a:t>chapters 616A</a:t>
          </a:r>
          <a:r>
            <a:rPr lang="en-US" sz="1100">
              <a:solidFill>
                <a:schemeClr val="dk1"/>
              </a:solidFill>
              <a:effectLst/>
              <a:latin typeface="Times New Roman" panose="02020603050405020304" pitchFamily="18" charset="0"/>
              <a:ea typeface="+mn-ea"/>
              <a:cs typeface="+mn-cs"/>
            </a:rPr>
            <a:t> to </a:t>
          </a:r>
          <a:r>
            <a:rPr lang="en-US" sz="1100" u="sng">
              <a:solidFill>
                <a:schemeClr val="dk1"/>
              </a:solidFill>
              <a:effectLst/>
              <a:latin typeface="Times New Roman" panose="02020603050405020304" pitchFamily="18" charset="0"/>
              <a:ea typeface="+mn-ea"/>
              <a:cs typeface="+mn-cs"/>
              <a:hlinkClick xmlns:r="http://schemas.openxmlformats.org/officeDocument/2006/relationships" r:id=""/>
            </a:rPr>
            <a:t>616D</a:t>
          </a:r>
          <a:r>
            <a:rPr lang="en-US" sz="1100">
              <a:solidFill>
                <a:schemeClr val="dk1"/>
              </a:solidFill>
              <a:effectLst/>
              <a:latin typeface="Times New Roman" panose="02020603050405020304" pitchFamily="18" charset="0"/>
              <a:ea typeface="+mn-ea"/>
              <a:cs typeface="+mn-cs"/>
            </a:rPr>
            <a:t>, inclusive, of NRS.</a:t>
          </a:r>
        </a:p>
        <a:p>
          <a:r>
            <a:rPr lang="en-US" sz="1100">
              <a:solidFill>
                <a:schemeClr val="dk1"/>
              </a:solidFill>
              <a:effectLst/>
              <a:latin typeface="Times New Roman" panose="02020603050405020304" pitchFamily="18" charset="0"/>
              <a:ea typeface="+mn-ea"/>
              <a:cs typeface="+mn-cs"/>
            </a:rPr>
            <a:t>     (b) Except as otherwise provided in subsection 2, </a:t>
          </a:r>
          <a:r>
            <a:rPr lang="en-US" sz="1100" b="0">
              <a:solidFill>
                <a:schemeClr val="dk1"/>
              </a:solidFill>
              <a:effectLst/>
              <a:latin typeface="Times New Roman" panose="02020603050405020304" pitchFamily="18" charset="0"/>
              <a:ea typeface="+mn-ea"/>
              <a:cs typeface="+mn-cs"/>
            </a:rPr>
            <a:t>general liability</a:t>
          </a:r>
          <a:r>
            <a:rPr lang="en-US" sz="1100">
              <a:solidFill>
                <a:schemeClr val="dk1"/>
              </a:solidFill>
              <a:effectLst/>
              <a:latin typeface="Times New Roman" panose="02020603050405020304" pitchFamily="18" charset="0"/>
              <a:ea typeface="+mn-ea"/>
              <a:cs typeface="+mn-cs"/>
            </a:rPr>
            <a:t> insurance with a minimum coverage of $1,000,000. The general liability insurance policy must include coverage for molestation and sexual abuse, and have a broad form policy, with the named insureds as follows:</a:t>
          </a:r>
        </a:p>
        <a:p>
          <a:r>
            <a:rPr lang="en-US" sz="1100">
              <a:solidFill>
                <a:schemeClr val="dk1"/>
              </a:solidFill>
              <a:effectLst/>
              <a:latin typeface="Times New Roman" panose="02020603050405020304" pitchFamily="18" charset="0"/>
              <a:ea typeface="+mn-ea"/>
              <a:cs typeface="+mn-cs"/>
            </a:rPr>
            <a:t>          (1) The sponsor of the charter school;</a:t>
          </a:r>
        </a:p>
        <a:p>
          <a:r>
            <a:rPr lang="en-US" sz="1100">
              <a:solidFill>
                <a:schemeClr val="dk1"/>
              </a:solidFill>
              <a:effectLst/>
              <a:latin typeface="Times New Roman" panose="02020603050405020304" pitchFamily="18" charset="0"/>
              <a:ea typeface="+mn-ea"/>
              <a:cs typeface="+mn-cs"/>
            </a:rPr>
            <a:t>          (2) All employees of the charter school, including, without limitation, former, present and future employees;</a:t>
          </a:r>
        </a:p>
        <a:p>
          <a:r>
            <a:rPr lang="en-US" sz="1100">
              <a:solidFill>
                <a:schemeClr val="dk1"/>
              </a:solidFill>
              <a:effectLst/>
              <a:latin typeface="Times New Roman" panose="02020603050405020304" pitchFamily="18" charset="0"/>
              <a:ea typeface="+mn-ea"/>
              <a:cs typeface="+mn-cs"/>
            </a:rPr>
            <a:t>          (3) Volunteers at the charter school; and</a:t>
          </a:r>
        </a:p>
        <a:p>
          <a:r>
            <a:rPr lang="en-US" sz="1100">
              <a:solidFill>
                <a:schemeClr val="dk1"/>
              </a:solidFill>
              <a:effectLst/>
              <a:latin typeface="Times New Roman" panose="02020603050405020304" pitchFamily="18" charset="0"/>
              <a:ea typeface="+mn-ea"/>
              <a:cs typeface="+mn-cs"/>
            </a:rPr>
            <a:t>          (4) </a:t>
          </a:r>
          <a:r>
            <a:rPr lang="en-US" sz="1100" b="0">
              <a:solidFill>
                <a:schemeClr val="dk1"/>
              </a:solidFill>
              <a:effectLst/>
              <a:latin typeface="Times New Roman" panose="02020603050405020304" pitchFamily="18" charset="0"/>
              <a:ea typeface="+mn-ea"/>
              <a:cs typeface="+mn-cs"/>
            </a:rPr>
            <a:t>Directors </a:t>
          </a:r>
          <a:r>
            <a:rPr lang="en-US" sz="1100">
              <a:solidFill>
                <a:schemeClr val="dk1"/>
              </a:solidFill>
              <a:effectLst/>
              <a:latin typeface="Times New Roman" panose="02020603050405020304" pitchFamily="18" charset="0"/>
              <a:ea typeface="+mn-ea"/>
              <a:cs typeface="+mn-cs"/>
            </a:rPr>
            <a:t>of the charter school, including, </a:t>
          </a:r>
          <a:r>
            <a:rPr lang="en-US" sz="1100" b="0">
              <a:solidFill>
                <a:schemeClr val="dk1"/>
              </a:solidFill>
              <a:effectLst/>
              <a:latin typeface="Times New Roman" panose="02020603050405020304" pitchFamily="18" charset="0"/>
              <a:ea typeface="+mn-ea"/>
              <a:cs typeface="+mn-cs"/>
            </a:rPr>
            <a:t>without limitation, executive directors.</a:t>
          </a:r>
        </a:p>
        <a:p>
          <a:r>
            <a:rPr lang="en-US" sz="1100">
              <a:solidFill>
                <a:schemeClr val="dk1"/>
              </a:solidFill>
              <a:effectLst/>
              <a:latin typeface="Times New Roman" panose="02020603050405020304" pitchFamily="18" charset="0"/>
              <a:ea typeface="+mn-ea"/>
              <a:cs typeface="+mn-cs"/>
            </a:rPr>
            <a:t>     (c) Umbrella liability insurance with a minimum coverage of $3,000,000.               </a:t>
          </a:r>
        </a:p>
        <a:p>
          <a:r>
            <a:rPr lang="en-US" sz="1100">
              <a:solidFill>
                <a:schemeClr val="dk1"/>
              </a:solidFill>
              <a:effectLst/>
              <a:latin typeface="Times New Roman" panose="02020603050405020304" pitchFamily="18" charset="0"/>
              <a:ea typeface="+mn-ea"/>
              <a:cs typeface="+mn-cs"/>
            </a:rPr>
            <a:t>     (d) Educators’ legal liability insurance with a minimum coverage of $1,000,000.</a:t>
          </a:r>
        </a:p>
        <a:p>
          <a:r>
            <a:rPr lang="en-US" sz="1100">
              <a:solidFill>
                <a:schemeClr val="dk1"/>
              </a:solidFill>
              <a:effectLst/>
              <a:latin typeface="Times New Roman" panose="02020603050405020304" pitchFamily="18" charset="0"/>
              <a:ea typeface="+mn-ea"/>
              <a:cs typeface="+mn-cs"/>
            </a:rPr>
            <a:t>     (e) Employment practices liability insurance with a minimum coverage of $1,000,000.</a:t>
          </a:r>
        </a:p>
        <a:p>
          <a:r>
            <a:rPr lang="en-US" sz="1100">
              <a:solidFill>
                <a:schemeClr val="dk1"/>
              </a:solidFill>
              <a:effectLst/>
              <a:latin typeface="Times New Roman" panose="02020603050405020304" pitchFamily="18" charset="0"/>
              <a:ea typeface="+mn-ea"/>
              <a:cs typeface="+mn-cs"/>
            </a:rPr>
            <a:t>     (f) Employment benefits liability insurance with a minimum coverage of $1,000,000.</a:t>
          </a:r>
        </a:p>
        <a:p>
          <a:r>
            <a:rPr lang="en-US" sz="1100">
              <a:solidFill>
                <a:schemeClr val="dk1"/>
              </a:solidFill>
              <a:effectLst/>
              <a:latin typeface="Times New Roman" panose="02020603050405020304" pitchFamily="18" charset="0"/>
              <a:ea typeface="+mn-ea"/>
              <a:cs typeface="+mn-cs"/>
            </a:rPr>
            <a:t>     (g) Insurance covering errors and omissions of the sponsor and governing body of the charter school with a minimum coverage of $1,000,000.</a:t>
          </a:r>
        </a:p>
        <a:p>
          <a:r>
            <a:rPr lang="en-US" sz="1100">
              <a:solidFill>
                <a:schemeClr val="dk1"/>
              </a:solidFill>
              <a:effectLst/>
              <a:latin typeface="Times New Roman" panose="02020603050405020304" pitchFamily="18" charset="0"/>
              <a:ea typeface="+mn-ea"/>
              <a:cs typeface="+mn-cs"/>
            </a:rPr>
            <a:t>     (h) If applicable, motor vehicle liability insurance with a minimum coverage of $1,000,000.</a:t>
          </a:r>
        </a:p>
        <a:p>
          <a:r>
            <a:rPr lang="en-US" sz="1100">
              <a:solidFill>
                <a:schemeClr val="dk1"/>
              </a:solidFill>
              <a:effectLst/>
              <a:latin typeface="Times New Roman" panose="02020603050405020304" pitchFamily="18" charset="0"/>
              <a:ea typeface="+mn-ea"/>
              <a:cs typeface="+mn-cs"/>
            </a:rPr>
            <a:t>     (i) If applicable, liability insurance for sports and athletic participation with a minimum coverage of $1,000,000.</a:t>
          </a:r>
        </a:p>
        <a:p>
          <a:r>
            <a:rPr lang="en-US" sz="1100">
              <a:solidFill>
                <a:schemeClr val="dk1"/>
              </a:solidFill>
              <a:effectLst/>
              <a:latin typeface="Times New Roman" panose="02020603050405020304" pitchFamily="18" charset="0"/>
              <a:ea typeface="+mn-ea"/>
              <a:cs typeface="+mn-cs"/>
            </a:rPr>
            <a:t>Ê The cost of insurance required by this subsection must be provided to the proposed sponsor by the authorized insurer and included in each budget submitted pursuant to subsection 4 of </a:t>
          </a:r>
          <a:r>
            <a:rPr lang="en-US" sz="1100" u="sng">
              <a:solidFill>
                <a:schemeClr val="dk1"/>
              </a:solidFill>
              <a:effectLst/>
              <a:latin typeface="Times New Roman" panose="02020603050405020304" pitchFamily="18" charset="0"/>
              <a:ea typeface="+mn-ea"/>
              <a:cs typeface="+mn-cs"/>
              <a:hlinkClick xmlns:r="http://schemas.openxmlformats.org/officeDocument/2006/relationships" r:id=""/>
            </a:rPr>
            <a:t>NAC 388A.160</a:t>
          </a:r>
          <a:r>
            <a:rPr lang="en-US" sz="1100">
              <a:solidFill>
                <a:schemeClr val="dk1"/>
              </a:solidFill>
              <a:effectLst/>
              <a:latin typeface="Times New Roman" panose="02020603050405020304" pitchFamily="18" charset="0"/>
              <a:ea typeface="+mn-ea"/>
              <a:cs typeface="+mn-cs"/>
            </a:rPr>
            <a:t> and </a:t>
          </a:r>
          <a:r>
            <a:rPr lang="en-US" sz="1100" u="sng">
              <a:solidFill>
                <a:schemeClr val="dk1"/>
              </a:solidFill>
              <a:effectLst/>
              <a:latin typeface="Times New Roman" panose="02020603050405020304" pitchFamily="18" charset="0"/>
              <a:ea typeface="+mn-ea"/>
              <a:cs typeface="+mn-cs"/>
              <a:hlinkClick xmlns:r="http://schemas.openxmlformats.org/officeDocument/2006/relationships" r:id=""/>
            </a:rPr>
            <a:t>NAC 387.725</a:t>
          </a:r>
          <a:r>
            <a:rPr lang="en-US" sz="1100">
              <a:solidFill>
                <a:schemeClr val="dk1"/>
              </a:solidFill>
              <a:effectLst/>
              <a:latin typeface="Times New Roman" panose="02020603050405020304" pitchFamily="18" charset="0"/>
              <a:ea typeface="+mn-ea"/>
              <a:cs typeface="+mn-cs"/>
            </a:rPr>
            <a:t>.</a:t>
          </a:r>
        </a:p>
        <a:p>
          <a:r>
            <a:rPr lang="en-US" sz="1100">
              <a:solidFill>
                <a:schemeClr val="dk1"/>
              </a:solidFill>
              <a:effectLst/>
              <a:latin typeface="Times New Roman" panose="02020603050405020304" pitchFamily="18" charset="0"/>
              <a:ea typeface="+mn-ea"/>
              <a:cs typeface="+mn-cs"/>
            </a:rPr>
            <a:t>     2.  The sponsor of a charter school may waive all or part of the general liability insurance required pursuant to paragraph (b) of subsection 1 if the sponsor determines that such a waiver is reasonable based upon the risk profile of the charter school or the conditions of the insurance market, or both, including, without limitation, a determination that the cost of obtaining the insurance is excessive or that the insurance is not available because of special circumstances of the charter school.</a:t>
          </a:r>
        </a:p>
        <a:p>
          <a:r>
            <a:rPr lang="en-US" sz="1100">
              <a:solidFill>
                <a:schemeClr val="dk1"/>
              </a:solidFill>
              <a:effectLst/>
              <a:latin typeface="Times New Roman" panose="02020603050405020304" pitchFamily="18" charset="0"/>
              <a:ea typeface="+mn-ea"/>
              <a:cs typeface="+mn-cs"/>
            </a:rPr>
            <a:t>     3.  If an application to form a charter school is approved, the governing body of the charter school shall maintain the insurance required by this section.</a:t>
          </a:r>
        </a:p>
        <a:p>
          <a:r>
            <a:rPr lang="en-US" sz="1100">
              <a:solidFill>
                <a:schemeClr val="dk1"/>
              </a:solidFill>
              <a:effectLst/>
              <a:latin typeface="Times New Roman" panose="02020603050405020304" pitchFamily="18" charset="0"/>
              <a:ea typeface="+mn-ea"/>
              <a:cs typeface="+mn-cs"/>
            </a:rPr>
            <a:t>     4.  An insurer that provides any insurance required pursuant to this section must have a rating of “A-” or better and be classified in a financial category of “VII” or better as determined by A.M. Best Company of Oldwick, New Jersey.</a:t>
          </a:r>
        </a:p>
        <a:p>
          <a:r>
            <a:rPr lang="en-US" sz="1100">
              <a:solidFill>
                <a:schemeClr val="dk1"/>
              </a:solidFill>
              <a:effectLst/>
              <a:latin typeface="Times New Roman" panose="02020603050405020304" pitchFamily="18" charset="0"/>
              <a:ea typeface="+mn-ea"/>
              <a:cs typeface="+mn-cs"/>
            </a:rPr>
            <a:t>     5.  As used in this section, “motor vehicle” has the meaning ascribed to it in </a:t>
          </a:r>
          <a:r>
            <a:rPr lang="en-US" sz="1100" u="sng">
              <a:solidFill>
                <a:schemeClr val="dk1"/>
              </a:solidFill>
              <a:effectLst/>
              <a:latin typeface="Times New Roman" panose="02020603050405020304" pitchFamily="18" charset="0"/>
              <a:ea typeface="+mn-ea"/>
              <a:cs typeface="+mn-cs"/>
              <a:hlinkClick xmlns:r="http://schemas.openxmlformats.org/officeDocument/2006/relationships" r:id=""/>
            </a:rPr>
            <a:t>NRS 485.050</a:t>
          </a:r>
          <a:r>
            <a:rPr lang="en-US" sz="1100">
              <a:solidFill>
                <a:schemeClr val="dk1"/>
              </a:solidFill>
              <a:effectLst/>
              <a:latin typeface="Times New Roman" panose="02020603050405020304" pitchFamily="18" charset="0"/>
              <a:ea typeface="+mn-ea"/>
              <a:cs typeface="+mn-cs"/>
            </a:rPr>
            <a:t>.</a:t>
          </a:r>
        </a:p>
        <a:p>
          <a:r>
            <a:rPr lang="en-US" sz="1100">
              <a:solidFill>
                <a:schemeClr val="dk1"/>
              </a:solidFill>
              <a:effectLst/>
              <a:latin typeface="Times New Roman" panose="02020603050405020304" pitchFamily="18" charset="0"/>
              <a:ea typeface="+mn-ea"/>
              <a:cs typeface="+mn-cs"/>
            </a:rPr>
            <a:t>     (Added to NAC by Dep’t of Education by R044-05, eff. 10-31-2005; A by R074-07, 10-31-2007; A by Bd. of Education by R026-09, 10-27-2009; A by Dep’t of Education by R035-14, 12-22-2014) — (Substituted in revision for NAC 386.215)</a:t>
          </a:r>
        </a:p>
        <a:p>
          <a:endParaRPr lang="en-US" sz="1100">
            <a:latin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xdr:colOff>
      <xdr:row>0</xdr:row>
      <xdr:rowOff>42861</xdr:rowOff>
    </xdr:from>
    <xdr:to>
      <xdr:col>14</xdr:col>
      <xdr:colOff>0</xdr:colOff>
      <xdr:row>8</xdr:row>
      <xdr:rowOff>133350</xdr:rowOff>
    </xdr:to>
    <xdr:graphicFrame macro="">
      <xdr:nvGraphicFramePr>
        <xdr:cNvPr id="2" name="Chart 1">
          <a:extLst>
            <a:ext uri="{FF2B5EF4-FFF2-40B4-BE49-F238E27FC236}">
              <a16:creationId xmlns:a16="http://schemas.microsoft.com/office/drawing/2014/main" id="{25019E49-83E5-4C38-8FCA-FD3E2004EB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125016</xdr:colOff>
      <xdr:row>16</xdr:row>
      <xdr:rowOff>8283</xdr:rowOff>
    </xdr:from>
    <xdr:to>
      <xdr:col>4</xdr:col>
      <xdr:colOff>414130</xdr:colOff>
      <xdr:row>21</xdr:row>
      <xdr:rowOff>190500</xdr:rowOff>
    </xdr:to>
    <xdr:sp macro="" textlink="">
      <xdr:nvSpPr>
        <xdr:cNvPr id="2" name="Right Brace 1">
          <a:extLst>
            <a:ext uri="{FF2B5EF4-FFF2-40B4-BE49-F238E27FC236}">
              <a16:creationId xmlns:a16="http://schemas.microsoft.com/office/drawing/2014/main" id="{B2379D78-D965-4D7E-9FA7-51A51381A8FF}"/>
            </a:ext>
          </a:extLst>
        </xdr:cNvPr>
        <xdr:cNvSpPr/>
      </xdr:nvSpPr>
      <xdr:spPr bwMode="auto">
        <a:xfrm>
          <a:off x="5411391" y="3170583"/>
          <a:ext cx="289114" cy="1182342"/>
        </a:xfrm>
        <a:prstGeom prst="rightBrace">
          <a:avLst>
            <a:gd name="adj1" fmla="val 0"/>
            <a:gd name="adj2" fmla="val 50000"/>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238125</xdr:colOff>
      <xdr:row>268</xdr:row>
      <xdr:rowOff>190500</xdr:rowOff>
    </xdr:from>
    <xdr:to>
      <xdr:col>31</xdr:col>
      <xdr:colOff>266700</xdr:colOff>
      <xdr:row>289</xdr:row>
      <xdr:rowOff>133350</xdr:rowOff>
    </xdr:to>
    <xdr:sp macro="" textlink="">
      <xdr:nvSpPr>
        <xdr:cNvPr id="2" name="TextBox 1">
          <a:extLst>
            <a:ext uri="{FF2B5EF4-FFF2-40B4-BE49-F238E27FC236}">
              <a16:creationId xmlns:a16="http://schemas.microsoft.com/office/drawing/2014/main" id="{2463A215-8693-411F-B063-A7735C93BE2A}"/>
            </a:ext>
          </a:extLst>
        </xdr:cNvPr>
        <xdr:cNvSpPr txBox="1"/>
      </xdr:nvSpPr>
      <xdr:spPr>
        <a:xfrm>
          <a:off x="9677400" y="6315075"/>
          <a:ext cx="1356360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Though a student can only be counted</a:t>
          </a:r>
          <a:r>
            <a:rPr lang="en-US" sz="1100" baseline="0"/>
            <a:t> in one category if they otherwise qualify for multiple categories I'm breaking out the mixture of  where a student is being counted and not counted.</a:t>
          </a:r>
        </a:p>
        <a:p>
          <a:endParaRPr lang="en-US" sz="1100" baseline="0"/>
        </a:p>
        <a:p>
          <a:r>
            <a:rPr lang="en-US" sz="1100" baseline="0"/>
            <a:t>That's because we've been counting "blended" students  historically and I think we want to still be able to  continue that "measurement" approach.</a:t>
          </a:r>
        </a:p>
        <a:p>
          <a:endParaRPr lang="en-US" sz="1100" baseline="0"/>
        </a:p>
        <a:p>
          <a:r>
            <a:rPr lang="en-US" sz="1100" baseline="0"/>
            <a:t>At the same time we want to know how many qualifying students there are for additional funding.  And  by having those students that are not qualified then we can essentially do a check for reasonability.  that check would be to ask how reasonable it would be to have a certain proportion of blended/diverse students versus not.  It's highly likely that some students should be counted in multiple categories they otherwise qualify for even if they dont't qualify for the additional funding.   </a:t>
          </a:r>
          <a:endParaRPr lang="en-US" sz="1100"/>
        </a:p>
      </xdr:txBody>
    </xdr:sp>
    <xdr:clientData/>
  </xdr:twoCellAnchor>
  <xdr:oneCellAnchor>
    <xdr:from>
      <xdr:col>5</xdr:col>
      <xdr:colOff>771525</xdr:colOff>
      <xdr:row>93</xdr:row>
      <xdr:rowOff>142875</xdr:rowOff>
    </xdr:from>
    <xdr:ext cx="184731" cy="264560"/>
    <xdr:sp macro="" textlink="">
      <xdr:nvSpPr>
        <xdr:cNvPr id="3" name="TextBox 2">
          <a:extLst>
            <a:ext uri="{FF2B5EF4-FFF2-40B4-BE49-F238E27FC236}">
              <a16:creationId xmlns:a16="http://schemas.microsoft.com/office/drawing/2014/main" id="{E22EF63A-73CF-4858-B3C8-14AB5C049629}"/>
            </a:ext>
          </a:extLst>
        </xdr:cNvPr>
        <xdr:cNvSpPr txBox="1"/>
      </xdr:nvSpPr>
      <xdr:spPr>
        <a:xfrm>
          <a:off x="53340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1</xdr:col>
      <xdr:colOff>478568</xdr:colOff>
      <xdr:row>25</xdr:row>
      <xdr:rowOff>26918</xdr:rowOff>
    </xdr:from>
    <xdr:to>
      <xdr:col>20</xdr:col>
      <xdr:colOff>57232</xdr:colOff>
      <xdr:row>46</xdr:row>
      <xdr:rowOff>154470</xdr:rowOff>
    </xdr:to>
    <xdr:pic>
      <xdr:nvPicPr>
        <xdr:cNvPr id="2" name="Picture 10">
          <a:extLst>
            <a:ext uri="{FF2B5EF4-FFF2-40B4-BE49-F238E27FC236}">
              <a16:creationId xmlns:a16="http://schemas.microsoft.com/office/drawing/2014/main" id="{FEF0F8D7-C2E1-4B93-B021-D90182C2FA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0993" y="4151243"/>
          <a:ext cx="11342039" cy="35279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198782</xdr:colOff>
      <xdr:row>47</xdr:row>
      <xdr:rowOff>124239</xdr:rowOff>
    </xdr:from>
    <xdr:to>
      <xdr:col>10</xdr:col>
      <xdr:colOff>480391</xdr:colOff>
      <xdr:row>55</xdr:row>
      <xdr:rowOff>107674</xdr:rowOff>
    </xdr:to>
    <xdr:sp macro="" textlink="">
      <xdr:nvSpPr>
        <xdr:cNvPr id="3" name="TextBox 2">
          <a:extLst>
            <a:ext uri="{FF2B5EF4-FFF2-40B4-BE49-F238E27FC236}">
              <a16:creationId xmlns:a16="http://schemas.microsoft.com/office/drawing/2014/main" id="{B438DB3E-EE1D-43BB-B59B-CBF82E89AC8B}"/>
            </a:ext>
          </a:extLst>
        </xdr:cNvPr>
        <xdr:cNvSpPr txBox="1"/>
      </xdr:nvSpPr>
      <xdr:spPr>
        <a:xfrm>
          <a:off x="198782" y="7810914"/>
          <a:ext cx="6206159" cy="12788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Question on the FFE&amp;T tab of the budget workbook – the formula in row 55 is including only noncapitalized expenses and excluding the costs of furniture and computer equipment.  If the school has a capitalization policy of $5,000, these items would be considered noncapital and should be expensed fully in the year purchased (because individual costs are less than $5k).  What is the recommended workaround for properly including these expenses in each year?  Also, - in looking at row 53, a fixed 15 year life for all capitalized expenditures seems too long, particularly for computers. 7/13/2020</a:t>
          </a:r>
        </a:p>
        <a:p>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10</xdr:col>
      <xdr:colOff>115956</xdr:colOff>
      <xdr:row>8</xdr:row>
      <xdr:rowOff>124238</xdr:rowOff>
    </xdr:from>
    <xdr:ext cx="2923761" cy="1297919"/>
    <xdr:sp macro="" textlink="">
      <xdr:nvSpPr>
        <xdr:cNvPr id="2" name="TextBox 1">
          <a:extLst>
            <a:ext uri="{FF2B5EF4-FFF2-40B4-BE49-F238E27FC236}">
              <a16:creationId xmlns:a16="http://schemas.microsoft.com/office/drawing/2014/main" id="{4F860FE4-19F6-4724-8F8B-D63CAB238390}"/>
            </a:ext>
          </a:extLst>
        </xdr:cNvPr>
        <xdr:cNvSpPr txBox="1"/>
      </xdr:nvSpPr>
      <xdr:spPr>
        <a:xfrm>
          <a:off x="6211956" y="1648238"/>
          <a:ext cx="2923761" cy="1297919"/>
        </a:xfrm>
        <a:prstGeom prst="rect">
          <a:avLst/>
        </a:prstGeom>
        <a:solidFill>
          <a:schemeClr val="accent1">
            <a:alpha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This page is intended to be a quick view of how each cost center is affecting overall financial performance. </a:t>
          </a:r>
        </a:p>
        <a:p>
          <a:r>
            <a:rPr lang="en-US" sz="1100"/>
            <a:t>It will automatically populate</a:t>
          </a:r>
          <a:r>
            <a:rPr lang="en-US" sz="1100" baseline="0"/>
            <a:t> as you complete the required tabs in the application. The use of this tab is completely optional and at your discretion.</a:t>
          </a:r>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person displayName="Michael Dang" id="{06D8E6C3-4696-4238-A4A3-B5E8DE6B7192}" userId="Michael Dang" providerId="None"/>
  <person displayName="Michael Dang" id="{40B2D238-791E-45F3-BB71-730B861C32D8}" userId="S::mdang@spcsa.nv.gov::a3e2d36e-033d-41a4-80d1-b0cff51c0698" providerId="AD"/>
  <person displayName="Michael Hutchins" id="{05A4500D-E83F-474E-902D-612DEC6B4AAE}" userId="S::m.hutchins@spcsa.nv.gov::0dee9529-13a7-462b-a458-930bcfd86a30" providerId="AD"/>
  <person displayName="Rebecca Feiden" id="{9622F2A6-085D-458A-BCAA-1FAF93042142}" userId="S::rebecca.feiden@spcsa.nv.gov::fd18cebc-0508-4b38-b6c1-d0a03d487c75" providerId="AD"/>
</personList>
</file>

<file path=xl/richData/_rels/richValueRel.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C9" personId="{06D8E6C3-4696-4238-A4A3-B5E8DE6B7192}" id="{BB9E8B16-2901-42AB-8E19-B45A705FF198}">
    <text>Freeze pane anchor cell.</text>
  </threadedComment>
  <threadedComment ref="B15" dT="2019-10-09T22:19:25.08" personId="{05A4500D-E83F-474E-902D-612DEC6B4AAE}" id="{082FCBC4-A2E3-4E20-87D4-EB2B17C0EBD7}">
    <text>Lines renamed to match profile</text>
  </threadedComment>
  <threadedComment ref="B44" dT="2019-10-09T22:19:55.60" personId="{05A4500D-E83F-474E-902D-612DEC6B4AAE}" id="{37C28FDB-297C-4F5C-9BD5-21C6C53ADB9B}">
    <text>Lines renamed to match profile and other tabs</text>
  </threadedComment>
  <threadedComment ref="C44" dT="2019-10-09T22:20:22.95" personId="{05A4500D-E83F-474E-902D-612DEC6B4AAE}" id="{76E49DC5-89E4-460C-813A-5B0EC564AAB6}">
    <text>Numbers now pulling from depreciation based expenses instead of cash acquisition cost.</text>
  </threadedComment>
</ThreadedComments>
</file>

<file path=xl/threadedComments/threadedComment2.xml><?xml version="1.0" encoding="utf-8"?>
<ThreadedComments xmlns="http://schemas.microsoft.com/office/spreadsheetml/2018/threadedcomments" xmlns:x="http://schemas.openxmlformats.org/spreadsheetml/2006/main">
  <threadedComment ref="C9" personId="{06D8E6C3-4696-4238-A4A3-B5E8DE6B7192}" id="{D5FA572C-1A37-44CD-9465-740D888E304E}">
    <text>Freeze pane anchor cell.</text>
  </threadedComment>
  <threadedComment ref="B76" dT="2019-10-09T22:21:33.10" personId="{05A4500D-E83F-474E-902D-612DEC6B4AAE}" id="{55045738-87C7-4787-BC43-FD7740220A1D}">
    <text>lines changed for consistency</text>
  </threadedComment>
  <threadedComment ref="B93" dT="2019-10-09T22:21:46.00" personId="{05A4500D-E83F-474E-902D-612DEC6B4AAE}" id="{4313CB7B-C656-494A-9E6D-A3AA26D274A4}">
    <text>lines changed for consistency</text>
  </threadedComment>
  <threadedComment ref="B113" dT="2019-10-09T22:21:59.11" personId="{05A4500D-E83F-474E-902D-612DEC6B4AAE}" id="{CC2371A9-2845-4991-AD1E-1CC772767FC6}">
    <text>lines changed for consistency</text>
  </threadedComment>
</ThreadedComments>
</file>

<file path=xl/threadedComments/threadedComment3.xml><?xml version="1.0" encoding="utf-8"?>
<ThreadedComments xmlns="http://schemas.microsoft.com/office/spreadsheetml/2018/threadedcomments" xmlns:x="http://schemas.openxmlformats.org/spreadsheetml/2006/main">
  <threadedComment ref="B34" personId="{06D8E6C3-4696-4238-A4A3-B5E8DE6B7192}" id="{A9A8E1EA-613E-4590-ADCA-38CF86A143C3}">
    <text>A five mile distance as the crow flies or by google maps travel distance.</text>
  </threadedComment>
  <threadedComment ref="I34" personId="{06D8E6C3-4696-4238-A4A3-B5E8DE6B7192}" id="{7EAC1B63-7663-4B38-8F29-D74E9386B986}">
    <text>Based on Google Maps or another mapping program of your choice.
The distance from the school can be to your targeted location or to nearby cross-streets.</text>
  </threadedComment>
  <threadedComment ref="B66" personId="{06D8E6C3-4696-4238-A4A3-B5E8DE6B7192}" id="{536A97DD-C7E0-429D-905C-118DA7D7DDF0}">
    <text>A five mile distance as the crow flies or by google maps travel distance.</text>
  </threadedComment>
  <threadedComment ref="I66" personId="{06D8E6C3-4696-4238-A4A3-B5E8DE6B7192}" id="{FCE9B433-CBA9-44CE-B684-43E550706C1C}">
    <text>Based on Google Maps or another mapping program of your choice.
The distance from the school can be to your targeted location or to nearby cross-streets.</text>
  </threadedComment>
</ThreadedComments>
</file>

<file path=xl/threadedComments/threadedComment4.xml><?xml version="1.0" encoding="utf-8"?>
<ThreadedComments xmlns="http://schemas.microsoft.com/office/spreadsheetml/2018/threadedcomments" xmlns:x="http://schemas.openxmlformats.org/spreadsheetml/2006/main">
  <threadedComment ref="D12" personId="{06D8E6C3-4696-4238-A4A3-B5E8DE6B7192}" id="{A3036F47-2BC1-41C5-AA02-FB5BAA9F79F9}">
    <text xml:space="preserve">Freeze Pane Anchor cell.
Place cursor here if you wish to freeze the panes so you can see which e so you can continue to see the years for the columns you want to review. </text>
  </threadedComment>
  <threadedComment ref="B47" dT="2021-10-04T23:22:54.99" personId="{9622F2A6-085D-458A-BCAA-1FAF93042142}" id="{C56F7B53-5083-487A-8A11-F5DF2B36882A}">
    <text>I would call this "ENROLLMENT BY STUDENT GROUP (Federally Fundable)</text>
  </threadedComment>
  <threadedComment ref="B47" dT="2021-10-04T23:33:10.37" personId="{40B2D238-791E-45F3-BB71-730B861C32D8}" id="{3095053B-D52C-42B5-9DF8-9975F1CBC172}" parentId="{C56F7B53-5083-487A-8A11-F5DF2B36882A}">
    <text>Thank you.  It's updated.</text>
  </threadedComment>
  <threadedComment ref="C99" personId="{06D8E6C3-4696-4238-A4A3-B5E8DE6B7192}" id="{055E61E2-3B94-45D6-8374-EEED34105E20}">
    <text>From $350. 2019.11.14</text>
  </threadedComment>
  <threadedComment ref="C99" dT="2021-09-30T17:34:30.93" personId="{40B2D238-791E-45F3-BB71-730B861C32D8}" id="{81CCED0E-BED1-44BA-8996-A50A437BCB42}" parentId="{055E61E2-3B94-45D6-8374-EEED34105E20}">
    <text>August 26, 2021 em from RF: $400 PP</text>
  </threadedComment>
  <threadedComment ref="C99" dT="2021-09-30T20:49:37.35" personId="{40B2D238-791E-45F3-BB71-730B861C32D8}" id="{C7DF1F20-2B1A-44D2-BEBC-E68BDE4BE454}" parentId="{055E61E2-3B94-45D6-8374-EEED34105E20}">
    <text>RF 8/26/21 em @ $400</text>
  </threadedComment>
  <threadedComment ref="B118" dT="2024-01-23T01:26:52.26" personId="{40B2D238-791E-45F3-BB71-730B861C32D8}" id="{F89EC3C5-693A-44FE-95E7-E9D8FFD9F83C}">
    <text>Inflation adjustor applied to base rate only, to be conservative.</text>
  </threadedComment>
</ThreadedComments>
</file>

<file path=xl/threadedComments/threadedComment5.xml><?xml version="1.0" encoding="utf-8"?>
<ThreadedComments xmlns="http://schemas.microsoft.com/office/spreadsheetml/2018/threadedcomments" xmlns:x="http://schemas.openxmlformats.org/spreadsheetml/2006/main">
  <threadedComment ref="C59" dT="2023-02-08T01:03:49.48" personId="{40B2D238-791E-45F3-BB71-730B861C32D8}" id="{7A40A35B-9C1D-4D1C-A822-550C7B75143D}">
    <text xml:space="preserve">7.65% for employees on Social Security
1.45% for employees on PERS
Applicants should derive a weighted average estimate FICA rate depending on how many SS employees they plan to have versus PERS employees.
FICA is the Federal Insurance Contributions Act.  
https://defcomp.nv.gov/Resources/FICA_Info___FAQ_s/#:~:text=How%20much%20do%20I%20have,on%20a%20tax%20deferred%20basis.
How much do I have to contribute from my paycheck?
You must contribute 7.5% of your gross compensation per pay period to the Plan. Your contributions are made on a tax deferred basis.
</text>
    <extLst>
      <x:ext xmlns:xltc2="http://schemas.microsoft.com/office/spreadsheetml/2020/threadedcomments2" uri="{F7C98A9C-CBB3-438F-8F68-D28B6AF4A901}">
        <xltc2:checksum>2360989648</xltc2:checksum>
        <xltc2:hyperlink startIndex="258" length="118" url="https://defcomp.nv.gov/Resources/FICA_Info___FAQ_s/#:~:text=How%20much%20do%20I%20have,on%20a%20tax%20deferred%20basis"/>
      </x:ext>
    </extLst>
  </threadedComment>
  <threadedComment ref="C60" dT="2022-12-30T18:20:15.58" personId="{40B2D238-791E-45F3-BB71-730B861C32D8}" id="{C40B2D5A-0BEF-4C02-8FCF-FEA7F914C08D}">
    <text>For full EPC, use new rate:  Contribution Rate Changes – Employer Pay Contribution (EPC) Plan:  Regular Members – will increase from 29.75% to 33.50.
As of July 1, 2023
Use a blended rate between the EPC and the EE/Er rates, depending on your estimates of type of participation by your employees. 
https://www.nvpers.org/sites/default/files/publications/21735_NV_PERS_News_2022_p6_1.pdf</text>
  </threadedComment>
  <threadedComment ref="C62" personId="{06D8E6C3-4696-4238-A4A3-B5E8DE6B7192}" id="{53A0089D-3BEE-42BA-9584-E0B9CD52AD0B}">
    <text xml:space="preserve">8/10/20  
GASB Statement No. 45 (Superseded by GASB Statement 75 eff. FY 2018)
GASB 45 recognizes the liability within a footnote of the financial statements, with only a portion of the total liability going on the book through the Net OPEB Obligation. GASB 75 does away with the Net OPEB Obligation, requiring the full liability to be recognized immediately on the balance sheet.
Move over GASB 45, here comes GASB 75​ | The Burke Groupburkegroup.com 
GASB 75 = Accounting and Financial Reporting for Postemployment Benefits Other Than Pensionshttps://www.gasb.org/jsp/GASB/Document_C/DocumentPage?cid=1176166144750&amp;acceptedDisclaimer=true
Notes re GASB 45
https://www.trs.texas.gov/Pages/re_gasb_45.aspx 
GASB Statement No. 45, Accounting and Financial Reporting by Employers for Postemployment Benefits Other Than Pensions became effective in three phases based on a government's total annual revenues in the first fiscal year ending after June 15, 1999 with all employers implementing by periods beginning after December 15, 2008 or earlier.
This statement establishes standards for the measurement, recognition, and display of other postemployment benefits (OPEB) expense/expenditure and related liabilities (assets), note disclosures, and if applicable required supplementary information (RSI) in the financial reports of state and local government employers.
The Teacher Retirement System of Texas is furnishing this information to assist reporting employer in complying with the GASB requirements. Certain information required by GASB 45 will have to be derived from the reporting employer's payroll records. Please forward this document to your reporting employer's financial/accounting manager and your auditor.
</text>
  </threadedComment>
  <threadedComment ref="C63" dT="2023-02-08T00:19:20.03" personId="{40B2D238-791E-45F3-BB71-730B861C32D8}" id="{83710158-A20C-4DD6-A7B2-27BECBF398C5}">
    <text>Unemployment Insurance Information 
https://ui.nv.gov/ESSHTML/ui_information.htm
Unemployment Insurance Rates:
Employing Units in Nevada, who meet registration requirements, must pay unemployment insurance (UI) tax at a rate of 2.95 percent (.0295) of wages paid to each employee up to the taxable wage limit.  The employer retains this rate for a period of 14 to 17 calendar quarters (this is dependent on the quarter in which the employer becomes subject to the law), after which the rate will be determined under the "Experience Rating" system. An additional .05 percent (.0005) tax is charged for the Career Enhancement Program (CEP).
See website for more information.</text>
    <extLst>
      <x:ext xmlns:xltc2="http://schemas.microsoft.com/office/spreadsheetml/2020/threadedcomments2" uri="{F7C98A9C-CBB3-438F-8F68-D28B6AF4A901}">
        <xltc2:checksum>1913804148</xltc2:checksum>
        <xltc2:hyperlink startIndex="36" length="44" url="https://ui.nv.gov/ESSHTML/ui_information.htm"/>
      </x:ext>
    </extLst>
  </threadedComment>
  <threadedComment ref="C64" dT="2023-02-08T00:35:15.23" personId="{40B2D238-791E-45F3-BB71-730B861C32D8}" id="{E8468B49-FCE9-4534-922A-0DD55AA6AC7C}">
    <text xml:space="preserve">Employer costs for workers’ compensation insurance (per $100 of covered wages)
https://pieinsurance.com/blog/workers-comp/workers-comp-how-much/
</text>
    <extLst>
      <x:ext xmlns:xltc2="http://schemas.microsoft.com/office/spreadsheetml/2020/threadedcomments2" uri="{F7C98A9C-CBB3-438F-8F68-D28B6AF4A901}">
        <xltc2:checksum>2176889104</xltc2:checksum>
        <xltc2:hyperlink startIndex="79" length="65" url="https://pieinsurance.com/blog/workers-comp/workers-comp-how-much/"/>
      </x:ext>
    </extLst>
  </threadedComment>
  <threadedComment ref="G142" dT="2020-09-22T19:01:17.23" personId="{40B2D238-791E-45F3-BB71-730B861C32D8}" id="{4523562A-0602-46F6-8118-FD9A1D5599BC}">
    <text>You may now increase/decrease staff counts in this section of the model.</text>
  </threadedComment>
  <threadedComment ref="B431" dT="2020-10-14T22:58:10.23" personId="{40B2D238-791E-45F3-BB71-730B861C32D8}" id="{9DBB9C74-13CC-45F4-9311-3D66D8BAD4A5}">
    <text>E.g., 0.5 + 0.5 + 0.25 + 0.6 = 1.85 PTE</text>
  </threadedComment>
</ThreadedComments>
</file>

<file path=xl/threadedComments/threadedComment6.xml><?xml version="1.0" encoding="utf-8"?>
<ThreadedComments xmlns="http://schemas.microsoft.com/office/spreadsheetml/2018/threadedcomments" xmlns:x="http://schemas.openxmlformats.org/spreadsheetml/2006/main">
  <threadedComment ref="C9" personId="{06D8E6C3-4696-4238-A4A3-B5E8DE6B7192}" id="{48C2A621-6B13-4C46-BB1B-BEEBC9EED570}">
    <text>Freeze Pane Anchor cell</text>
  </threadedComment>
  <threadedComment ref="F40" dT="2019-10-09T22:26:48.95" personId="{05A4500D-E83F-474E-902D-612DEC6B4AAE}" id="{D806F001-185D-42C8-A14E-9738FBA04213}">
    <text>added capitalization assumption for capital outlay.  15 year depreciation schedule used based on Nevada Personal Property Manual (PPM)</text>
  </threadedComment>
  <threadedComment ref="G40" dT="2019-10-09T22:26:48.95" personId="{05A4500D-E83F-474E-902D-612DEC6B4AAE}" id="{00CE8DC1-E86A-4DDB-A5AD-3148CAF60DC3}">
    <text>added capitalization assumption for capital outlay.  15 year depreciation schedule used based on Nevada Personal Property Manual (PPM)</text>
  </threadedComment>
  <threadedComment ref="F41" dT="2019-10-09T22:28:14.70" personId="{05A4500D-E83F-474E-902D-612DEC6B4AAE}" id="{A5CB8C2E-6CB9-4BB2-B4CA-39FBFBAC1014}">
    <text>LIst both the cash cost and the book expense</text>
  </threadedComment>
  <threadedComment ref="G41" dT="2019-10-09T22:28:14.70" personId="{05A4500D-E83F-474E-902D-612DEC6B4AAE}" id="{0FE79C03-DFB1-4194-BD85-CC71D4EBAAAE}">
    <text>LIst both the cash cost and the book expense</text>
  </threadedComment>
  <threadedComment ref="H41" dT="2019-10-09T22:28:14.70" personId="{05A4500D-E83F-474E-902D-612DEC6B4AAE}" id="{E93D1CA9-B29F-4CD6-93E1-5144CCD1A228}">
    <text>LIst both the cash cost and the book expense</text>
  </threadedComment>
  <threadedComment ref="I41" dT="2019-10-09T22:28:14.70" personId="{05A4500D-E83F-474E-902D-612DEC6B4AAE}" id="{DE963E80-988E-4557-BDFB-3D52FD37A9DE}">
    <text>LIst both the cash cost and the book expense</text>
  </threadedComment>
  <threadedComment ref="J41" dT="2019-10-09T22:28:14.70" personId="{05A4500D-E83F-474E-902D-612DEC6B4AAE}" id="{B05B5C98-9D5D-4EFA-A91D-F10DD99284DF}">
    <text>LIst both the cash cost and the book expense</text>
  </threadedComment>
  <threadedComment ref="K41" dT="2019-10-09T22:28:14.70" personId="{05A4500D-E83F-474E-902D-612DEC6B4AAE}" id="{56EB2932-9C75-4111-9CC8-0C523580C53C}">
    <text>LIst both the cash cost and the book expense</text>
  </threadedComment>
  <threadedComment ref="L41" dT="2019-10-09T22:28:14.70" personId="{05A4500D-E83F-474E-902D-612DEC6B4AAE}" id="{4BFA54E0-D5EC-488B-A11D-B0892F63D52B}">
    <text>LIst both the cash cost and the book expense</text>
  </threadedComment>
  <threadedComment ref="F71" dT="2019-10-09T22:28:29.17" personId="{05A4500D-E83F-474E-902D-612DEC6B4AAE}" id="{7A663282-E6E4-48CC-A3CB-2F67C116C297}">
    <text>LIst both the cash cost and the book expense</text>
  </threadedComment>
  <threadedComment ref="G71" dT="2019-10-09T22:28:29.17" personId="{05A4500D-E83F-474E-902D-612DEC6B4AAE}" id="{DA68091B-4A61-47C0-809B-4EC1053880FB}">
    <text>LIst both the cash cost and the book expense</text>
  </threadedComment>
  <threadedComment ref="F72" dT="2019-10-09T22:27:53.20" personId="{05A4500D-E83F-474E-902D-612DEC6B4AAE}" id="{CE73B9F6-92F3-40FE-BEC7-8013847310D1}">
    <text>Added a depreciation schedule for new building purchase/construction using a 50 year asset life per the Nevada PPM.</text>
  </threadedComment>
  <threadedComment ref="G72" dT="2019-10-09T22:27:53.20" personId="{05A4500D-E83F-474E-902D-612DEC6B4AAE}" id="{B4CB54F2-A139-4040-A82E-A277C8B0A818}">
    <text>Added a depreciation schedule for new building purchase/construction using a 50 year asset life per the Nevada PPM.</text>
  </threadedComment>
  <threadedComment ref="F76" dT="2019-10-09T22:28:23.38" personId="{05A4500D-E83F-474E-902D-612DEC6B4AAE}" id="{FD4924AC-BA3F-4D5D-B1D6-28FC934B00AF}">
    <text>LIst both the cash cost and the book expense</text>
  </threadedComment>
</ThreadedComments>
</file>

<file path=xl/threadedComments/threadedComment7.xml><?xml version="1.0" encoding="utf-8"?>
<ThreadedComments xmlns="http://schemas.microsoft.com/office/spreadsheetml/2018/threadedcomments" xmlns:x="http://schemas.openxmlformats.org/spreadsheetml/2006/main">
  <threadedComment ref="D12" personId="{06D8E6C3-4696-4238-A4A3-B5E8DE6B7192}" id="{068CCA76-9343-4D78-B2D9-7AB7B1A275E3}">
    <text xml:space="preserve">Freeze Pane Anchor cell.
Place cursor here if you wish to freeze the panes so you can see which e so you can continue to see the years for the columns you want to review. </text>
  </threadedComment>
  <threadedComment ref="B66" dT="2019-10-09T22:25:54.66" personId="{05A4500D-E83F-474E-902D-612DEC6B4AAE}" id="{6BEAB8F9-2851-47CB-81D3-55DFE1CD0587}">
    <text>removed marketing from this section</text>
  </threadedComment>
  <threadedComment ref="D146" personId="{06D8E6C3-4696-4238-A4A3-B5E8DE6B7192}" id="{6D7E21B9-B08B-4527-8A51-24FAAE665BD5}">
    <text>Per student</text>
  </threadedComment>
  <threadedComment ref="D147" personId="{06D8E6C3-4696-4238-A4A3-B5E8DE6B7192}" id="{8B9D2174-21A5-4C9F-BCCF-4B34E06D41FE}">
    <text>Per student (not covered by Title I)</text>
  </threadedComment>
  <threadedComment ref="D148" personId="{06D8E6C3-4696-4238-A4A3-B5E8DE6B7192}" id="{10454E59-067C-42C2-A703-158F52048543}">
    <text>Per student</text>
  </threadedComment>
  <threadedComment ref="D149" personId="{06D8E6C3-4696-4238-A4A3-B5E8DE6B7192}" id="{4A42571C-612B-44E4-863E-E6FE470F00A2}">
    <text>Input "yes or "no"</text>
  </threadedComment>
</ThreadedComments>
</file>

<file path=xl/threadedComments/threadedComment8.xml><?xml version="1.0" encoding="utf-8"?>
<ThreadedComments xmlns="http://schemas.microsoft.com/office/spreadsheetml/2018/threadedcomments" xmlns:x="http://schemas.openxmlformats.org/spreadsheetml/2006/main">
  <threadedComment ref="C13" dT="2019-10-09T22:28:59.88" personId="{05A4500D-E83F-474E-902D-612DEC6B4AAE}" id="{F97CC90A-6DAF-4D7E-998B-8F4ECD0B3F7E}">
    <text>added depreciation schedules with asset lives based on their category in the Nevada PPM</text>
  </threadedComment>
  <threadedComment ref="C18" dT="2020-09-18T16:50:29.94" personId="{40B2D238-791E-45F3-BB71-730B861C32D8}" id="{B4669308-3D82-42EE-85DE-D4225B3F4812}">
    <text>you can comment here</text>
  </threadedComment>
</ThreadedComments>
</file>

<file path=xl/threadedComments/threadedComment9.xml><?xml version="1.0" encoding="utf-8"?>
<ThreadedComments xmlns="http://schemas.microsoft.com/office/spreadsheetml/2018/threadedcomments" xmlns:x="http://schemas.openxmlformats.org/spreadsheetml/2006/main">
  <threadedComment ref="B36" personId="{06D8E6C3-4696-4238-A4A3-B5E8DE6B7192}" id="{1987EE7F-FBB3-419B-A306-AA480037A858}">
    <text xml:space="preserve">Keep at &gt;=1 in FTE section; use PT section for PT, like 0.5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microsoft.com/office/2017/10/relationships/threadedComment" Target="../threadedComments/threadedComment7.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hyperlink" Target="https://charterschools.nv.gov/OpenASchool/Application_Packet/" TargetMode="External"/><Relationship Id="rId1" Type="http://schemas.openxmlformats.org/officeDocument/2006/relationships/hyperlink" Target="https://doe.nv.gov/DataCenter/Enrollment_Data/"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leg.state.nv.us/Session/82nd2023/Bills/SB/SB503_EN.pdf" TargetMode="External"/><Relationship Id="rId2" Type="http://schemas.openxmlformats.org/officeDocument/2006/relationships/hyperlink" Target="https://www.leg.state.nv.us/Session/82nd2023/Bills/SB/SB503_EN.pdf" TargetMode="External"/><Relationship Id="rId1" Type="http://schemas.openxmlformats.org/officeDocument/2006/relationships/hyperlink" Target="https://www.leg.state.nv.us/App/NELIS/REL/81st2021/Bill/8227/Text" TargetMode="External"/><Relationship Id="rId4"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6.xml"/><Relationship Id="rId4" Type="http://schemas.microsoft.com/office/2017/10/relationships/threadedComment" Target="../threadedComments/threadedComment9.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guthrie@odysseyk12.org"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charterschools.nv.gov/About/Strategic_Plan/" TargetMode="External"/><Relationship Id="rId1" Type="http://schemas.openxmlformats.org/officeDocument/2006/relationships/hyperlink" Target="https://doe.nv.gov/DataCenter" TargetMode="External"/><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7.bin"/><Relationship Id="rId1" Type="http://schemas.openxmlformats.org/officeDocument/2006/relationships/hyperlink" Target="https://www.leg.state.nv.us/Session/82nd2023/Bills/SB/SB503_EN.pdf" TargetMode="External"/><Relationship Id="rId6" Type="http://schemas.microsoft.com/office/2017/10/relationships/threadedComment" Target="../threadedComments/threadedComment4.xm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s://transparentnevada.com/agencies/salaries/charter-schools/" TargetMode="External"/><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 Id="rId4" Type="http://schemas.microsoft.com/office/2017/10/relationships/threadedComment" Target="../threadedComments/threadedComment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E8EEC-85DD-4FE5-8DA4-A9BF29854436}">
  <dimension ref="A1:A107"/>
  <sheetViews>
    <sheetView tabSelected="1" workbookViewId="0">
      <selection activeCell="A3" sqref="A3"/>
    </sheetView>
  </sheetViews>
  <sheetFormatPr defaultRowHeight="15" x14ac:dyDescent="0.25"/>
  <cols>
    <col min="1" max="1" width="119.28515625" customWidth="1"/>
  </cols>
  <sheetData>
    <row r="1" spans="1:1" ht="18.75" x14ac:dyDescent="0.25">
      <c r="A1" s="1" t="s">
        <v>0</v>
      </c>
    </row>
    <row r="2" spans="1:1" ht="15.75" x14ac:dyDescent="0.25">
      <c r="A2" s="2" t="s">
        <v>1</v>
      </c>
    </row>
    <row r="3" spans="1:1" ht="15.75" x14ac:dyDescent="0.25">
      <c r="A3" s="1586" t="s">
        <v>1414</v>
      </c>
    </row>
    <row r="4" spans="1:1" x14ac:dyDescent="0.25">
      <c r="A4" s="4" t="s">
        <v>2</v>
      </c>
    </row>
    <row r="5" spans="1:1" x14ac:dyDescent="0.25">
      <c r="A5" s="5" t="str">
        <f ca="1">CELL("filename")</f>
        <v>\\lvraiders\users\sguthrie\Documents\Charter\Change of Sponsorship\[240126-SPCSA-Odyssey Charter School Application Workbook-Modified-Version (1).xlsx]Instructions</v>
      </c>
    </row>
    <row r="6" spans="1:1" ht="15.75" x14ac:dyDescent="0.25">
      <c r="A6" s="6" t="s">
        <v>3</v>
      </c>
    </row>
    <row r="7" spans="1:1" ht="15.75" x14ac:dyDescent="0.25">
      <c r="A7" s="7"/>
    </row>
    <row r="8" spans="1:1" ht="15.75" x14ac:dyDescent="0.25">
      <c r="A8" s="8" t="s">
        <v>4</v>
      </c>
    </row>
    <row r="10" spans="1:1" ht="135" x14ac:dyDescent="0.25">
      <c r="A10" s="9" t="s">
        <v>5</v>
      </c>
    </row>
    <row r="12" spans="1:1" ht="15.75" x14ac:dyDescent="0.25">
      <c r="A12" s="8" t="s">
        <v>6</v>
      </c>
    </row>
    <row r="13" spans="1:1" ht="90" x14ac:dyDescent="0.25">
      <c r="A13" s="10" t="s">
        <v>7</v>
      </c>
    </row>
    <row r="14" spans="1:1" x14ac:dyDescent="0.25">
      <c r="A14" s="11"/>
    </row>
    <row r="15" spans="1:1" x14ac:dyDescent="0.25">
      <c r="A15" s="12" t="s">
        <v>8</v>
      </c>
    </row>
    <row r="16" spans="1:1" x14ac:dyDescent="0.25">
      <c r="A16" s="13" t="s">
        <v>9</v>
      </c>
    </row>
    <row r="17" spans="1:1" x14ac:dyDescent="0.25">
      <c r="A17" s="11"/>
    </row>
    <row r="18" spans="1:1" x14ac:dyDescent="0.25">
      <c r="A18" s="12" t="s">
        <v>10</v>
      </c>
    </row>
    <row r="19" spans="1:1" ht="30" x14ac:dyDescent="0.25">
      <c r="A19" s="13" t="s">
        <v>11</v>
      </c>
    </row>
    <row r="20" spans="1:1" x14ac:dyDescent="0.25">
      <c r="A20" s="11"/>
    </row>
    <row r="21" spans="1:1" x14ac:dyDescent="0.25">
      <c r="A21" s="12" t="s">
        <v>12</v>
      </c>
    </row>
    <row r="22" spans="1:1" x14ac:dyDescent="0.25">
      <c r="A22" s="13" t="s">
        <v>13</v>
      </c>
    </row>
    <row r="23" spans="1:1" x14ac:dyDescent="0.25">
      <c r="A23" s="13"/>
    </row>
    <row r="24" spans="1:1" x14ac:dyDescent="0.25">
      <c r="A24" s="12" t="s">
        <v>14</v>
      </c>
    </row>
    <row r="25" spans="1:1" x14ac:dyDescent="0.25">
      <c r="A25" s="13" t="s">
        <v>15</v>
      </c>
    </row>
    <row r="26" spans="1:1" x14ac:dyDescent="0.25">
      <c r="A26" s="13"/>
    </row>
    <row r="27" spans="1:1" x14ac:dyDescent="0.25">
      <c r="A27" s="12" t="s">
        <v>16</v>
      </c>
    </row>
    <row r="28" spans="1:1" ht="30" x14ac:dyDescent="0.25">
      <c r="A28" s="13" t="s">
        <v>17</v>
      </c>
    </row>
    <row r="29" spans="1:1" x14ac:dyDescent="0.25">
      <c r="A29" s="11"/>
    </row>
    <row r="30" spans="1:1" x14ac:dyDescent="0.25">
      <c r="A30" s="12" t="s">
        <v>18</v>
      </c>
    </row>
    <row r="31" spans="1:1" x14ac:dyDescent="0.25">
      <c r="A31" s="14" t="s">
        <v>19</v>
      </c>
    </row>
    <row r="32" spans="1:1" ht="30" x14ac:dyDescent="0.25">
      <c r="A32" s="15" t="s">
        <v>20</v>
      </c>
    </row>
    <row r="33" spans="1:1" ht="30" x14ac:dyDescent="0.25">
      <c r="A33" s="15" t="s">
        <v>21</v>
      </c>
    </row>
    <row r="34" spans="1:1" ht="30" x14ac:dyDescent="0.25">
      <c r="A34" s="15" t="s">
        <v>22</v>
      </c>
    </row>
    <row r="35" spans="1:1" ht="45" x14ac:dyDescent="0.25">
      <c r="A35" s="11" t="s">
        <v>23</v>
      </c>
    </row>
    <row r="36" spans="1:1" ht="45" x14ac:dyDescent="0.25">
      <c r="A36" s="11" t="s">
        <v>24</v>
      </c>
    </row>
    <row r="37" spans="1:1" ht="30" x14ac:dyDescent="0.25">
      <c r="A37" s="11" t="s">
        <v>25</v>
      </c>
    </row>
    <row r="38" spans="1:1" x14ac:dyDescent="0.25">
      <c r="A38" t="s">
        <v>26</v>
      </c>
    </row>
    <row r="39" spans="1:1" x14ac:dyDescent="0.25">
      <c r="A39" s="16" t="s">
        <v>27</v>
      </c>
    </row>
    <row r="40" spans="1:1" x14ac:dyDescent="0.25">
      <c r="A40" s="16" t="s">
        <v>28</v>
      </c>
    </row>
    <row r="41" spans="1:1" x14ac:dyDescent="0.25">
      <c r="A41" s="16" t="s">
        <v>29</v>
      </c>
    </row>
    <row r="42" spans="1:1" x14ac:dyDescent="0.25">
      <c r="A42" s="16" t="s">
        <v>30</v>
      </c>
    </row>
    <row r="43" spans="1:1" x14ac:dyDescent="0.25">
      <c r="A43" s="16" t="s">
        <v>31</v>
      </c>
    </row>
    <row r="44" spans="1:1" x14ac:dyDescent="0.25">
      <c r="A44" s="16" t="s">
        <v>32</v>
      </c>
    </row>
    <row r="45" spans="1:1" x14ac:dyDescent="0.25">
      <c r="A45" s="16"/>
    </row>
    <row r="46" spans="1:1" x14ac:dyDescent="0.25">
      <c r="A46" s="12" t="s">
        <v>33</v>
      </c>
    </row>
    <row r="47" spans="1:1" x14ac:dyDescent="0.25">
      <c r="A47" s="13" t="s">
        <v>34</v>
      </c>
    </row>
    <row r="49" spans="1:1" x14ac:dyDescent="0.25">
      <c r="A49" s="12" t="s">
        <v>35</v>
      </c>
    </row>
    <row r="50" spans="1:1" ht="45" x14ac:dyDescent="0.25">
      <c r="A50" s="13" t="s">
        <v>36</v>
      </c>
    </row>
    <row r="51" spans="1:1" x14ac:dyDescent="0.25">
      <c r="A51" s="14" t="s">
        <v>37</v>
      </c>
    </row>
    <row r="52" spans="1:1" x14ac:dyDescent="0.25">
      <c r="A52" s="17" t="s">
        <v>38</v>
      </c>
    </row>
    <row r="53" spans="1:1" x14ac:dyDescent="0.25">
      <c r="A53" s="17" t="s">
        <v>39</v>
      </c>
    </row>
    <row r="54" spans="1:1" x14ac:dyDescent="0.25">
      <c r="A54" s="17" t="s">
        <v>40</v>
      </c>
    </row>
    <row r="55" spans="1:1" ht="30" x14ac:dyDescent="0.25">
      <c r="A55" s="15" t="s">
        <v>41</v>
      </c>
    </row>
    <row r="56" spans="1:1" x14ac:dyDescent="0.25">
      <c r="A56" s="17" t="s">
        <v>42</v>
      </c>
    </row>
    <row r="57" spans="1:1" x14ac:dyDescent="0.25">
      <c r="A57" s="17" t="s">
        <v>43</v>
      </c>
    </row>
    <row r="58" spans="1:1" x14ac:dyDescent="0.25">
      <c r="A58" s="17" t="s">
        <v>44</v>
      </c>
    </row>
    <row r="59" spans="1:1" ht="30" x14ac:dyDescent="0.25">
      <c r="A59" s="15" t="s">
        <v>45</v>
      </c>
    </row>
    <row r="60" spans="1:1" ht="60" x14ac:dyDescent="0.25">
      <c r="A60" s="15" t="s">
        <v>46</v>
      </c>
    </row>
    <row r="61" spans="1:1" ht="30" x14ac:dyDescent="0.25">
      <c r="A61" s="15" t="s">
        <v>47</v>
      </c>
    </row>
    <row r="62" spans="1:1" ht="45" x14ac:dyDescent="0.25">
      <c r="A62" s="15" t="s">
        <v>48</v>
      </c>
    </row>
    <row r="64" spans="1:1" x14ac:dyDescent="0.25">
      <c r="A64" s="12" t="s">
        <v>49</v>
      </c>
    </row>
    <row r="65" spans="1:1" x14ac:dyDescent="0.25">
      <c r="A65" s="13" t="s">
        <v>50</v>
      </c>
    </row>
    <row r="67" spans="1:1" x14ac:dyDescent="0.25">
      <c r="A67" s="12" t="s">
        <v>51</v>
      </c>
    </row>
    <row r="68" spans="1:1" ht="30" x14ac:dyDescent="0.25">
      <c r="A68" s="13" t="s">
        <v>52</v>
      </c>
    </row>
    <row r="69" spans="1:1" x14ac:dyDescent="0.25">
      <c r="A69" s="13" t="s">
        <v>53</v>
      </c>
    </row>
    <row r="70" spans="1:1" ht="45" x14ac:dyDescent="0.25">
      <c r="A70" s="11" t="s">
        <v>54</v>
      </c>
    </row>
    <row r="71" spans="1:1" ht="30" x14ac:dyDescent="0.25">
      <c r="A71" s="11" t="s">
        <v>55</v>
      </c>
    </row>
    <row r="72" spans="1:1" x14ac:dyDescent="0.25">
      <c r="A72" s="11" t="s">
        <v>56</v>
      </c>
    </row>
    <row r="74" spans="1:1" x14ac:dyDescent="0.25">
      <c r="A74" s="12" t="s">
        <v>57</v>
      </c>
    </row>
    <row r="75" spans="1:1" x14ac:dyDescent="0.25">
      <c r="A75" s="13" t="s">
        <v>58</v>
      </c>
    </row>
    <row r="76" spans="1:1" x14ac:dyDescent="0.25">
      <c r="A76" s="11"/>
    </row>
    <row r="77" spans="1:1" x14ac:dyDescent="0.25">
      <c r="A77" s="12" t="s">
        <v>59</v>
      </c>
    </row>
    <row r="78" spans="1:1" x14ac:dyDescent="0.25">
      <c r="A78" s="13" t="s">
        <v>60</v>
      </c>
    </row>
    <row r="79" spans="1:1" x14ac:dyDescent="0.25">
      <c r="A79" s="13"/>
    </row>
    <row r="80" spans="1:1" x14ac:dyDescent="0.25">
      <c r="A80" s="12" t="s">
        <v>61</v>
      </c>
    </row>
    <row r="81" spans="1:1" x14ac:dyDescent="0.25">
      <c r="A81" s="13" t="s">
        <v>62</v>
      </c>
    </row>
    <row r="82" spans="1:1" x14ac:dyDescent="0.25">
      <c r="A82" s="13" t="s">
        <v>63</v>
      </c>
    </row>
    <row r="83" spans="1:1" x14ac:dyDescent="0.25">
      <c r="A83" s="13"/>
    </row>
    <row r="84" spans="1:1" x14ac:dyDescent="0.25">
      <c r="A84" s="12" t="s">
        <v>64</v>
      </c>
    </row>
    <row r="85" spans="1:1" x14ac:dyDescent="0.25">
      <c r="A85" s="13" t="s">
        <v>65</v>
      </c>
    </row>
    <row r="86" spans="1:1" x14ac:dyDescent="0.25">
      <c r="A86" s="13"/>
    </row>
    <row r="87" spans="1:1" x14ac:dyDescent="0.25">
      <c r="A87" s="18" t="s">
        <v>66</v>
      </c>
    </row>
    <row r="88" spans="1:1" x14ac:dyDescent="0.25">
      <c r="A88" s="13" t="s">
        <v>67</v>
      </c>
    </row>
    <row r="90" spans="1:1" x14ac:dyDescent="0.25">
      <c r="A90" s="18" t="s">
        <v>68</v>
      </c>
    </row>
    <row r="91" spans="1:1" x14ac:dyDescent="0.25">
      <c r="A91" s="13" t="s">
        <v>67</v>
      </c>
    </row>
    <row r="92" spans="1:1" x14ac:dyDescent="0.25">
      <c r="A92" s="13"/>
    </row>
    <row r="93" spans="1:1" x14ac:dyDescent="0.25">
      <c r="A93" s="18" t="s">
        <v>69</v>
      </c>
    </row>
    <row r="94" spans="1:1" x14ac:dyDescent="0.25">
      <c r="A94" s="13" t="s">
        <v>70</v>
      </c>
    </row>
    <row r="95" spans="1:1" x14ac:dyDescent="0.25">
      <c r="A95" s="13" t="s">
        <v>71</v>
      </c>
    </row>
    <row r="97" spans="1:1" x14ac:dyDescent="0.25">
      <c r="A97" s="18" t="s">
        <v>72</v>
      </c>
    </row>
    <row r="98" spans="1:1" x14ac:dyDescent="0.25">
      <c r="A98" s="13" t="s">
        <v>73</v>
      </c>
    </row>
    <row r="99" spans="1:1" ht="30" x14ac:dyDescent="0.25">
      <c r="A99" s="13" t="s">
        <v>74</v>
      </c>
    </row>
    <row r="100" spans="1:1" x14ac:dyDescent="0.25">
      <c r="A100" s="13"/>
    </row>
    <row r="101" spans="1:1" x14ac:dyDescent="0.25">
      <c r="A101" s="18" t="s">
        <v>75</v>
      </c>
    </row>
    <row r="102" spans="1:1" x14ac:dyDescent="0.25">
      <c r="A102" s="13" t="s">
        <v>67</v>
      </c>
    </row>
    <row r="103" spans="1:1" x14ac:dyDescent="0.25">
      <c r="A103" s="13"/>
    </row>
    <row r="104" spans="1:1" x14ac:dyDescent="0.25">
      <c r="A104" s="19"/>
    </row>
    <row r="105" spans="1:1" x14ac:dyDescent="0.25">
      <c r="A105" s="20" t="s">
        <v>76</v>
      </c>
    </row>
    <row r="106" spans="1:1" x14ac:dyDescent="0.25">
      <c r="A106" s="21" t="s">
        <v>77</v>
      </c>
    </row>
    <row r="107" spans="1:1" x14ac:dyDescent="0.25">
      <c r="A107" s="21" t="s">
        <v>78</v>
      </c>
    </row>
  </sheetData>
  <hyperlinks>
    <hyperlink ref="A6" location="HypLink1" display="HypLink1" xr:uid="{7A762EFD-05B4-4A56-BC80-D8213AE36999}"/>
  </hyperlinks>
  <pageMargins left="0.7" right="0.7" top="0.75" bottom="0.75" header="0.3" footer="0.3"/>
  <pageSetup paperSize="119"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05E3F-D65C-4654-A749-FFDC756C3D03}">
  <sheetPr>
    <pageSetUpPr fitToPage="1"/>
  </sheetPr>
  <dimension ref="A1:Y200"/>
  <sheetViews>
    <sheetView workbookViewId="0"/>
  </sheetViews>
  <sheetFormatPr defaultRowHeight="15" x14ac:dyDescent="0.25"/>
  <cols>
    <col min="1" max="1" width="8.28515625" style="42" customWidth="1"/>
    <col min="2" max="2" width="47.7109375" style="42" customWidth="1"/>
    <col min="3" max="3" width="17.7109375" style="42" customWidth="1"/>
    <col min="4" max="4" width="9" style="42" customWidth="1"/>
    <col min="5" max="5" width="8.7109375" style="42" customWidth="1"/>
    <col min="6" max="6" width="15.28515625" style="42" customWidth="1"/>
    <col min="7" max="7" width="16.28515625" style="42" customWidth="1"/>
    <col min="8" max="9" width="21" style="42" customWidth="1"/>
    <col min="10" max="12" width="17" style="42" customWidth="1"/>
    <col min="13" max="16" width="1.28515625" style="42" customWidth="1"/>
    <col min="17" max="17" width="0.42578125" style="42" customWidth="1"/>
    <col min="18" max="18" width="49.140625" style="78" bestFit="1" customWidth="1"/>
    <col min="19" max="19" width="10.7109375" style="42" customWidth="1"/>
    <col min="20" max="20" width="3.7109375" style="42" customWidth="1"/>
    <col min="21" max="21" width="6.28515625" style="42" customWidth="1"/>
    <col min="22" max="22" width="6" style="42" customWidth="1"/>
    <col min="23" max="23" width="5.28515625" style="42" customWidth="1"/>
    <col min="24" max="24" width="6.5703125" style="42" customWidth="1"/>
    <col min="25" max="25" width="17.28515625" style="42" customWidth="1"/>
  </cols>
  <sheetData>
    <row r="1" spans="1:18" ht="18" x14ac:dyDescent="0.25">
      <c r="A1" s="240" t="s">
        <v>743</v>
      </c>
      <c r="B1" s="241"/>
      <c r="D1" s="242" t="s">
        <v>3</v>
      </c>
      <c r="P1" s="77"/>
    </row>
    <row r="2" spans="1:18" ht="15.75" x14ac:dyDescent="0.25">
      <c r="A2" s="80" t="str">
        <f>SchoolName</f>
        <v>Odyssey Charter School</v>
      </c>
      <c r="B2" s="81"/>
    </row>
    <row r="3" spans="1:18" x14ac:dyDescent="0.25">
      <c r="A3" s="82" t="s">
        <v>80</v>
      </c>
      <c r="K3" s="38"/>
    </row>
    <row r="4" spans="1:18" x14ac:dyDescent="0.25">
      <c r="A4" s="248" t="s">
        <v>81</v>
      </c>
    </row>
    <row r="5" spans="1:18" x14ac:dyDescent="0.25">
      <c r="A5" s="83" t="str">
        <f ca="1">CELL("filename")</f>
        <v>\\lvraiders\users\sguthrie\Documents\Charter\Change of Sponsorship\[240126-SPCSA-Odyssey Charter School Application Workbook-Modified-Version (1).xlsx]Instructions</v>
      </c>
    </row>
    <row r="6" spans="1:18" ht="15.75" x14ac:dyDescent="0.25">
      <c r="A6" s="249"/>
      <c r="D6" s="346" t="s">
        <v>314</v>
      </c>
      <c r="E6" s="346"/>
      <c r="G6" s="347">
        <f>Cover!E11</f>
        <v>2025</v>
      </c>
      <c r="J6" s="346"/>
    </row>
    <row r="7" spans="1:18" x14ac:dyDescent="0.25">
      <c r="A7" s="249"/>
      <c r="D7" s="84" t="s">
        <v>315</v>
      </c>
      <c r="E7" s="84"/>
      <c r="G7" s="84">
        <f>+G6+1</f>
        <v>2026</v>
      </c>
      <c r="J7" s="84"/>
    </row>
    <row r="8" spans="1:18" x14ac:dyDescent="0.25">
      <c r="A8" s="249"/>
      <c r="F8" s="84"/>
      <c r="G8" s="38"/>
    </row>
    <row r="9" spans="1:18" x14ac:dyDescent="0.25">
      <c r="A9" s="249"/>
      <c r="B9" s="38"/>
      <c r="F9" s="348">
        <v>0</v>
      </c>
      <c r="G9" s="86">
        <v>1</v>
      </c>
      <c r="H9" s="86">
        <f>1+G9</f>
        <v>2</v>
      </c>
      <c r="I9" s="86">
        <f t="shared" ref="I9:L9" si="0">1+H9</f>
        <v>3</v>
      </c>
      <c r="J9" s="86">
        <f t="shared" si="0"/>
        <v>4</v>
      </c>
      <c r="K9" s="86">
        <f t="shared" si="0"/>
        <v>5</v>
      </c>
      <c r="L9" s="87">
        <f t="shared" si="0"/>
        <v>6</v>
      </c>
    </row>
    <row r="10" spans="1:18" x14ac:dyDescent="0.25">
      <c r="A10" s="249"/>
      <c r="D10" s="1617" t="s">
        <v>744</v>
      </c>
      <c r="E10" s="1618"/>
      <c r="F10" s="171">
        <f>+G10-1</f>
        <v>2024</v>
      </c>
      <c r="G10" s="90">
        <f>+G6</f>
        <v>2025</v>
      </c>
      <c r="H10" s="90">
        <f>+G11</f>
        <v>2026</v>
      </c>
      <c r="I10" s="90">
        <f>+H11</f>
        <v>2027</v>
      </c>
      <c r="J10" s="90">
        <f>+I11</f>
        <v>2028</v>
      </c>
      <c r="K10" s="90">
        <f>+J11</f>
        <v>2029</v>
      </c>
      <c r="L10" s="91">
        <f>+K11</f>
        <v>2030</v>
      </c>
    </row>
    <row r="11" spans="1:18" ht="15.75" x14ac:dyDescent="0.25">
      <c r="A11" s="249"/>
      <c r="B11" s="833"/>
      <c r="C11" s="834" t="s">
        <v>316</v>
      </c>
      <c r="D11" s="356"/>
      <c r="E11" s="356"/>
      <c r="F11" s="173">
        <f>+G11-1</f>
        <v>2025</v>
      </c>
      <c r="G11" s="93">
        <f t="shared" ref="G11:L11" si="1">+G10+1</f>
        <v>2026</v>
      </c>
      <c r="H11" s="93">
        <f t="shared" si="1"/>
        <v>2027</v>
      </c>
      <c r="I11" s="93">
        <f t="shared" si="1"/>
        <v>2028</v>
      </c>
      <c r="J11" s="93">
        <f t="shared" si="1"/>
        <v>2029</v>
      </c>
      <c r="K11" s="93">
        <f t="shared" si="1"/>
        <v>2030</v>
      </c>
      <c r="L11" s="94">
        <f t="shared" si="1"/>
        <v>2031</v>
      </c>
    </row>
    <row r="12" spans="1:18" ht="15.75" x14ac:dyDescent="0.25">
      <c r="A12" s="249"/>
      <c r="B12" s="141" t="s">
        <v>745</v>
      </c>
      <c r="D12" s="358"/>
      <c r="E12" s="358"/>
      <c r="F12" s="835"/>
      <c r="G12" s="836"/>
      <c r="H12" s="836"/>
      <c r="I12" s="836"/>
      <c r="J12" s="836"/>
      <c r="K12" s="836"/>
      <c r="L12" s="836"/>
    </row>
    <row r="13" spans="1:18" ht="15.75" x14ac:dyDescent="0.25">
      <c r="A13" s="96">
        <f>ROW()</f>
        <v>13</v>
      </c>
      <c r="B13" s="422" t="s">
        <v>255</v>
      </c>
      <c r="C13" s="261"/>
      <c r="D13" s="261"/>
      <c r="E13" s="261"/>
      <c r="F13" s="837"/>
      <c r="G13" s="838"/>
      <c r="H13" s="838"/>
      <c r="I13" s="838"/>
      <c r="J13" s="838"/>
      <c r="K13" s="838"/>
      <c r="L13" s="838"/>
      <c r="R13" s="50" t="s">
        <v>103</v>
      </c>
    </row>
    <row r="14" spans="1:18" ht="15.75" x14ac:dyDescent="0.25">
      <c r="A14" s="96">
        <f>ROW()</f>
        <v>14</v>
      </c>
      <c r="B14" s="38" t="s">
        <v>272</v>
      </c>
      <c r="F14" s="839"/>
      <c r="G14" s="840"/>
      <c r="H14" s="840"/>
      <c r="I14" s="840"/>
      <c r="J14" s="840"/>
      <c r="K14" s="840"/>
      <c r="L14" s="840"/>
      <c r="R14" s="101"/>
    </row>
    <row r="15" spans="1:18" x14ac:dyDescent="0.25">
      <c r="A15" s="96">
        <f>ROW()</f>
        <v>15</v>
      </c>
      <c r="B15" s="343" t="s">
        <v>273</v>
      </c>
      <c r="C15" s="180"/>
      <c r="D15" s="180"/>
      <c r="E15" s="180"/>
      <c r="F15" s="841">
        <f>' Enrol &amp; Rev'!F17</f>
        <v>13</v>
      </c>
      <c r="G15" s="842">
        <f>' Enrol &amp; Rev'!G17</f>
        <v>13</v>
      </c>
      <c r="H15" s="842">
        <f>' Enrol &amp; Rev'!H17</f>
        <v>13</v>
      </c>
      <c r="I15" s="842">
        <f>' Enrol &amp; Rev'!I17</f>
        <v>13</v>
      </c>
      <c r="J15" s="842">
        <f>' Enrol &amp; Rev'!J17</f>
        <v>13</v>
      </c>
      <c r="K15" s="842">
        <f>' Enrol &amp; Rev'!K17</f>
        <v>13</v>
      </c>
      <c r="L15" s="842">
        <f>' Enrol &amp; Rev'!L17</f>
        <v>13</v>
      </c>
      <c r="R15" s="104" t="s">
        <v>1410</v>
      </c>
    </row>
    <row r="16" spans="1:18" x14ac:dyDescent="0.25">
      <c r="A16" s="96">
        <f>ROW()</f>
        <v>16</v>
      </c>
      <c r="B16" s="335" t="s">
        <v>274</v>
      </c>
      <c r="F16" s="843">
        <f>' Enrol &amp; Rev'!F19</f>
        <v>23.200199999999999</v>
      </c>
      <c r="G16" s="844">
        <f>' Enrol &amp; Rev'!G19</f>
        <v>23.200199999999999</v>
      </c>
      <c r="H16" s="844">
        <f>' Enrol &amp; Rev'!H19</f>
        <v>23.200199999999999</v>
      </c>
      <c r="I16" s="844">
        <f>' Enrol &amp; Rev'!I19</f>
        <v>23.200199999999999</v>
      </c>
      <c r="J16" s="844">
        <f>' Enrol &amp; Rev'!J19</f>
        <v>23.200199999999999</v>
      </c>
      <c r="K16" s="844">
        <f>' Enrol &amp; Rev'!K19</f>
        <v>23.200199999999999</v>
      </c>
      <c r="L16" s="844">
        <f>' Enrol &amp; Rev'!L19</f>
        <v>23.200199999999999</v>
      </c>
      <c r="R16" s="104" t="s">
        <v>1411</v>
      </c>
    </row>
    <row r="17" spans="1:18" x14ac:dyDescent="0.25">
      <c r="A17" s="96">
        <f>ROW()</f>
        <v>17</v>
      </c>
      <c r="B17" s="266"/>
      <c r="C17" s="845"/>
      <c r="D17" s="845"/>
      <c r="E17" s="845"/>
      <c r="F17" s="846"/>
      <c r="G17" s="846"/>
      <c r="H17" s="846"/>
      <c r="I17" s="846"/>
      <c r="J17" s="846"/>
      <c r="K17" s="846"/>
      <c r="L17" s="846"/>
      <c r="R17" s="104"/>
    </row>
    <row r="18" spans="1:18" x14ac:dyDescent="0.25">
      <c r="A18" s="96">
        <f>ROW()</f>
        <v>18</v>
      </c>
      <c r="B18" s="847" t="s">
        <v>275</v>
      </c>
      <c r="C18" s="848"/>
      <c r="D18" s="848"/>
      <c r="E18" s="848"/>
      <c r="F18" s="849">
        <f>' Enrol &amp; Rev'!F23</f>
        <v>48.12</v>
      </c>
      <c r="G18" s="849">
        <f>' Enrol &amp; Rev'!G23</f>
        <v>48.12</v>
      </c>
      <c r="H18" s="849">
        <f>' Enrol &amp; Rev'!H23</f>
        <v>48.12</v>
      </c>
      <c r="I18" s="849">
        <f>' Enrol &amp; Rev'!I23</f>
        <v>48.12</v>
      </c>
      <c r="J18" s="849">
        <f>' Enrol &amp; Rev'!J23</f>
        <v>48.12</v>
      </c>
      <c r="K18" s="849">
        <f>' Enrol &amp; Rev'!K23</f>
        <v>48.12</v>
      </c>
      <c r="L18" s="849">
        <f>' Enrol &amp; Rev'!L23</f>
        <v>48.12</v>
      </c>
      <c r="R18" s="104"/>
    </row>
    <row r="19" spans="1:18" x14ac:dyDescent="0.25">
      <c r="A19" s="96">
        <f>ROW()</f>
        <v>19</v>
      </c>
      <c r="B19" s="850" t="s">
        <v>276</v>
      </c>
      <c r="C19" s="848"/>
      <c r="D19" s="848"/>
      <c r="E19" s="848"/>
      <c r="F19" s="851">
        <f>' Enrol &amp; Rev'!F24</f>
        <v>43.88</v>
      </c>
      <c r="G19" s="851">
        <f>' Enrol &amp; Rev'!G24</f>
        <v>43.88</v>
      </c>
      <c r="H19" s="851">
        <f>' Enrol &amp; Rev'!H24</f>
        <v>43.88</v>
      </c>
      <c r="I19" s="851">
        <f>' Enrol &amp; Rev'!I24</f>
        <v>43.88</v>
      </c>
      <c r="J19" s="851">
        <f>' Enrol &amp; Rev'!J24</f>
        <v>43.88</v>
      </c>
      <c r="K19" s="851">
        <f>' Enrol &amp; Rev'!K24</f>
        <v>43.88</v>
      </c>
      <c r="L19" s="851">
        <f>' Enrol &amp; Rev'!L24</f>
        <v>43.88</v>
      </c>
      <c r="R19" s="104"/>
    </row>
    <row r="20" spans="1:18" x14ac:dyDescent="0.25">
      <c r="A20" s="96">
        <f>ROW()</f>
        <v>20</v>
      </c>
      <c r="B20" s="850" t="s">
        <v>277</v>
      </c>
      <c r="C20" s="848"/>
      <c r="D20" s="848"/>
      <c r="E20" s="848"/>
      <c r="F20" s="851">
        <f>' Enrol &amp; Rev'!F25</f>
        <v>53.08</v>
      </c>
      <c r="G20" s="852">
        <f>' Enrol &amp; Rev'!G25</f>
        <v>53.08</v>
      </c>
      <c r="H20" s="852">
        <f>' Enrol &amp; Rev'!H25</f>
        <v>53.08</v>
      </c>
      <c r="I20" s="852">
        <f>' Enrol &amp; Rev'!I25</f>
        <v>53.08</v>
      </c>
      <c r="J20" s="852">
        <f>' Enrol &amp; Rev'!J25</f>
        <v>53.08</v>
      </c>
      <c r="K20" s="852">
        <f>' Enrol &amp; Rev'!K25</f>
        <v>53.08</v>
      </c>
      <c r="L20" s="852">
        <f>' Enrol &amp; Rev'!L25</f>
        <v>53.08</v>
      </c>
      <c r="R20" s="104"/>
    </row>
    <row r="21" spans="1:18" x14ac:dyDescent="0.25">
      <c r="A21" s="96">
        <f>ROW()</f>
        <v>21</v>
      </c>
      <c r="B21" s="850" t="s">
        <v>278</v>
      </c>
      <c r="C21" s="848"/>
      <c r="D21" s="848"/>
      <c r="E21" s="848"/>
      <c r="F21" s="853">
        <f>' Enrol &amp; Rev'!F26</f>
        <v>60.61</v>
      </c>
      <c r="G21" s="854">
        <f>' Enrol &amp; Rev'!G26</f>
        <v>60.61</v>
      </c>
      <c r="H21" s="854">
        <f>' Enrol &amp; Rev'!H26</f>
        <v>60.61</v>
      </c>
      <c r="I21" s="854">
        <f>' Enrol &amp; Rev'!I26</f>
        <v>60.61</v>
      </c>
      <c r="J21" s="854">
        <f>' Enrol &amp; Rev'!J26</f>
        <v>60.61</v>
      </c>
      <c r="K21" s="854">
        <f>' Enrol &amp; Rev'!K26</f>
        <v>60.61</v>
      </c>
      <c r="L21" s="854">
        <f>' Enrol &amp; Rev'!L26</f>
        <v>60.61</v>
      </c>
      <c r="R21" s="104"/>
    </row>
    <row r="22" spans="1:18" x14ac:dyDescent="0.25">
      <c r="A22" s="96">
        <f>ROW()</f>
        <v>22</v>
      </c>
      <c r="B22" s="850" t="s">
        <v>279</v>
      </c>
      <c r="C22" s="848"/>
      <c r="D22" s="848"/>
      <c r="E22" s="848"/>
      <c r="F22" s="853">
        <f>' Enrol &amp; Rev'!F27</f>
        <v>72.260000000000005</v>
      </c>
      <c r="G22" s="854">
        <f>' Enrol &amp; Rev'!G27</f>
        <v>72.260000000000005</v>
      </c>
      <c r="H22" s="854">
        <f>' Enrol &amp; Rev'!H27</f>
        <v>72.260000000000005</v>
      </c>
      <c r="I22" s="854">
        <f>' Enrol &amp; Rev'!I27</f>
        <v>72.260000000000005</v>
      </c>
      <c r="J22" s="854">
        <f>' Enrol &amp; Rev'!J27</f>
        <v>72.260000000000005</v>
      </c>
      <c r="K22" s="854">
        <f>' Enrol &amp; Rev'!K27</f>
        <v>72.260000000000005</v>
      </c>
      <c r="L22" s="854">
        <f>' Enrol &amp; Rev'!L27</f>
        <v>72.260000000000005</v>
      </c>
    </row>
    <row r="23" spans="1:18" x14ac:dyDescent="0.25">
      <c r="A23" s="96">
        <f>ROW()</f>
        <v>23</v>
      </c>
      <c r="B23" s="850" t="s">
        <v>280</v>
      </c>
      <c r="C23" s="848"/>
      <c r="D23" s="848"/>
      <c r="E23" s="848"/>
      <c r="F23" s="853">
        <f>' Enrol &amp; Rev'!F28</f>
        <v>75.150000000000006</v>
      </c>
      <c r="G23" s="853">
        <f>' Enrol &amp; Rev'!G28</f>
        <v>75.150000000000006</v>
      </c>
      <c r="H23" s="853">
        <f>' Enrol &amp; Rev'!H28</f>
        <v>75.150000000000006</v>
      </c>
      <c r="I23" s="853">
        <f>' Enrol &amp; Rev'!I28</f>
        <v>75.150000000000006</v>
      </c>
      <c r="J23" s="853">
        <f>' Enrol &amp; Rev'!J28</f>
        <v>75.150000000000006</v>
      </c>
      <c r="K23" s="853">
        <f>' Enrol &amp; Rev'!K28</f>
        <v>75.150000000000006</v>
      </c>
      <c r="L23" s="853">
        <f>' Enrol &amp; Rev'!L28</f>
        <v>75.150000000000006</v>
      </c>
    </row>
    <row r="24" spans="1:18" x14ac:dyDescent="0.25">
      <c r="A24" s="96">
        <f>ROW()</f>
        <v>24</v>
      </c>
      <c r="B24" s="850" t="s">
        <v>281</v>
      </c>
      <c r="C24" s="848"/>
      <c r="D24" s="848"/>
      <c r="E24" s="848"/>
      <c r="F24" s="853">
        <f>' Enrol &amp; Rev'!F29</f>
        <v>164.84</v>
      </c>
      <c r="G24" s="853">
        <f>' Enrol &amp; Rev'!G29</f>
        <v>164.84</v>
      </c>
      <c r="H24" s="855">
        <f>' Enrol &amp; Rev'!H29</f>
        <v>164.84</v>
      </c>
      <c r="I24" s="855">
        <f>' Enrol &amp; Rev'!I29</f>
        <v>164.84</v>
      </c>
      <c r="J24" s="855">
        <f>' Enrol &amp; Rev'!J29</f>
        <v>164.84</v>
      </c>
      <c r="K24" s="855">
        <f>' Enrol &amp; Rev'!K29</f>
        <v>164.84</v>
      </c>
      <c r="L24" s="855">
        <f>' Enrol &amp; Rev'!L29</f>
        <v>164.84</v>
      </c>
    </row>
    <row r="25" spans="1:18" x14ac:dyDescent="0.25">
      <c r="A25" s="96">
        <f>ROW()</f>
        <v>25</v>
      </c>
      <c r="B25" s="850" t="s">
        <v>282</v>
      </c>
      <c r="C25" s="848"/>
      <c r="D25" s="848"/>
      <c r="E25" s="848"/>
      <c r="F25" s="853">
        <f>' Enrol &amp; Rev'!F30</f>
        <v>218.49</v>
      </c>
      <c r="G25" s="853">
        <f>' Enrol &amp; Rev'!G30</f>
        <v>218.49</v>
      </c>
      <c r="H25" s="855">
        <f>' Enrol &amp; Rev'!H30</f>
        <v>218.49</v>
      </c>
      <c r="I25" s="855">
        <f>' Enrol &amp; Rev'!I30</f>
        <v>218.49</v>
      </c>
      <c r="J25" s="855">
        <f>' Enrol &amp; Rev'!J30</f>
        <v>218.49</v>
      </c>
      <c r="K25" s="855">
        <f>' Enrol &amp; Rev'!K30</f>
        <v>218.49</v>
      </c>
      <c r="L25" s="855">
        <f>' Enrol &amp; Rev'!L30</f>
        <v>218.49</v>
      </c>
    </row>
    <row r="26" spans="1:18" x14ac:dyDescent="0.25">
      <c r="A26" s="96">
        <f>ROW()</f>
        <v>26</v>
      </c>
      <c r="B26" s="850" t="s">
        <v>283</v>
      </c>
      <c r="C26" s="848"/>
      <c r="D26" s="848"/>
      <c r="E26" s="848"/>
      <c r="F26" s="853">
        <f>' Enrol &amp; Rev'!F31</f>
        <v>220.76</v>
      </c>
      <c r="G26" s="853">
        <f>' Enrol &amp; Rev'!G31</f>
        <v>220.76</v>
      </c>
      <c r="H26" s="855">
        <f>' Enrol &amp; Rev'!H31</f>
        <v>220.76</v>
      </c>
      <c r="I26" s="855">
        <f>' Enrol &amp; Rev'!I31</f>
        <v>220.76</v>
      </c>
      <c r="J26" s="855">
        <f>' Enrol &amp; Rev'!J31</f>
        <v>220.76</v>
      </c>
      <c r="K26" s="855">
        <f>' Enrol &amp; Rev'!K31</f>
        <v>220.76</v>
      </c>
      <c r="L26" s="855">
        <f>' Enrol &amp; Rev'!L31</f>
        <v>220.76</v>
      </c>
    </row>
    <row r="27" spans="1:18" x14ac:dyDescent="0.25">
      <c r="A27" s="96">
        <f>ROW()</f>
        <v>27</v>
      </c>
      <c r="B27" s="850" t="s">
        <v>284</v>
      </c>
      <c r="C27" s="848"/>
      <c r="D27" s="848"/>
      <c r="E27" s="848"/>
      <c r="F27" s="853">
        <f>' Enrol &amp; Rev'!F32</f>
        <v>273.95999999999998</v>
      </c>
      <c r="G27" s="853">
        <f>' Enrol &amp; Rev'!G32</f>
        <v>273.95999999999998</v>
      </c>
      <c r="H27" s="855">
        <f>' Enrol &amp; Rev'!H32</f>
        <v>273.95999999999998</v>
      </c>
      <c r="I27" s="855">
        <f>' Enrol &amp; Rev'!I32</f>
        <v>273.95999999999998</v>
      </c>
      <c r="J27" s="855">
        <f>' Enrol &amp; Rev'!J32</f>
        <v>273.95999999999998</v>
      </c>
      <c r="K27" s="855">
        <f>' Enrol &amp; Rev'!K32</f>
        <v>273.95999999999998</v>
      </c>
      <c r="L27" s="855">
        <f>' Enrol &amp; Rev'!L32</f>
        <v>273.95999999999998</v>
      </c>
    </row>
    <row r="28" spans="1:18" x14ac:dyDescent="0.25">
      <c r="A28" s="96">
        <f>ROW()</f>
        <v>28</v>
      </c>
      <c r="B28" s="850" t="s">
        <v>285</v>
      </c>
      <c r="C28" s="848"/>
      <c r="D28" s="848"/>
      <c r="E28" s="848"/>
      <c r="F28" s="853">
        <f>' Enrol &amp; Rev'!F33</f>
        <v>302.51</v>
      </c>
      <c r="G28" s="853">
        <f>' Enrol &amp; Rev'!G33</f>
        <v>302.51</v>
      </c>
      <c r="H28" s="855">
        <f>' Enrol &amp; Rev'!H33</f>
        <v>302.51</v>
      </c>
      <c r="I28" s="855">
        <f>' Enrol &amp; Rev'!I33</f>
        <v>302.51</v>
      </c>
      <c r="J28" s="855">
        <f>' Enrol &amp; Rev'!J33</f>
        <v>302.51</v>
      </c>
      <c r="K28" s="855">
        <f>' Enrol &amp; Rev'!K33</f>
        <v>302.51</v>
      </c>
      <c r="L28" s="855">
        <f>' Enrol &amp; Rev'!L33</f>
        <v>302.51</v>
      </c>
    </row>
    <row r="29" spans="1:18" x14ac:dyDescent="0.25">
      <c r="A29" s="96">
        <f>ROW()</f>
        <v>29</v>
      </c>
      <c r="B29" s="850" t="s">
        <v>286</v>
      </c>
      <c r="C29" s="848"/>
      <c r="D29" s="848"/>
      <c r="E29" s="848"/>
      <c r="F29" s="853">
        <f>' Enrol &amp; Rev'!F34</f>
        <v>390.51</v>
      </c>
      <c r="G29" s="853">
        <f>' Enrol &amp; Rev'!G34</f>
        <v>390.51</v>
      </c>
      <c r="H29" s="855">
        <f>' Enrol &amp; Rev'!H34</f>
        <v>390.51</v>
      </c>
      <c r="I29" s="855">
        <f>' Enrol &amp; Rev'!I34</f>
        <v>390.51</v>
      </c>
      <c r="J29" s="855">
        <f>' Enrol &amp; Rev'!J34</f>
        <v>390.51</v>
      </c>
      <c r="K29" s="855">
        <f>' Enrol &amp; Rev'!K34</f>
        <v>390.51</v>
      </c>
      <c r="L29" s="855">
        <f>' Enrol &amp; Rev'!L34</f>
        <v>390.51</v>
      </c>
    </row>
    <row r="30" spans="1:18" x14ac:dyDescent="0.25">
      <c r="A30" s="96">
        <f>ROW()</f>
        <v>30</v>
      </c>
      <c r="B30" s="850" t="s">
        <v>287</v>
      </c>
      <c r="C30" s="848"/>
      <c r="D30" s="848"/>
      <c r="E30" s="848"/>
      <c r="F30" s="856">
        <f>' Enrol &amp; Rev'!F35</f>
        <v>395.85</v>
      </c>
      <c r="G30" s="856">
        <f>' Enrol &amp; Rev'!G35</f>
        <v>395.85</v>
      </c>
      <c r="H30" s="857">
        <f>' Enrol &amp; Rev'!H35</f>
        <v>395.85</v>
      </c>
      <c r="I30" s="857">
        <f>' Enrol &amp; Rev'!I35</f>
        <v>395.85</v>
      </c>
      <c r="J30" s="857">
        <f>' Enrol &amp; Rev'!J35</f>
        <v>395.85</v>
      </c>
      <c r="K30" s="857">
        <f>' Enrol &amp; Rev'!K35</f>
        <v>395.85</v>
      </c>
      <c r="L30" s="857">
        <f>' Enrol &amp; Rev'!L35</f>
        <v>395.85</v>
      </c>
    </row>
    <row r="31" spans="1:18" ht="15.75" x14ac:dyDescent="0.25">
      <c r="A31" s="96">
        <f>ROW()</f>
        <v>31</v>
      </c>
      <c r="B31" s="858" t="s">
        <v>288</v>
      </c>
      <c r="C31" s="859"/>
      <c r="D31" s="859"/>
      <c r="E31" s="859"/>
      <c r="F31" s="860"/>
      <c r="G31" s="861">
        <f t="shared" ref="G31:L31" si="2">SUM(G18:G30)</f>
        <v>2320.02</v>
      </c>
      <c r="H31" s="861">
        <f t="shared" si="2"/>
        <v>2320.02</v>
      </c>
      <c r="I31" s="861">
        <f t="shared" si="2"/>
        <v>2320.02</v>
      </c>
      <c r="J31" s="861">
        <f t="shared" si="2"/>
        <v>2320.02</v>
      </c>
      <c r="K31" s="861">
        <f t="shared" si="2"/>
        <v>2320.02</v>
      </c>
      <c r="L31" s="861">
        <f t="shared" si="2"/>
        <v>2320.02</v>
      </c>
      <c r="R31" s="104"/>
    </row>
    <row r="32" spans="1:18" ht="101.25" x14ac:dyDescent="0.3">
      <c r="A32" s="96">
        <f>ROW()</f>
        <v>32</v>
      </c>
      <c r="B32" s="64" t="s">
        <v>746</v>
      </c>
      <c r="C32" s="64"/>
      <c r="D32" s="64"/>
      <c r="E32" s="64"/>
      <c r="F32" s="862"/>
      <c r="G32" s="863">
        <f>IFERROR(G31/G16,0)</f>
        <v>100</v>
      </c>
      <c r="H32" s="863">
        <f t="shared" ref="H32:L32" si="3">IFERROR(H31/H16,0)</f>
        <v>100</v>
      </c>
      <c r="I32" s="863">
        <f t="shared" si="3"/>
        <v>100</v>
      </c>
      <c r="J32" s="863">
        <f t="shared" si="3"/>
        <v>100</v>
      </c>
      <c r="K32" s="863">
        <f t="shared" si="3"/>
        <v>100</v>
      </c>
      <c r="L32" s="863">
        <f t="shared" si="3"/>
        <v>100</v>
      </c>
      <c r="R32" s="1590" t="s">
        <v>1422</v>
      </c>
    </row>
    <row r="33" spans="1:18" x14ac:dyDescent="0.25">
      <c r="A33" s="96">
        <f>ROW()</f>
        <v>33</v>
      </c>
      <c r="B33" s="864" t="s">
        <v>328</v>
      </c>
      <c r="C33" s="64"/>
      <c r="D33" s="64"/>
      <c r="E33" s="64"/>
      <c r="F33" s="865">
        <f>' Enrol &amp; Rev'!F44</f>
        <v>0</v>
      </c>
      <c r="G33" s="866">
        <f>' Enrol &amp; Rev'!G44</f>
        <v>1</v>
      </c>
      <c r="H33" s="866">
        <f>' Enrol &amp; Rev'!H44</f>
        <v>1</v>
      </c>
      <c r="I33" s="866">
        <f>' Enrol &amp; Rev'!I44</f>
        <v>1</v>
      </c>
      <c r="J33" s="866">
        <f>' Enrol &amp; Rev'!J44</f>
        <v>1</v>
      </c>
      <c r="K33" s="866">
        <f>' Enrol &amp; Rev'!K44</f>
        <v>1</v>
      </c>
      <c r="L33" s="866">
        <f>' Enrol &amp; Rev'!L44</f>
        <v>1</v>
      </c>
      <c r="R33" s="104"/>
    </row>
    <row r="34" spans="1:18" x14ac:dyDescent="0.25">
      <c r="A34" s="96">
        <f>ROW()</f>
        <v>34</v>
      </c>
      <c r="B34" s="864" t="s">
        <v>747</v>
      </c>
      <c r="C34" s="64"/>
      <c r="D34" s="64"/>
      <c r="E34" s="64"/>
      <c r="F34" s="867"/>
      <c r="G34" s="868">
        <f t="shared" ref="G34:L34" si="4">+G31*(1-G33)</f>
        <v>0</v>
      </c>
      <c r="H34" s="868">
        <f t="shared" si="4"/>
        <v>0</v>
      </c>
      <c r="I34" s="868">
        <f t="shared" si="4"/>
        <v>0</v>
      </c>
      <c r="J34" s="868">
        <f t="shared" si="4"/>
        <v>0</v>
      </c>
      <c r="K34" s="868">
        <f t="shared" si="4"/>
        <v>0</v>
      </c>
      <c r="L34" s="868">
        <f t="shared" si="4"/>
        <v>0</v>
      </c>
      <c r="R34" s="104"/>
    </row>
    <row r="35" spans="1:18" x14ac:dyDescent="0.25">
      <c r="A35" s="96">
        <f>ROW()</f>
        <v>35</v>
      </c>
      <c r="B35" s="864"/>
      <c r="C35" s="64"/>
      <c r="D35" s="64"/>
      <c r="E35" s="64"/>
      <c r="F35" s="867"/>
      <c r="G35" s="868"/>
      <c r="H35" s="868"/>
      <c r="I35" s="868"/>
      <c r="J35" s="868"/>
      <c r="K35" s="868"/>
      <c r="L35" s="868"/>
      <c r="R35" s="104"/>
    </row>
    <row r="36" spans="1:18" x14ac:dyDescent="0.25">
      <c r="A36" s="96">
        <f>ROW()</f>
        <v>36</v>
      </c>
      <c r="B36" s="64" t="s">
        <v>748</v>
      </c>
      <c r="C36" s="64"/>
      <c r="D36" s="64"/>
      <c r="E36" s="64"/>
      <c r="F36" s="865">
        <f>' Enrol &amp; Rev'!F92</f>
        <v>0</v>
      </c>
      <c r="G36" s="866">
        <f>' Enrol &amp; Rev'!G92</f>
        <v>0</v>
      </c>
      <c r="H36" s="866">
        <f>' Enrol &amp; Rev'!H92</f>
        <v>0</v>
      </c>
      <c r="I36" s="866">
        <f>' Enrol &amp; Rev'!I92</f>
        <v>0</v>
      </c>
      <c r="J36" s="866">
        <f>' Enrol &amp; Rev'!J92</f>
        <v>0</v>
      </c>
      <c r="K36" s="866">
        <f>' Enrol &amp; Rev'!K92</f>
        <v>0</v>
      </c>
      <c r="L36" s="866">
        <f>' Enrol &amp; Rev'!L92</f>
        <v>0</v>
      </c>
      <c r="R36" s="104"/>
    </row>
    <row r="37" spans="1:18" x14ac:dyDescent="0.25">
      <c r="A37" s="96">
        <f>ROW()</f>
        <v>37</v>
      </c>
      <c r="B37" s="64" t="s">
        <v>749</v>
      </c>
      <c r="C37" s="64"/>
      <c r="D37" s="64"/>
      <c r="E37" s="64"/>
      <c r="F37" s="869"/>
      <c r="G37" s="870">
        <f t="shared" ref="G37:L37" si="5">+G$31*G36</f>
        <v>0</v>
      </c>
      <c r="H37" s="870">
        <f t="shared" si="5"/>
        <v>0</v>
      </c>
      <c r="I37" s="870">
        <f t="shared" si="5"/>
        <v>0</v>
      </c>
      <c r="J37" s="870">
        <f t="shared" si="5"/>
        <v>0</v>
      </c>
      <c r="K37" s="870">
        <f t="shared" si="5"/>
        <v>0</v>
      </c>
      <c r="L37" s="870">
        <f t="shared" si="5"/>
        <v>0</v>
      </c>
      <c r="R37" s="104"/>
    </row>
    <row r="38" spans="1:18" x14ac:dyDescent="0.25">
      <c r="A38" s="96">
        <f>ROW()</f>
        <v>38</v>
      </c>
      <c r="B38" s="64" t="s">
        <v>373</v>
      </c>
      <c r="C38" s="64"/>
      <c r="D38" s="64"/>
      <c r="E38" s="64"/>
      <c r="F38" s="865">
        <f>' Enrol &amp; Rev'!F93</f>
        <v>0</v>
      </c>
      <c r="G38" s="866">
        <f>' Enrol &amp; Rev'!G93</f>
        <v>9.8000000000000004E-2</v>
      </c>
      <c r="H38" s="866">
        <f>' Enrol &amp; Rev'!H93</f>
        <v>9.8000000000000004E-2</v>
      </c>
      <c r="I38" s="866">
        <f>' Enrol &amp; Rev'!I93</f>
        <v>9.8000000000000004E-2</v>
      </c>
      <c r="J38" s="866">
        <f>' Enrol &amp; Rev'!J93</f>
        <v>9.8000000000000004E-2</v>
      </c>
      <c r="K38" s="866">
        <f>' Enrol &amp; Rev'!K93</f>
        <v>9.8000000000000004E-2</v>
      </c>
      <c r="L38" s="866">
        <f>' Enrol &amp; Rev'!L93</f>
        <v>9.8000000000000004E-2</v>
      </c>
      <c r="R38" s="104"/>
    </row>
    <row r="39" spans="1:18" x14ac:dyDescent="0.25">
      <c r="A39" s="96">
        <f>ROW()</f>
        <v>39</v>
      </c>
      <c r="B39" s="64" t="s">
        <v>750</v>
      </c>
      <c r="C39" s="64"/>
      <c r="D39" s="64"/>
      <c r="E39" s="64"/>
      <c r="F39" s="869"/>
      <c r="G39" s="870">
        <f t="shared" ref="G39:L39" si="6">+G$31*G38</f>
        <v>227.36196000000001</v>
      </c>
      <c r="H39" s="870">
        <f t="shared" si="6"/>
        <v>227.36196000000001</v>
      </c>
      <c r="I39" s="870">
        <f t="shared" si="6"/>
        <v>227.36196000000001</v>
      </c>
      <c r="J39" s="870">
        <f t="shared" si="6"/>
        <v>227.36196000000001</v>
      </c>
      <c r="K39" s="870">
        <f t="shared" si="6"/>
        <v>227.36196000000001</v>
      </c>
      <c r="L39" s="870">
        <f t="shared" si="6"/>
        <v>227.36196000000001</v>
      </c>
      <c r="R39" s="104"/>
    </row>
    <row r="40" spans="1:18" x14ac:dyDescent="0.25">
      <c r="A40" s="96">
        <f>ROW()</f>
        <v>40</v>
      </c>
      <c r="B40" s="64" t="s">
        <v>374</v>
      </c>
      <c r="C40" s="64"/>
      <c r="D40" s="64"/>
      <c r="E40" s="64"/>
      <c r="F40" s="865">
        <f>' Enrol &amp; Rev'!F94</f>
        <v>0</v>
      </c>
      <c r="G40" s="866">
        <f>' Enrol &amp; Rev'!G94</f>
        <v>0.13700000000000001</v>
      </c>
      <c r="H40" s="866">
        <f>' Enrol &amp; Rev'!H94</f>
        <v>0.13700000000000001</v>
      </c>
      <c r="I40" s="866">
        <f>' Enrol &amp; Rev'!I94</f>
        <v>0.13700000000000001</v>
      </c>
      <c r="J40" s="866">
        <f>' Enrol &amp; Rev'!J94</f>
        <v>0.13700000000000001</v>
      </c>
      <c r="K40" s="866">
        <f>' Enrol &amp; Rev'!K94</f>
        <v>0.13700000000000001</v>
      </c>
      <c r="L40" s="866">
        <f>' Enrol &amp; Rev'!L94</f>
        <v>0.13700000000000001</v>
      </c>
      <c r="R40" s="104"/>
    </row>
    <row r="41" spans="1:18" x14ac:dyDescent="0.25">
      <c r="A41" s="96">
        <f>ROW()</f>
        <v>41</v>
      </c>
      <c r="B41" s="64" t="s">
        <v>375</v>
      </c>
      <c r="C41" s="64"/>
      <c r="D41" s="64"/>
      <c r="E41" s="64"/>
      <c r="F41" s="869"/>
      <c r="G41" s="870">
        <f t="shared" ref="G41:L41" si="7">+G$31*G40</f>
        <v>317.84274000000005</v>
      </c>
      <c r="H41" s="870">
        <f t="shared" si="7"/>
        <v>317.84274000000005</v>
      </c>
      <c r="I41" s="870">
        <f t="shared" si="7"/>
        <v>317.84274000000005</v>
      </c>
      <c r="J41" s="870">
        <f t="shared" si="7"/>
        <v>317.84274000000005</v>
      </c>
      <c r="K41" s="870">
        <f t="shared" si="7"/>
        <v>317.84274000000005</v>
      </c>
      <c r="L41" s="870">
        <f t="shared" si="7"/>
        <v>317.84274000000005</v>
      </c>
      <c r="R41" s="104"/>
    </row>
    <row r="42" spans="1:18" x14ac:dyDescent="0.25">
      <c r="A42" s="96">
        <f>ROW()</f>
        <v>42</v>
      </c>
      <c r="B42" s="64"/>
      <c r="C42" s="64"/>
      <c r="D42" s="64"/>
      <c r="E42" s="64"/>
      <c r="F42" s="871"/>
      <c r="G42" s="872"/>
      <c r="H42" s="872"/>
      <c r="I42" s="872"/>
      <c r="J42" s="872"/>
      <c r="K42" s="872"/>
      <c r="L42" s="872"/>
      <c r="R42" s="104"/>
    </row>
    <row r="43" spans="1:18" x14ac:dyDescent="0.25">
      <c r="A43" s="96">
        <f>ROW()</f>
        <v>43</v>
      </c>
      <c r="B43" s="64"/>
      <c r="C43" s="64"/>
      <c r="D43" s="64"/>
      <c r="E43" s="64"/>
      <c r="F43" s="873"/>
      <c r="G43" s="874"/>
      <c r="H43" s="874"/>
      <c r="I43" s="874"/>
      <c r="J43" s="874"/>
      <c r="K43" s="874"/>
      <c r="L43" s="874"/>
      <c r="R43" s="104"/>
    </row>
    <row r="44" spans="1:18" x14ac:dyDescent="0.25">
      <c r="A44" s="96">
        <f>ROW()</f>
        <v>44</v>
      </c>
      <c r="B44" s="374"/>
      <c r="C44" s="374"/>
      <c r="D44" s="374"/>
      <c r="E44" s="374"/>
      <c r="F44" s="810"/>
      <c r="G44" s="875"/>
      <c r="H44" s="875"/>
      <c r="I44" s="875"/>
      <c r="J44" s="876"/>
      <c r="K44" s="876"/>
      <c r="L44" s="876"/>
      <c r="M44" s="483"/>
      <c r="N44" s="483"/>
      <c r="O44" s="483"/>
      <c r="P44" s="483"/>
      <c r="Q44" s="483"/>
      <c r="R44" s="104"/>
    </row>
    <row r="45" spans="1:18" ht="15.75" x14ac:dyDescent="0.25">
      <c r="A45" s="96">
        <f>ROW()</f>
        <v>45</v>
      </c>
      <c r="B45" s="806" t="s">
        <v>177</v>
      </c>
      <c r="C45" s="859">
        <f t="shared" ref="C45" si="8">SUM(G45:L45)</f>
        <v>161943300.31033233</v>
      </c>
      <c r="D45" s="859"/>
      <c r="E45" s="859"/>
      <c r="F45" s="877">
        <f>' Enrol &amp; Rev'!F145</f>
        <v>26990956.81896</v>
      </c>
      <c r="G45" s="878">
        <f>' Enrol &amp; Rev'!G145</f>
        <v>26990956.81896</v>
      </c>
      <c r="H45" s="878">
        <f>' Enrol &amp; Rev'!H145</f>
        <v>26990468.698274467</v>
      </c>
      <c r="I45" s="878">
        <f>' Enrol &amp; Rev'!I145</f>
        <v>26990468.698274467</v>
      </c>
      <c r="J45" s="878">
        <f>' Enrol &amp; Rev'!J145</f>
        <v>26990468.698274467</v>
      </c>
      <c r="K45" s="878">
        <f>' Enrol &amp; Rev'!K145</f>
        <v>26990468.698274467</v>
      </c>
      <c r="L45" s="878">
        <f>' Enrol &amp; Rev'!L145</f>
        <v>26990468.698274467</v>
      </c>
      <c r="R45" s="104"/>
    </row>
    <row r="46" spans="1:18" ht="15.75" x14ac:dyDescent="0.25">
      <c r="A46" s="96">
        <f>ROW()</f>
        <v>46</v>
      </c>
      <c r="B46" s="64" t="s">
        <v>751</v>
      </c>
      <c r="C46" s="879"/>
      <c r="D46" s="879"/>
      <c r="E46" s="879"/>
      <c r="F46" s="860"/>
      <c r="G46" s="880">
        <f t="shared" ref="G46:L46" si="9">IFERROR(G45/G31,0)</f>
        <v>11633.932819096388</v>
      </c>
      <c r="H46" s="880">
        <f t="shared" si="9"/>
        <v>11633.722424062926</v>
      </c>
      <c r="I46" s="880">
        <f t="shared" si="9"/>
        <v>11633.722424062926</v>
      </c>
      <c r="J46" s="880">
        <f t="shared" si="9"/>
        <v>11633.722424062926</v>
      </c>
      <c r="K46" s="880">
        <f t="shared" si="9"/>
        <v>11633.722424062926</v>
      </c>
      <c r="L46" s="880">
        <f t="shared" si="9"/>
        <v>11633.722424062926</v>
      </c>
      <c r="R46" s="104"/>
    </row>
    <row r="47" spans="1:18" ht="15.75" x14ac:dyDescent="0.25">
      <c r="A47" s="96">
        <f>ROW()</f>
        <v>47</v>
      </c>
      <c r="B47" s="64" t="s">
        <v>752</v>
      </c>
      <c r="C47" s="879">
        <f>SUM(G47:L47)</f>
        <v>49110367.319197237</v>
      </c>
      <c r="D47" s="879"/>
      <c r="E47" s="879"/>
      <c r="F47" s="860">
        <f>Levers!C16</f>
        <v>7372049.3187499996</v>
      </c>
      <c r="G47" s="880">
        <f>Levers!D16</f>
        <v>7593210.7983125001</v>
      </c>
      <c r="H47" s="880">
        <f>Levers!E16</f>
        <v>7819946.222261874</v>
      </c>
      <c r="I47" s="880">
        <f>Levers!F16</f>
        <v>8054544.608929731</v>
      </c>
      <c r="J47" s="880">
        <f>Levers!G16</f>
        <v>8296180.9471976217</v>
      </c>
      <c r="K47" s="880">
        <f>Levers!H16</f>
        <v>8545066.3756135497</v>
      </c>
      <c r="L47" s="880">
        <f>Levers!I16</f>
        <v>8801418.3668819573</v>
      </c>
      <c r="R47" s="104"/>
    </row>
    <row r="48" spans="1:18" ht="15.75" x14ac:dyDescent="0.25">
      <c r="A48" s="96">
        <f>ROW()</f>
        <v>48</v>
      </c>
      <c r="B48" s="64" t="s">
        <v>753</v>
      </c>
      <c r="C48" s="879">
        <f>Levers!$B$17</f>
        <v>3477.9513377315238</v>
      </c>
      <c r="D48" s="879"/>
      <c r="E48" s="879"/>
      <c r="F48" s="860"/>
      <c r="G48" s="880">
        <f>Levers!D17</f>
        <v>3272.9074742081966</v>
      </c>
      <c r="H48" s="880">
        <f>Levers!E17</f>
        <v>3370.6374178937572</v>
      </c>
      <c r="I48" s="880">
        <f>Levers!F17</f>
        <v>3471.7565404305701</v>
      </c>
      <c r="J48" s="880">
        <f>Levers!G17</f>
        <v>3575.9092366434866</v>
      </c>
      <c r="K48" s="880">
        <f>Levers!H17</f>
        <v>3683.1865137427908</v>
      </c>
      <c r="L48" s="880">
        <f>Levers!I17</f>
        <v>3793.6821091550751</v>
      </c>
      <c r="R48" s="104"/>
    </row>
    <row r="49" spans="1:18" ht="15.75" x14ac:dyDescent="0.25">
      <c r="A49" s="96">
        <f>ROW()</f>
        <v>49</v>
      </c>
      <c r="B49" s="64" t="s">
        <v>754</v>
      </c>
      <c r="C49" s="879">
        <f>SUM(G49:L49)</f>
        <v>115848749.00400533</v>
      </c>
      <c r="D49" s="879"/>
      <c r="E49" s="879"/>
      <c r="F49" s="860">
        <f>Levers!C18</f>
        <v>19618907.500210002</v>
      </c>
      <c r="G49" s="880">
        <f>Levers!D18</f>
        <v>19665205.5988371</v>
      </c>
      <c r="H49" s="880">
        <f>Levers!E18</f>
        <v>19715690.803955585</v>
      </c>
      <c r="I49" s="880">
        <f>Levers!F18</f>
        <v>19486636.829869084</v>
      </c>
      <c r="J49" s="880">
        <f>Levers!G18</f>
        <v>19245111.379852824</v>
      </c>
      <c r="K49" s="880">
        <f>Levers!H18</f>
        <v>18996228.169201925</v>
      </c>
      <c r="L49" s="880">
        <f>Levers!I18</f>
        <v>18739876.222288817</v>
      </c>
      <c r="R49" s="104"/>
    </row>
    <row r="50" spans="1:18" ht="15.75" x14ac:dyDescent="0.25">
      <c r="A50" s="96">
        <f>ROW()</f>
        <v>50</v>
      </c>
      <c r="B50" s="64" t="s">
        <v>755</v>
      </c>
      <c r="C50" s="879">
        <f>Levers!$B$19</f>
        <v>8341.5325547818775</v>
      </c>
      <c r="D50" s="879"/>
      <c r="E50" s="879"/>
      <c r="F50" s="860"/>
      <c r="G50" s="880">
        <f>Levers!D19</f>
        <v>8476.3086520103698</v>
      </c>
      <c r="H50" s="880">
        <f>Levers!E19</f>
        <v>8498.0693286935384</v>
      </c>
      <c r="I50" s="880">
        <f>Levers!F19</f>
        <v>8399.3400185641003</v>
      </c>
      <c r="J50" s="880">
        <f>Levers!G19</f>
        <v>8295.2351185993321</v>
      </c>
      <c r="K50" s="880">
        <f>Levers!H19</f>
        <v>8187.9587974249898</v>
      </c>
      <c r="L50" s="880">
        <f>Levers!I19</f>
        <v>8077.4632211312046</v>
      </c>
      <c r="R50" s="104"/>
    </row>
    <row r="51" spans="1:18" ht="15.75" x14ac:dyDescent="0.25">
      <c r="A51" s="96">
        <f>ROW()</f>
        <v>51</v>
      </c>
      <c r="B51" s="64" t="s">
        <v>470</v>
      </c>
      <c r="C51" s="879">
        <f>Levers!B38</f>
        <v>7179252.7686203793</v>
      </c>
      <c r="D51" s="879"/>
      <c r="E51" s="879"/>
      <c r="F51" s="860">
        <f>Levers!C38</f>
        <v>1405170.7871554845</v>
      </c>
      <c r="G51" s="880">
        <f>Levers!D38</f>
        <v>1415564.3257825843</v>
      </c>
      <c r="H51" s="880">
        <f>Levers!E38</f>
        <v>1429084.1525010711</v>
      </c>
      <c r="I51" s="880">
        <f>Levers!F38</f>
        <v>1161972.4834305684</v>
      </c>
      <c r="J51" s="880">
        <f>Levers!G38</f>
        <v>881264.58524414641</v>
      </c>
      <c r="K51" s="880">
        <f>Levers!H38</f>
        <v>592040.77019461396</v>
      </c>
      <c r="L51" s="880">
        <f>Levers!I38</f>
        <v>294155.6643118686</v>
      </c>
      <c r="R51" s="104"/>
    </row>
    <row r="52" spans="1:18" ht="15.75" x14ac:dyDescent="0.25">
      <c r="A52" s="96">
        <f>ROW()</f>
        <v>52</v>
      </c>
      <c r="B52" s="64" t="s">
        <v>471</v>
      </c>
      <c r="C52" s="879">
        <f>Levers!B39</f>
        <v>442.06840388200953</v>
      </c>
      <c r="D52" s="879"/>
      <c r="E52" s="879"/>
      <c r="F52" s="860">
        <f>Levers!C39</f>
        <v>605.67184212010443</v>
      </c>
      <c r="G52" s="880">
        <f>Levers!D39</f>
        <v>610.15177704613939</v>
      </c>
      <c r="H52" s="880">
        <f>Levers!E39</f>
        <v>615.97923832599338</v>
      </c>
      <c r="I52" s="880">
        <f>Levers!F39</f>
        <v>500.84589073825589</v>
      </c>
      <c r="J52" s="880">
        <f>Levers!G39</f>
        <v>379.85215008670031</v>
      </c>
      <c r="K52" s="880">
        <f>Levers!H39</f>
        <v>255.18778725813311</v>
      </c>
      <c r="L52" s="880">
        <f>Levers!I39</f>
        <v>126.79014159872268</v>
      </c>
      <c r="R52" s="104"/>
    </row>
    <row r="53" spans="1:18" x14ac:dyDescent="0.25">
      <c r="A53" s="96">
        <f>ROW()</f>
        <v>53</v>
      </c>
      <c r="B53" s="38"/>
      <c r="C53" s="38"/>
      <c r="D53" s="38"/>
      <c r="E53" s="38"/>
      <c r="F53" s="161"/>
      <c r="G53" s="161"/>
      <c r="H53" s="161"/>
      <c r="I53" s="161"/>
      <c r="J53" s="161"/>
      <c r="K53" s="161"/>
      <c r="L53" s="161"/>
      <c r="R53" s="104"/>
    </row>
    <row r="54" spans="1:18" x14ac:dyDescent="0.25">
      <c r="A54" s="96">
        <f>ROW()</f>
        <v>54</v>
      </c>
      <c r="B54" s="28" t="s">
        <v>756</v>
      </c>
      <c r="C54" s="28"/>
      <c r="D54" s="28"/>
      <c r="E54" s="334"/>
      <c r="F54" s="846"/>
      <c r="G54" s="881"/>
      <c r="H54" s="881"/>
      <c r="I54" s="881"/>
      <c r="J54" s="881"/>
      <c r="K54" s="881"/>
      <c r="L54" s="881"/>
      <c r="M54" s="477"/>
      <c r="N54" s="266"/>
      <c r="O54" s="266"/>
      <c r="R54" s="104"/>
    </row>
    <row r="55" spans="1:18" x14ac:dyDescent="0.25">
      <c r="A55" s="96">
        <f>ROW()</f>
        <v>55</v>
      </c>
      <c r="B55" s="42" t="s">
        <v>447</v>
      </c>
      <c r="E55" s="284"/>
      <c r="F55" s="117">
        <f>+Staff!G17</f>
        <v>9</v>
      </c>
      <c r="G55" s="882">
        <f>+Staff!H17</f>
        <v>9</v>
      </c>
      <c r="H55" s="882">
        <f>+Staff!I17</f>
        <v>9</v>
      </c>
      <c r="I55" s="882">
        <f>+Staff!J17</f>
        <v>9</v>
      </c>
      <c r="J55" s="882">
        <f>+Staff!K17</f>
        <v>9</v>
      </c>
      <c r="K55" s="882">
        <f>+Staff!L17</f>
        <v>9</v>
      </c>
      <c r="L55" s="882">
        <f>+Staff!M17</f>
        <v>9</v>
      </c>
      <c r="M55" s="477"/>
      <c r="N55" s="266"/>
      <c r="O55" s="266"/>
      <c r="R55" s="104"/>
    </row>
    <row r="56" spans="1:18" x14ac:dyDescent="0.25">
      <c r="A56" s="96">
        <f>ROW()</f>
        <v>56</v>
      </c>
      <c r="B56" s="64" t="s">
        <v>448</v>
      </c>
      <c r="C56" s="64"/>
      <c r="D56" s="64"/>
      <c r="E56" s="883"/>
      <c r="F56" s="880">
        <f>+Staff!G18</f>
        <v>21</v>
      </c>
      <c r="G56" s="884">
        <f>+Staff!H18</f>
        <v>21</v>
      </c>
      <c r="H56" s="884">
        <f>+Staff!I18</f>
        <v>21</v>
      </c>
      <c r="I56" s="884">
        <f>+Staff!J18</f>
        <v>21</v>
      </c>
      <c r="J56" s="884">
        <f>+Staff!K18</f>
        <v>21</v>
      </c>
      <c r="K56" s="884">
        <f>+Staff!L18</f>
        <v>21</v>
      </c>
      <c r="L56" s="884">
        <f>+Staff!M18</f>
        <v>21</v>
      </c>
      <c r="M56" s="477"/>
      <c r="N56" s="266"/>
      <c r="O56" s="266"/>
      <c r="R56" s="104"/>
    </row>
    <row r="57" spans="1:18" x14ac:dyDescent="0.25">
      <c r="A57" s="96">
        <f>ROW()</f>
        <v>57</v>
      </c>
      <c r="B57" s="64" t="s">
        <v>449</v>
      </c>
      <c r="C57" s="64"/>
      <c r="D57" s="64"/>
      <c r="E57" s="883"/>
      <c r="F57" s="880">
        <f>+Staff!G19</f>
        <v>27</v>
      </c>
      <c r="G57" s="884">
        <f>+Staff!H19</f>
        <v>27</v>
      </c>
      <c r="H57" s="884">
        <f>+Staff!I19</f>
        <v>27</v>
      </c>
      <c r="I57" s="884">
        <f>+Staff!J19</f>
        <v>27</v>
      </c>
      <c r="J57" s="884">
        <f>+Staff!K19</f>
        <v>27</v>
      </c>
      <c r="K57" s="884">
        <f>+Staff!L19</f>
        <v>27</v>
      </c>
      <c r="L57" s="884">
        <f>+Staff!M19</f>
        <v>27</v>
      </c>
      <c r="M57" s="477"/>
      <c r="N57" s="266"/>
      <c r="O57" s="266"/>
      <c r="R57" s="104"/>
    </row>
    <row r="58" spans="1:18" x14ac:dyDescent="0.25">
      <c r="A58" s="96">
        <f>ROW()</f>
        <v>58</v>
      </c>
      <c r="B58" s="64" t="s">
        <v>450</v>
      </c>
      <c r="C58" s="64"/>
      <c r="D58" s="64"/>
      <c r="E58" s="883"/>
      <c r="F58" s="880">
        <f>+Staff!G20</f>
        <v>4</v>
      </c>
      <c r="G58" s="884">
        <f>+Staff!H20</f>
        <v>4</v>
      </c>
      <c r="H58" s="884">
        <f>+Staff!I20</f>
        <v>4</v>
      </c>
      <c r="I58" s="884">
        <f>+Staff!J20</f>
        <v>4</v>
      </c>
      <c r="J58" s="884">
        <f>+Staff!K20</f>
        <v>4</v>
      </c>
      <c r="K58" s="884">
        <f>+Staff!L20</f>
        <v>4</v>
      </c>
      <c r="L58" s="884">
        <f>+Staff!M20</f>
        <v>4</v>
      </c>
      <c r="M58" s="477"/>
      <c r="N58" s="266"/>
      <c r="O58" s="266"/>
      <c r="R58" s="104"/>
    </row>
    <row r="59" spans="1:18" x14ac:dyDescent="0.25">
      <c r="A59" s="96">
        <f>ROW()</f>
        <v>59</v>
      </c>
      <c r="B59" s="64" t="s">
        <v>451</v>
      </c>
      <c r="C59" s="64"/>
      <c r="D59" s="64"/>
      <c r="E59" s="883"/>
      <c r="F59" s="880">
        <f>+Staff!G21</f>
        <v>10</v>
      </c>
      <c r="G59" s="884">
        <f>+Staff!H21</f>
        <v>10</v>
      </c>
      <c r="H59" s="884">
        <f>+Staff!I21</f>
        <v>10</v>
      </c>
      <c r="I59" s="884">
        <f>+Staff!J21</f>
        <v>10</v>
      </c>
      <c r="J59" s="884">
        <f>+Staff!K21</f>
        <v>10</v>
      </c>
      <c r="K59" s="884">
        <f>+Staff!L21</f>
        <v>10</v>
      </c>
      <c r="L59" s="884">
        <f>+Staff!M21</f>
        <v>10</v>
      </c>
      <c r="M59" s="477"/>
      <c r="N59" s="266"/>
      <c r="O59" s="266"/>
      <c r="R59" s="104"/>
    </row>
    <row r="60" spans="1:18" x14ac:dyDescent="0.25">
      <c r="A60" s="96">
        <f>ROW()</f>
        <v>60</v>
      </c>
      <c r="B60" s="42" t="s">
        <v>452</v>
      </c>
      <c r="E60" s="334"/>
      <c r="F60" s="117">
        <f>+Staff!G22</f>
        <v>52</v>
      </c>
      <c r="G60" s="882">
        <f>+Staff!H22</f>
        <v>52</v>
      </c>
      <c r="H60" s="882">
        <f>+Staff!I22</f>
        <v>52</v>
      </c>
      <c r="I60" s="882">
        <f>+Staff!J22</f>
        <v>52</v>
      </c>
      <c r="J60" s="882">
        <f>+Staff!K22</f>
        <v>52</v>
      </c>
      <c r="K60" s="882">
        <f>+Staff!L22</f>
        <v>52</v>
      </c>
      <c r="L60" s="882">
        <f>+Staff!M22</f>
        <v>52</v>
      </c>
      <c r="M60" s="477"/>
      <c r="N60" s="266"/>
      <c r="O60" s="266"/>
      <c r="R60" s="104"/>
    </row>
    <row r="61" spans="1:18" x14ac:dyDescent="0.25">
      <c r="A61" s="96">
        <f>ROW()</f>
        <v>61</v>
      </c>
      <c r="B61" s="491" t="s">
        <v>757</v>
      </c>
      <c r="C61" s="491"/>
      <c r="D61" s="491"/>
      <c r="E61" s="284"/>
      <c r="F61" s="885">
        <f>SUM(F55:F60)</f>
        <v>123</v>
      </c>
      <c r="G61" s="885">
        <f t="shared" ref="G61:L61" si="10">SUM(G55:G60)</f>
        <v>123</v>
      </c>
      <c r="H61" s="885">
        <f t="shared" si="10"/>
        <v>123</v>
      </c>
      <c r="I61" s="885">
        <f t="shared" si="10"/>
        <v>123</v>
      </c>
      <c r="J61" s="885">
        <f t="shared" si="10"/>
        <v>123</v>
      </c>
      <c r="K61" s="885">
        <f t="shared" si="10"/>
        <v>123</v>
      </c>
      <c r="L61" s="885">
        <f t="shared" si="10"/>
        <v>123</v>
      </c>
      <c r="M61" s="477"/>
      <c r="N61" s="266"/>
      <c r="O61" s="266"/>
      <c r="R61" s="104"/>
    </row>
    <row r="62" spans="1:18" x14ac:dyDescent="0.25">
      <c r="A62" s="96">
        <f>ROW()</f>
        <v>62</v>
      </c>
      <c r="M62" s="477"/>
      <c r="N62" s="266"/>
      <c r="O62" s="266"/>
      <c r="P62" s="480"/>
      <c r="Q62" s="480"/>
      <c r="R62" s="104"/>
    </row>
    <row r="63" spans="1:18" x14ac:dyDescent="0.25">
      <c r="A63" s="96">
        <f>ROW()</f>
        <v>63</v>
      </c>
      <c r="B63" s="569" t="s">
        <v>758</v>
      </c>
      <c r="C63" s="886"/>
      <c r="D63" s="569"/>
      <c r="E63" s="569"/>
      <c r="F63" s="887"/>
      <c r="G63" s="887"/>
      <c r="H63" s="887"/>
      <c r="I63" s="887"/>
      <c r="J63" s="887"/>
      <c r="K63" s="887"/>
      <c r="L63" s="887"/>
      <c r="R63" s="104"/>
    </row>
    <row r="64" spans="1:18" x14ac:dyDescent="0.25">
      <c r="A64" s="96">
        <f>ROW()</f>
        <v>64</v>
      </c>
      <c r="B64" s="38" t="s">
        <v>759</v>
      </c>
      <c r="C64" s="523" t="s">
        <v>760</v>
      </c>
      <c r="D64" s="84"/>
      <c r="E64" s="84"/>
      <c r="F64" s="888" t="s">
        <v>761</v>
      </c>
      <c r="G64" s="38" t="s">
        <v>762</v>
      </c>
      <c r="R64" s="104"/>
    </row>
    <row r="65" spans="1:18" x14ac:dyDescent="0.25">
      <c r="A65" s="96">
        <f>ROW()</f>
        <v>65</v>
      </c>
      <c r="B65" s="64" t="s">
        <v>763</v>
      </c>
      <c r="C65" s="889">
        <v>0</v>
      </c>
      <c r="D65" s="40" t="s">
        <v>764</v>
      </c>
      <c r="E65" s="40"/>
      <c r="F65" s="890">
        <v>100000</v>
      </c>
      <c r="G65" s="890">
        <v>100000</v>
      </c>
      <c r="H65" s="890">
        <v>100000</v>
      </c>
      <c r="I65" s="890">
        <v>100000</v>
      </c>
      <c r="J65" s="890">
        <v>100000</v>
      </c>
      <c r="K65" s="890">
        <v>100000</v>
      </c>
      <c r="L65" s="890">
        <v>100000</v>
      </c>
      <c r="R65" s="104"/>
    </row>
    <row r="66" spans="1:18" x14ac:dyDescent="0.25">
      <c r="A66" s="96">
        <f>ROW()</f>
        <v>66</v>
      </c>
      <c r="B66" s="64" t="s">
        <v>765</v>
      </c>
      <c r="C66" s="889">
        <v>0</v>
      </c>
      <c r="D66" s="40" t="s">
        <v>766</v>
      </c>
      <c r="E66" s="40"/>
      <c r="F66" s="892">
        <v>2500</v>
      </c>
      <c r="G66" s="892">
        <v>2500</v>
      </c>
      <c r="H66" s="892">
        <v>2500</v>
      </c>
      <c r="I66" s="892">
        <v>2500</v>
      </c>
      <c r="J66" s="892">
        <v>2500</v>
      </c>
      <c r="K66" s="892">
        <v>2500</v>
      </c>
      <c r="L66" s="892">
        <v>2500</v>
      </c>
      <c r="R66" s="104"/>
    </row>
    <row r="67" spans="1:18" x14ac:dyDescent="0.25">
      <c r="A67" s="96">
        <f>ROW()</f>
        <v>67</v>
      </c>
      <c r="B67" s="64" t="s">
        <v>767</v>
      </c>
      <c r="C67" s="889">
        <v>0</v>
      </c>
      <c r="D67" s="40" t="s">
        <v>768</v>
      </c>
      <c r="E67" s="40"/>
      <c r="F67" s="892">
        <f t="shared" ref="F67:L67" si="11">$C$67</f>
        <v>0</v>
      </c>
      <c r="G67" s="892">
        <f t="shared" si="11"/>
        <v>0</v>
      </c>
      <c r="H67" s="892">
        <f t="shared" si="11"/>
        <v>0</v>
      </c>
      <c r="I67" s="892">
        <f t="shared" si="11"/>
        <v>0</v>
      </c>
      <c r="J67" s="892">
        <f t="shared" si="11"/>
        <v>0</v>
      </c>
      <c r="K67" s="892">
        <f t="shared" si="11"/>
        <v>0</v>
      </c>
      <c r="L67" s="892">
        <f t="shared" si="11"/>
        <v>0</v>
      </c>
      <c r="R67" s="104" t="s">
        <v>769</v>
      </c>
    </row>
    <row r="68" spans="1:18" x14ac:dyDescent="0.25">
      <c r="A68" s="96">
        <f>ROW()</f>
        <v>68</v>
      </c>
      <c r="B68" s="64" t="s">
        <v>770</v>
      </c>
      <c r="C68" s="893"/>
      <c r="D68" s="40"/>
      <c r="E68" s="40"/>
      <c r="F68" s="117"/>
      <c r="G68" s="117"/>
      <c r="H68" s="117"/>
      <c r="I68" s="117"/>
      <c r="J68" s="117"/>
      <c r="K68" s="117"/>
      <c r="L68" s="117"/>
      <c r="R68" s="104"/>
    </row>
    <row r="69" spans="1:18" x14ac:dyDescent="0.25">
      <c r="A69" s="96">
        <f>ROW()</f>
        <v>69</v>
      </c>
      <c r="B69" s="64" t="s">
        <v>771</v>
      </c>
      <c r="C69" s="889">
        <v>0</v>
      </c>
      <c r="D69" s="40" t="s">
        <v>397</v>
      </c>
      <c r="E69" s="40"/>
      <c r="F69" s="892"/>
      <c r="G69" s="892"/>
      <c r="H69" s="892"/>
      <c r="I69" s="892">
        <f>$C$69*(' Enrol &amp; Rev'!I36-' Enrol &amp; Rev'!H36)</f>
        <v>0</v>
      </c>
      <c r="J69" s="892">
        <f>$C$69*(' Enrol &amp; Rev'!J36-' Enrol &amp; Rev'!I36)</f>
        <v>0</v>
      </c>
      <c r="K69" s="892">
        <f>$C$69*(' Enrol &amp; Rev'!K36-' Enrol &amp; Rev'!J36)</f>
        <v>0</v>
      </c>
      <c r="L69" s="892">
        <f>$C$69*(' Enrol &amp; Rev'!L36-' Enrol &amp; Rev'!K36)</f>
        <v>0</v>
      </c>
      <c r="R69" s="104"/>
    </row>
    <row r="70" spans="1:18" x14ac:dyDescent="0.25">
      <c r="A70" s="96">
        <f>ROW()</f>
        <v>70</v>
      </c>
      <c r="B70" s="64" t="s">
        <v>772</v>
      </c>
      <c r="C70" s="889">
        <v>0</v>
      </c>
      <c r="D70" s="40" t="s">
        <v>773</v>
      </c>
      <c r="E70" s="40"/>
      <c r="F70" s="892">
        <v>10000</v>
      </c>
      <c r="G70" s="892">
        <v>10000</v>
      </c>
      <c r="H70" s="892">
        <v>10000</v>
      </c>
      <c r="I70" s="892">
        <v>10000</v>
      </c>
      <c r="J70" s="892">
        <v>10000</v>
      </c>
      <c r="K70" s="892">
        <v>10000</v>
      </c>
      <c r="L70" s="892">
        <v>10000</v>
      </c>
      <c r="R70" s="104" t="s">
        <v>774</v>
      </c>
    </row>
    <row r="71" spans="1:18" x14ac:dyDescent="0.25">
      <c r="A71" s="96">
        <f>ROW()</f>
        <v>71</v>
      </c>
      <c r="B71" s="64" t="s">
        <v>775</v>
      </c>
      <c r="C71" s="889">
        <v>0</v>
      </c>
      <c r="D71" s="40" t="s">
        <v>776</v>
      </c>
      <c r="E71" s="40"/>
      <c r="F71" s="892">
        <v>5000</v>
      </c>
      <c r="G71" s="892">
        <v>5000</v>
      </c>
      <c r="H71" s="892">
        <v>5000</v>
      </c>
      <c r="I71" s="892">
        <v>5000</v>
      </c>
      <c r="J71" s="892">
        <v>5000</v>
      </c>
      <c r="K71" s="892">
        <v>5000</v>
      </c>
      <c r="L71" s="892">
        <v>5000</v>
      </c>
      <c r="R71" s="104"/>
    </row>
    <row r="72" spans="1:18" x14ac:dyDescent="0.25">
      <c r="A72" s="96">
        <f>ROW()</f>
        <v>72</v>
      </c>
      <c r="B72" s="64" t="s">
        <v>777</v>
      </c>
      <c r="C72" s="894">
        <v>0</v>
      </c>
      <c r="D72" s="40" t="s">
        <v>397</v>
      </c>
      <c r="E72" s="40"/>
      <c r="F72" s="892">
        <f>$C$72*' Enrol &amp; Rev'!F36</f>
        <v>0</v>
      </c>
      <c r="G72" s="892">
        <f>$C$72*' Enrol &amp; Rev'!G36</f>
        <v>0</v>
      </c>
      <c r="H72" s="892">
        <f>$C$72*' Enrol &amp; Rev'!H36</f>
        <v>0</v>
      </c>
      <c r="I72" s="892">
        <f>$C$72*' Enrol &amp; Rev'!I36</f>
        <v>0</v>
      </c>
      <c r="J72" s="892">
        <f>$C$72*' Enrol &amp; Rev'!J36</f>
        <v>0</v>
      </c>
      <c r="K72" s="892">
        <f>$C$72*' Enrol &amp; Rev'!K36</f>
        <v>0</v>
      </c>
      <c r="L72" s="892">
        <f>$C$72*' Enrol &amp; Rev'!L36</f>
        <v>0</v>
      </c>
      <c r="R72" s="104"/>
    </row>
    <row r="73" spans="1:18" x14ac:dyDescent="0.25">
      <c r="A73" s="96">
        <f>ROW()</f>
        <v>73</v>
      </c>
      <c r="B73" s="64" t="s">
        <v>778</v>
      </c>
      <c r="C73" s="894">
        <v>0</v>
      </c>
      <c r="D73" s="40" t="s">
        <v>779</v>
      </c>
      <c r="E73" s="40"/>
      <c r="F73" s="895">
        <f>$C$73*' Enrol &amp; Rev'!F36</f>
        <v>0</v>
      </c>
      <c r="G73" s="895">
        <f>$C$73*' Enrol &amp; Rev'!G36</f>
        <v>0</v>
      </c>
      <c r="H73" s="895">
        <f>$C$73*' Enrol &amp; Rev'!H36</f>
        <v>0</v>
      </c>
      <c r="I73" s="895">
        <f>$C$73*' Enrol &amp; Rev'!I36</f>
        <v>0</v>
      </c>
      <c r="J73" s="895">
        <f>$C$73*' Enrol &amp; Rev'!J36</f>
        <v>0</v>
      </c>
      <c r="K73" s="895">
        <f>$C$73*' Enrol &amp; Rev'!K36</f>
        <v>0</v>
      </c>
      <c r="L73" s="895">
        <f>$C$73*' Enrol &amp; Rev'!L36</f>
        <v>0</v>
      </c>
      <c r="R73" s="104"/>
    </row>
    <row r="74" spans="1:18" x14ac:dyDescent="0.25">
      <c r="A74" s="96">
        <f>ROW()</f>
        <v>74</v>
      </c>
      <c r="B74" s="64" t="s">
        <v>780</v>
      </c>
      <c r="C74" s="889">
        <v>0</v>
      </c>
      <c r="D74" s="40" t="s">
        <v>781</v>
      </c>
      <c r="E74" s="40"/>
      <c r="F74" s="892">
        <f>(' Enrol &amp; Rev'!F119+' Enrol &amp; Rev'!F135)*$C$74</f>
        <v>0</v>
      </c>
      <c r="G74" s="892">
        <f>(' Enrol &amp; Rev'!G119+' Enrol &amp; Rev'!G135)*$C$74</f>
        <v>0</v>
      </c>
      <c r="H74" s="892">
        <f>(' Enrol &amp; Rev'!H119+' Enrol &amp; Rev'!H135)*$C$74</f>
        <v>0</v>
      </c>
      <c r="I74" s="892">
        <f>(' Enrol &amp; Rev'!I119+' Enrol &amp; Rev'!I135)*$C$74</f>
        <v>0</v>
      </c>
      <c r="J74" s="892">
        <f>(' Enrol &amp; Rev'!J119+' Enrol &amp; Rev'!J135)*$C$74</f>
        <v>0</v>
      </c>
      <c r="K74" s="892">
        <f>(' Enrol &amp; Rev'!K119+' Enrol &amp; Rev'!K135)*$C$74</f>
        <v>0</v>
      </c>
      <c r="L74" s="892">
        <f>(' Enrol &amp; Rev'!L119+' Enrol &amp; Rev'!L135)*$C$74</f>
        <v>0</v>
      </c>
      <c r="R74" s="104"/>
    </row>
    <row r="75" spans="1:18" x14ac:dyDescent="0.25">
      <c r="A75" s="96">
        <f>ROW()</f>
        <v>75</v>
      </c>
      <c r="B75" s="64" t="s">
        <v>782</v>
      </c>
      <c r="C75" s="889">
        <v>0</v>
      </c>
      <c r="D75" s="40" t="s">
        <v>781</v>
      </c>
      <c r="E75" s="40"/>
      <c r="F75" s="892">
        <f>(' Enrol &amp; Rev'!F119+' Enrol &amp; Rev'!F135)*$C$75</f>
        <v>0</v>
      </c>
      <c r="G75" s="892">
        <f>(' Enrol &amp; Rev'!G119+' Enrol &amp; Rev'!G135)*$C$75</f>
        <v>0</v>
      </c>
      <c r="H75" s="892">
        <f>(' Enrol &amp; Rev'!H119+' Enrol &amp; Rev'!H135)*$C$75</f>
        <v>0</v>
      </c>
      <c r="I75" s="892">
        <f>(' Enrol &amp; Rev'!I119+' Enrol &amp; Rev'!I135)*$C$75</f>
        <v>0</v>
      </c>
      <c r="J75" s="892">
        <f>(' Enrol &amp; Rev'!J119+' Enrol &amp; Rev'!J135)*$C$75</f>
        <v>0</v>
      </c>
      <c r="K75" s="892">
        <f>(' Enrol &amp; Rev'!K119+' Enrol &amp; Rev'!K135)*$C$75</f>
        <v>0</v>
      </c>
      <c r="L75" s="892">
        <f>(' Enrol &amp; Rev'!L119+' Enrol &amp; Rev'!L135)*$C$75</f>
        <v>0</v>
      </c>
      <c r="R75" s="104"/>
    </row>
    <row r="76" spans="1:18" x14ac:dyDescent="0.25">
      <c r="A76" s="96">
        <f>ROW()</f>
        <v>76</v>
      </c>
      <c r="B76" s="64" t="s">
        <v>783</v>
      </c>
      <c r="C76" s="889">
        <v>0</v>
      </c>
      <c r="D76" s="40" t="s">
        <v>397</v>
      </c>
      <c r="E76" s="40"/>
      <c r="F76" s="896">
        <v>350000</v>
      </c>
      <c r="G76" s="896">
        <v>350000</v>
      </c>
      <c r="H76" s="896">
        <v>350000</v>
      </c>
      <c r="I76" s="896">
        <v>350000</v>
      </c>
      <c r="J76" s="896">
        <v>350000</v>
      </c>
      <c r="K76" s="896">
        <v>350000</v>
      </c>
      <c r="L76" s="896">
        <v>350000</v>
      </c>
      <c r="R76" s="104" t="s">
        <v>784</v>
      </c>
    </row>
    <row r="77" spans="1:18" x14ac:dyDescent="0.25">
      <c r="A77" s="96">
        <f>ROW()</f>
        <v>77</v>
      </c>
      <c r="B77" s="64" t="s">
        <v>785</v>
      </c>
      <c r="C77" s="889">
        <v>0</v>
      </c>
      <c r="D77" s="40" t="s">
        <v>397</v>
      </c>
      <c r="E77" s="40"/>
      <c r="F77" s="896">
        <v>100000</v>
      </c>
      <c r="G77" s="896">
        <v>100000</v>
      </c>
      <c r="H77" s="896">
        <v>100000</v>
      </c>
      <c r="I77" s="896">
        <v>100000</v>
      </c>
      <c r="J77" s="896">
        <v>100000</v>
      </c>
      <c r="K77" s="896">
        <v>100000</v>
      </c>
      <c r="L77" s="896">
        <v>100000</v>
      </c>
      <c r="R77" s="104"/>
    </row>
    <row r="78" spans="1:18" x14ac:dyDescent="0.25">
      <c r="A78" s="96">
        <f>ROW()</f>
        <v>78</v>
      </c>
      <c r="B78" s="64" t="s">
        <v>786</v>
      </c>
      <c r="C78" s="889">
        <v>0</v>
      </c>
      <c r="D78" s="40" t="s">
        <v>397</v>
      </c>
      <c r="E78" s="40"/>
      <c r="F78" s="896">
        <f>$C$77*' Enrol &amp; Rev'!F$36</f>
        <v>0</v>
      </c>
      <c r="G78" s="896">
        <f>$C$77*' Enrol &amp; Rev'!G$36</f>
        <v>0</v>
      </c>
      <c r="H78" s="896">
        <f>$C$77*' Enrol &amp; Rev'!H$36</f>
        <v>0</v>
      </c>
      <c r="I78" s="896">
        <f>$C$77*' Enrol &amp; Rev'!I$36</f>
        <v>0</v>
      </c>
      <c r="J78" s="896">
        <f>$C$77*' Enrol &amp; Rev'!J$36</f>
        <v>0</v>
      </c>
      <c r="K78" s="896">
        <f>$C$77*' Enrol &amp; Rev'!K$36</f>
        <v>0</v>
      </c>
      <c r="L78" s="896">
        <f>$C$77*' Enrol &amp; Rev'!L$36</f>
        <v>0</v>
      </c>
      <c r="R78" s="104" t="s">
        <v>769</v>
      </c>
    </row>
    <row r="79" spans="1:18" x14ac:dyDescent="0.25">
      <c r="A79" s="96">
        <f>ROW()</f>
        <v>79</v>
      </c>
      <c r="B79" s="64" t="s">
        <v>787</v>
      </c>
      <c r="C79" s="889">
        <v>0</v>
      </c>
      <c r="D79" s="40" t="s">
        <v>397</v>
      </c>
      <c r="E79" s="40"/>
      <c r="F79" s="896">
        <v>7500</v>
      </c>
      <c r="G79" s="896">
        <v>7500</v>
      </c>
      <c r="H79" s="896">
        <v>7500</v>
      </c>
      <c r="I79" s="896">
        <v>7500</v>
      </c>
      <c r="J79" s="896">
        <v>7500</v>
      </c>
      <c r="K79" s="896">
        <v>7500</v>
      </c>
      <c r="L79" s="896">
        <v>7500</v>
      </c>
      <c r="R79" s="104"/>
    </row>
    <row r="80" spans="1:18" x14ac:dyDescent="0.25">
      <c r="A80" s="96">
        <f>ROW()</f>
        <v>80</v>
      </c>
      <c r="B80" s="64" t="s">
        <v>788</v>
      </c>
      <c r="C80" s="889">
        <v>0</v>
      </c>
      <c r="D80" s="40" t="s">
        <v>397</v>
      </c>
      <c r="E80" s="40"/>
      <c r="F80" s="896">
        <f>$C$80*' Enrol &amp; Rev'!F36</f>
        <v>0</v>
      </c>
      <c r="G80" s="896">
        <f>$C$80*' Enrol &amp; Rev'!G36</f>
        <v>0</v>
      </c>
      <c r="H80" s="896">
        <f>$C$80*' Enrol &amp; Rev'!H36</f>
        <v>0</v>
      </c>
      <c r="I80" s="896">
        <f>$C$80*' Enrol &amp; Rev'!I36</f>
        <v>0</v>
      </c>
      <c r="J80" s="896">
        <f>$C$80*' Enrol &amp; Rev'!J36</f>
        <v>0</v>
      </c>
      <c r="K80" s="896">
        <f>$C$80*' Enrol &amp; Rev'!K36</f>
        <v>0</v>
      </c>
      <c r="L80" s="896">
        <f>$C$80*' Enrol &amp; Rev'!L36</f>
        <v>0</v>
      </c>
      <c r="R80" s="104"/>
    </row>
    <row r="81" spans="1:18" x14ac:dyDescent="0.25">
      <c r="A81" s="96">
        <f>ROW()</f>
        <v>81</v>
      </c>
      <c r="B81" s="64" t="s">
        <v>789</v>
      </c>
      <c r="C81" s="889">
        <v>0</v>
      </c>
      <c r="D81" s="40" t="s">
        <v>389</v>
      </c>
      <c r="E81" s="40"/>
      <c r="F81" s="896">
        <f>$C$81*' Enrol &amp; Rev'!F36*' Enrol &amp; Rev'!F94</f>
        <v>0</v>
      </c>
      <c r="G81" s="896">
        <f>$C$81*' Enrol &amp; Rev'!G36*' Enrol &amp; Rev'!G94</f>
        <v>0</v>
      </c>
      <c r="H81" s="896">
        <f>$C$81*' Enrol &amp; Rev'!H36*' Enrol &amp; Rev'!H94</f>
        <v>0</v>
      </c>
      <c r="I81" s="896">
        <f>$C$81*' Enrol &amp; Rev'!I36*' Enrol &amp; Rev'!I94</f>
        <v>0</v>
      </c>
      <c r="J81" s="896">
        <f>$C$81*' Enrol &amp; Rev'!J36*' Enrol &amp; Rev'!J94</f>
        <v>0</v>
      </c>
      <c r="K81" s="896">
        <f>$C$81*' Enrol &amp; Rev'!K36*' Enrol &amp; Rev'!K94</f>
        <v>0</v>
      </c>
      <c r="L81" s="896">
        <f>$C$81*' Enrol &amp; Rev'!L36*' Enrol &amp; Rev'!L94</f>
        <v>0</v>
      </c>
      <c r="R81" s="104" t="s">
        <v>790</v>
      </c>
    </row>
    <row r="82" spans="1:18" x14ac:dyDescent="0.25">
      <c r="A82" s="96">
        <f>ROW()</f>
        <v>82</v>
      </c>
      <c r="B82" s="64" t="s">
        <v>791</v>
      </c>
      <c r="C82" s="889">
        <v>0</v>
      </c>
      <c r="D82" s="40" t="s">
        <v>792</v>
      </c>
      <c r="E82" s="40"/>
      <c r="F82" s="896">
        <v>450000</v>
      </c>
      <c r="G82" s="896">
        <v>450000</v>
      </c>
      <c r="H82" s="896">
        <v>450000</v>
      </c>
      <c r="I82" s="896">
        <v>450000</v>
      </c>
      <c r="J82" s="896">
        <v>450000</v>
      </c>
      <c r="K82" s="896">
        <v>450000</v>
      </c>
      <c r="L82" s="896">
        <v>450000</v>
      </c>
      <c r="R82" s="104" t="s">
        <v>793</v>
      </c>
    </row>
    <row r="83" spans="1:18" x14ac:dyDescent="0.25">
      <c r="A83" s="96">
        <f>ROW()</f>
        <v>83</v>
      </c>
      <c r="B83" s="64" t="s">
        <v>794</v>
      </c>
      <c r="C83" s="889">
        <v>0</v>
      </c>
      <c r="D83" s="40" t="s">
        <v>795</v>
      </c>
      <c r="E83" s="40"/>
      <c r="F83" s="896">
        <v>75000</v>
      </c>
      <c r="G83" s="896">
        <v>75000</v>
      </c>
      <c r="H83" s="896">
        <v>75000</v>
      </c>
      <c r="I83" s="896">
        <v>75000</v>
      </c>
      <c r="J83" s="896">
        <v>75000</v>
      </c>
      <c r="K83" s="896">
        <v>75000</v>
      </c>
      <c r="L83" s="896">
        <v>75000</v>
      </c>
      <c r="R83" s="104"/>
    </row>
    <row r="84" spans="1:18" x14ac:dyDescent="0.25">
      <c r="A84" s="96">
        <f>ROW()</f>
        <v>84</v>
      </c>
      <c r="B84" s="64" t="s">
        <v>796</v>
      </c>
      <c r="C84" s="889">
        <v>0</v>
      </c>
      <c r="D84" s="40" t="s">
        <v>797</v>
      </c>
      <c r="E84" s="40"/>
      <c r="F84" s="896">
        <f>$C$84*(' Enrol &amp; Rev'!F36-' Enrol &amp; Rev'!E36)</f>
        <v>0</v>
      </c>
      <c r="G84" s="896">
        <f>$C$84*(' Enrol &amp; Rev'!G36-' Enrol &amp; Rev'!F36)</f>
        <v>0</v>
      </c>
      <c r="H84" s="896">
        <f>$C$84*(' Enrol &amp; Rev'!H36-' Enrol &amp; Rev'!G36)</f>
        <v>0</v>
      </c>
      <c r="I84" s="896">
        <f>$C$84*(' Enrol &amp; Rev'!I36-' Enrol &amp; Rev'!H36)</f>
        <v>0</v>
      </c>
      <c r="J84" s="896">
        <f>$C$84*(' Enrol &amp; Rev'!J36-' Enrol &amp; Rev'!I36)</f>
        <v>0</v>
      </c>
      <c r="K84" s="896">
        <f>$C$84*(' Enrol &amp; Rev'!K36-' Enrol &amp; Rev'!J36)</f>
        <v>0</v>
      </c>
      <c r="L84" s="896">
        <f>$C$84*(' Enrol &amp; Rev'!L36-' Enrol &amp; Rev'!K36)</f>
        <v>0</v>
      </c>
      <c r="R84" s="104"/>
    </row>
    <row r="85" spans="1:18" x14ac:dyDescent="0.25">
      <c r="A85" s="96">
        <f>ROW()</f>
        <v>85</v>
      </c>
      <c r="B85" s="64" t="s">
        <v>798</v>
      </c>
      <c r="C85" s="889">
        <v>0</v>
      </c>
      <c r="D85" s="40" t="s">
        <v>799</v>
      </c>
      <c r="E85" s="40"/>
      <c r="F85" s="896">
        <v>0</v>
      </c>
      <c r="G85" s="896">
        <v>0</v>
      </c>
      <c r="H85" s="896">
        <v>0</v>
      </c>
      <c r="I85" s="896">
        <v>0</v>
      </c>
      <c r="J85" s="896">
        <v>0</v>
      </c>
      <c r="K85" s="896">
        <v>0</v>
      </c>
      <c r="L85" s="896">
        <v>0</v>
      </c>
      <c r="R85" s="104"/>
    </row>
    <row r="86" spans="1:18" x14ac:dyDescent="0.25">
      <c r="A86" s="96">
        <f>ROW()</f>
        <v>86</v>
      </c>
      <c r="B86" s="64" t="s">
        <v>800</v>
      </c>
      <c r="C86" s="889">
        <v>0</v>
      </c>
      <c r="D86" s="40" t="s">
        <v>801</v>
      </c>
      <c r="E86" s="40"/>
      <c r="F86" s="896">
        <v>5000</v>
      </c>
      <c r="G86" s="896">
        <v>5000</v>
      </c>
      <c r="H86" s="896">
        <v>5000</v>
      </c>
      <c r="I86" s="896">
        <v>5000</v>
      </c>
      <c r="J86" s="896">
        <v>5000</v>
      </c>
      <c r="K86" s="896">
        <v>5000</v>
      </c>
      <c r="L86" s="896">
        <v>5000</v>
      </c>
      <c r="R86" s="104"/>
    </row>
    <row r="87" spans="1:18" x14ac:dyDescent="0.25">
      <c r="A87" s="96">
        <f>ROW()</f>
        <v>87</v>
      </c>
      <c r="B87" s="64" t="s">
        <v>802</v>
      </c>
      <c r="C87" s="889">
        <v>0</v>
      </c>
      <c r="D87" s="40" t="s">
        <v>803</v>
      </c>
      <c r="E87" s="40"/>
      <c r="F87" s="896">
        <v>25000</v>
      </c>
      <c r="G87" s="896">
        <v>25000</v>
      </c>
      <c r="H87" s="896">
        <v>25000</v>
      </c>
      <c r="I87" s="896">
        <v>25000</v>
      </c>
      <c r="J87" s="896">
        <v>25000</v>
      </c>
      <c r="K87" s="896">
        <v>25000</v>
      </c>
      <c r="L87" s="896">
        <v>25000</v>
      </c>
      <c r="R87" s="104"/>
    </row>
    <row r="88" spans="1:18" x14ac:dyDescent="0.25">
      <c r="A88" s="96">
        <f>ROW()</f>
        <v>88</v>
      </c>
      <c r="B88" s="64" t="s">
        <v>804</v>
      </c>
      <c r="C88" s="889">
        <v>0</v>
      </c>
      <c r="D88" s="40" t="s">
        <v>801</v>
      </c>
      <c r="E88" s="40"/>
      <c r="F88" s="896">
        <v>31000</v>
      </c>
      <c r="G88" s="896">
        <v>31000</v>
      </c>
      <c r="H88" s="896">
        <v>31000</v>
      </c>
      <c r="I88" s="896">
        <v>31000</v>
      </c>
      <c r="J88" s="896">
        <v>31000</v>
      </c>
      <c r="K88" s="896">
        <v>31000</v>
      </c>
      <c r="L88" s="896">
        <v>31000</v>
      </c>
      <c r="R88" s="104"/>
    </row>
    <row r="89" spans="1:18" x14ac:dyDescent="0.25">
      <c r="A89" s="96">
        <f>ROW()</f>
        <v>89</v>
      </c>
      <c r="B89" s="64" t="s">
        <v>805</v>
      </c>
      <c r="C89" s="889">
        <v>0</v>
      </c>
      <c r="D89" s="40" t="s">
        <v>779</v>
      </c>
      <c r="E89" s="40"/>
      <c r="F89" s="896">
        <f>+F193</f>
        <v>0</v>
      </c>
      <c r="G89" s="896">
        <f>+G193</f>
        <v>0</v>
      </c>
      <c r="H89" s="896">
        <f t="shared" ref="H89:L89" si="12">+H193</f>
        <v>0</v>
      </c>
      <c r="I89" s="896">
        <f t="shared" si="12"/>
        <v>0</v>
      </c>
      <c r="J89" s="896">
        <f t="shared" si="12"/>
        <v>0</v>
      </c>
      <c r="K89" s="896">
        <f t="shared" si="12"/>
        <v>0</v>
      </c>
      <c r="L89" s="896">
        <f t="shared" si="12"/>
        <v>0</v>
      </c>
      <c r="R89" s="104"/>
    </row>
    <row r="90" spans="1:18" x14ac:dyDescent="0.25">
      <c r="A90" s="96">
        <f>ROW()</f>
        <v>90</v>
      </c>
      <c r="B90" s="64" t="s">
        <v>806</v>
      </c>
      <c r="C90" s="889">
        <v>0</v>
      </c>
      <c r="D90" s="40" t="s">
        <v>397</v>
      </c>
      <c r="E90" s="40"/>
      <c r="F90" s="896">
        <v>15000</v>
      </c>
      <c r="G90" s="896">
        <v>15000</v>
      </c>
      <c r="H90" s="896">
        <v>15000</v>
      </c>
      <c r="I90" s="896">
        <v>15000</v>
      </c>
      <c r="J90" s="896">
        <v>15000</v>
      </c>
      <c r="K90" s="896">
        <v>15000</v>
      </c>
      <c r="L90" s="896">
        <v>15000</v>
      </c>
      <c r="R90" s="104"/>
    </row>
    <row r="91" spans="1:18" x14ac:dyDescent="0.25">
      <c r="A91" s="96">
        <f>ROW()</f>
        <v>91</v>
      </c>
      <c r="B91" s="64" t="s">
        <v>807</v>
      </c>
      <c r="C91" s="889">
        <v>0</v>
      </c>
      <c r="D91" s="40" t="s">
        <v>397</v>
      </c>
      <c r="E91" s="40"/>
      <c r="F91" s="896">
        <v>8000</v>
      </c>
      <c r="G91" s="896">
        <v>8000</v>
      </c>
      <c r="H91" s="896">
        <v>8000</v>
      </c>
      <c r="I91" s="896">
        <v>8000</v>
      </c>
      <c r="J91" s="896">
        <v>8000</v>
      </c>
      <c r="K91" s="896">
        <v>8000</v>
      </c>
      <c r="L91" s="896">
        <v>8000</v>
      </c>
      <c r="R91" s="104"/>
    </row>
    <row r="92" spans="1:18" x14ac:dyDescent="0.25">
      <c r="A92" s="96">
        <f>ROW()</f>
        <v>92</v>
      </c>
      <c r="B92" s="64" t="s">
        <v>808</v>
      </c>
      <c r="C92" s="889">
        <v>0</v>
      </c>
      <c r="D92" s="40" t="s">
        <v>764</v>
      </c>
      <c r="E92" s="40"/>
      <c r="F92" s="896">
        <v>15000</v>
      </c>
      <c r="G92" s="896">
        <v>15000</v>
      </c>
      <c r="H92" s="896">
        <v>15000</v>
      </c>
      <c r="I92" s="896">
        <v>15000</v>
      </c>
      <c r="J92" s="896">
        <v>15000</v>
      </c>
      <c r="K92" s="896">
        <v>15000</v>
      </c>
      <c r="L92" s="896">
        <v>15000</v>
      </c>
      <c r="R92" s="104"/>
    </row>
    <row r="93" spans="1:18" x14ac:dyDescent="0.25">
      <c r="A93" s="96">
        <f>ROW()</f>
        <v>93</v>
      </c>
      <c r="B93" s="64" t="s">
        <v>809</v>
      </c>
      <c r="C93" s="889">
        <v>0</v>
      </c>
      <c r="D93" s="40" t="s">
        <v>764</v>
      </c>
      <c r="E93" s="40"/>
      <c r="F93" s="896">
        <v>5000</v>
      </c>
      <c r="G93" s="896">
        <v>5000</v>
      </c>
      <c r="H93" s="896">
        <v>5000</v>
      </c>
      <c r="I93" s="896">
        <v>5000</v>
      </c>
      <c r="J93" s="896">
        <v>5000</v>
      </c>
      <c r="K93" s="896">
        <v>5000</v>
      </c>
      <c r="L93" s="896">
        <v>5000</v>
      </c>
      <c r="R93" s="104"/>
    </row>
    <row r="94" spans="1:18" x14ac:dyDescent="0.25">
      <c r="A94" s="96">
        <f>ROW()</f>
        <v>94</v>
      </c>
      <c r="B94" s="64" t="s">
        <v>810</v>
      </c>
      <c r="C94" s="889">
        <v>0</v>
      </c>
      <c r="D94" s="40" t="s">
        <v>764</v>
      </c>
      <c r="E94" s="40"/>
      <c r="F94" s="896">
        <v>1000</v>
      </c>
      <c r="G94" s="896">
        <v>1000</v>
      </c>
      <c r="H94" s="896">
        <f>$C$94*Staff!I$23</f>
        <v>0</v>
      </c>
      <c r="I94" s="896">
        <f>$C$94*Staff!J$23</f>
        <v>0</v>
      </c>
      <c r="J94" s="896">
        <f>$C$94*Staff!K$23</f>
        <v>0</v>
      </c>
      <c r="K94" s="896">
        <f>$C$94*Staff!L$23</f>
        <v>0</v>
      </c>
      <c r="L94" s="896">
        <f>$C$94*Staff!M$23</f>
        <v>0</v>
      </c>
      <c r="R94" s="104"/>
    </row>
    <row r="95" spans="1:18" x14ac:dyDescent="0.25">
      <c r="A95" s="96">
        <f>ROW()</f>
        <v>95</v>
      </c>
      <c r="B95" s="64" t="s">
        <v>811</v>
      </c>
      <c r="C95" s="889">
        <v>0</v>
      </c>
      <c r="D95" s="40" t="s">
        <v>812</v>
      </c>
      <c r="E95" s="40"/>
      <c r="F95" s="896">
        <v>1000</v>
      </c>
      <c r="G95" s="896">
        <v>1000</v>
      </c>
      <c r="H95" s="896">
        <v>1000</v>
      </c>
      <c r="I95" s="896">
        <v>1000</v>
      </c>
      <c r="J95" s="896">
        <v>1000</v>
      </c>
      <c r="K95" s="896">
        <v>1000</v>
      </c>
      <c r="L95" s="896">
        <v>1000</v>
      </c>
      <c r="R95" s="104"/>
    </row>
    <row r="96" spans="1:18" x14ac:dyDescent="0.25">
      <c r="A96" s="96">
        <f>ROW()</f>
        <v>96</v>
      </c>
      <c r="B96" s="64" t="s">
        <v>813</v>
      </c>
      <c r="C96" s="889">
        <v>0</v>
      </c>
      <c r="D96" s="40" t="s">
        <v>801</v>
      </c>
      <c r="E96" s="40"/>
      <c r="F96" s="896">
        <f t="shared" ref="F96:L96" si="13">$C$96</f>
        <v>0</v>
      </c>
      <c r="G96" s="896">
        <f t="shared" si="13"/>
        <v>0</v>
      </c>
      <c r="H96" s="896">
        <f t="shared" si="13"/>
        <v>0</v>
      </c>
      <c r="I96" s="896">
        <f t="shared" si="13"/>
        <v>0</v>
      </c>
      <c r="J96" s="896">
        <f t="shared" si="13"/>
        <v>0</v>
      </c>
      <c r="K96" s="896">
        <f t="shared" si="13"/>
        <v>0</v>
      </c>
      <c r="L96" s="896">
        <f t="shared" si="13"/>
        <v>0</v>
      </c>
      <c r="R96" s="104"/>
    </row>
    <row r="97" spans="1:18" x14ac:dyDescent="0.25">
      <c r="A97" s="96">
        <f>ROW()</f>
        <v>97</v>
      </c>
      <c r="B97" s="64" t="s">
        <v>814</v>
      </c>
      <c r="C97" s="889">
        <v>0</v>
      </c>
      <c r="D97" s="40" t="s">
        <v>815</v>
      </c>
      <c r="E97" s="40"/>
      <c r="F97" s="896">
        <v>30000</v>
      </c>
      <c r="G97" s="896">
        <v>30000</v>
      </c>
      <c r="H97" s="896">
        <v>30000</v>
      </c>
      <c r="I97" s="896">
        <v>30000</v>
      </c>
      <c r="J97" s="896">
        <v>30000</v>
      </c>
      <c r="K97" s="896">
        <v>30000</v>
      </c>
      <c r="L97" s="896">
        <v>30000</v>
      </c>
      <c r="R97" s="104"/>
    </row>
    <row r="98" spans="1:18" x14ac:dyDescent="0.25">
      <c r="A98" s="96">
        <f>ROW()</f>
        <v>98</v>
      </c>
      <c r="B98" s="64" t="s">
        <v>816</v>
      </c>
      <c r="C98" s="889">
        <v>0</v>
      </c>
      <c r="D98" s="40" t="s">
        <v>815</v>
      </c>
      <c r="E98" s="40"/>
      <c r="F98" s="896">
        <v>0</v>
      </c>
      <c r="G98" s="896">
        <v>0</v>
      </c>
      <c r="H98" s="896">
        <f>$C$98*' Enrol &amp; Rev'!H17</f>
        <v>0</v>
      </c>
      <c r="I98" s="896">
        <f>$C$98*' Enrol &amp; Rev'!I17</f>
        <v>0</v>
      </c>
      <c r="J98" s="896">
        <f>$C$98*' Enrol &amp; Rev'!J17</f>
        <v>0</v>
      </c>
      <c r="K98" s="896">
        <f>$C$98*' Enrol &amp; Rev'!K17</f>
        <v>0</v>
      </c>
      <c r="L98" s="896">
        <f>$C$98*' Enrol &amp; Rev'!L17</f>
        <v>0</v>
      </c>
      <c r="R98" s="104"/>
    </row>
    <row r="99" spans="1:18" x14ac:dyDescent="0.25">
      <c r="A99" s="96">
        <f>ROW()</f>
        <v>99</v>
      </c>
      <c r="B99" s="64" t="s">
        <v>817</v>
      </c>
      <c r="C99" s="894">
        <v>0</v>
      </c>
      <c r="D99" s="40" t="s">
        <v>478</v>
      </c>
      <c r="E99" s="40"/>
      <c r="F99" s="896">
        <f t="shared" ref="F99:L100" si="14">+$C99</f>
        <v>0</v>
      </c>
      <c r="G99" s="896">
        <f t="shared" si="14"/>
        <v>0</v>
      </c>
      <c r="H99" s="896">
        <f t="shared" si="14"/>
        <v>0</v>
      </c>
      <c r="I99" s="896">
        <f t="shared" si="14"/>
        <v>0</v>
      </c>
      <c r="J99" s="896">
        <f t="shared" si="14"/>
        <v>0</v>
      </c>
      <c r="K99" s="896">
        <f t="shared" si="14"/>
        <v>0</v>
      </c>
      <c r="L99" s="896">
        <f t="shared" si="14"/>
        <v>0</v>
      </c>
      <c r="R99" s="104"/>
    </row>
    <row r="100" spans="1:18" x14ac:dyDescent="0.25">
      <c r="A100" s="96">
        <f>ROW()</f>
        <v>100</v>
      </c>
      <c r="B100" s="64" t="s">
        <v>818</v>
      </c>
      <c r="C100" s="894">
        <v>0</v>
      </c>
      <c r="D100" s="40" t="s">
        <v>478</v>
      </c>
      <c r="E100" s="40"/>
      <c r="F100" s="896">
        <f t="shared" si="14"/>
        <v>0</v>
      </c>
      <c r="G100" s="896">
        <f t="shared" si="14"/>
        <v>0</v>
      </c>
      <c r="H100" s="896">
        <f t="shared" si="14"/>
        <v>0</v>
      </c>
      <c r="I100" s="896">
        <f t="shared" si="14"/>
        <v>0</v>
      </c>
      <c r="J100" s="896">
        <f t="shared" si="14"/>
        <v>0</v>
      </c>
      <c r="K100" s="896">
        <f t="shared" si="14"/>
        <v>0</v>
      </c>
      <c r="L100" s="896">
        <f t="shared" si="14"/>
        <v>0</v>
      </c>
      <c r="R100" s="104"/>
    </row>
    <row r="101" spans="1:18" x14ac:dyDescent="0.25">
      <c r="A101" s="96">
        <f>ROW()</f>
        <v>101</v>
      </c>
      <c r="B101" s="64" t="s">
        <v>819</v>
      </c>
      <c r="C101" s="894">
        <v>0</v>
      </c>
      <c r="D101" s="40" t="s">
        <v>478</v>
      </c>
      <c r="E101" s="40"/>
      <c r="F101" s="896">
        <v>0</v>
      </c>
      <c r="G101" s="896">
        <v>0</v>
      </c>
      <c r="H101" s="896">
        <v>0</v>
      </c>
      <c r="I101" s="896">
        <v>0</v>
      </c>
      <c r="J101" s="896">
        <v>0</v>
      </c>
      <c r="K101" s="896">
        <v>0</v>
      </c>
      <c r="L101" s="896">
        <v>0</v>
      </c>
      <c r="R101" s="104"/>
    </row>
    <row r="102" spans="1:18" x14ac:dyDescent="0.25">
      <c r="A102" s="96">
        <f>ROW()</f>
        <v>102</v>
      </c>
      <c r="B102" s="64" t="s">
        <v>820</v>
      </c>
      <c r="C102" s="889">
        <v>0</v>
      </c>
      <c r="D102" s="40" t="s">
        <v>801</v>
      </c>
      <c r="E102" s="40"/>
      <c r="F102" s="896">
        <v>25000</v>
      </c>
      <c r="G102" s="896">
        <v>25000</v>
      </c>
      <c r="H102" s="896">
        <v>25000</v>
      </c>
      <c r="I102" s="896">
        <v>25000</v>
      </c>
      <c r="J102" s="896">
        <v>25000</v>
      </c>
      <c r="K102" s="896">
        <v>25000</v>
      </c>
      <c r="L102" s="896">
        <v>25000</v>
      </c>
      <c r="R102" s="104"/>
    </row>
    <row r="103" spans="1:18" x14ac:dyDescent="0.25">
      <c r="A103" s="96">
        <f>ROW()</f>
        <v>103</v>
      </c>
      <c r="B103" s="64" t="s">
        <v>821</v>
      </c>
      <c r="C103" s="894" t="s">
        <v>392</v>
      </c>
      <c r="D103" s="40" t="s">
        <v>822</v>
      </c>
      <c r="E103" s="40"/>
      <c r="F103" s="891">
        <v>0</v>
      </c>
      <c r="G103" s="896">
        <v>0</v>
      </c>
      <c r="H103" s="896">
        <f>IF($C$103="yes",Staff!$C$73*Staff!$C$72*Staff!$C$71,0)</f>
        <v>0</v>
      </c>
      <c r="I103" s="896">
        <f>IF($C$103="yes",Staff!$C$73*Staff!$C$72*Staff!$C$71,0)</f>
        <v>0</v>
      </c>
      <c r="J103" s="896">
        <f>IF($C$103="yes",Staff!$C$73*Staff!$C$72*Staff!$C$71,0)</f>
        <v>0</v>
      </c>
      <c r="K103" s="896">
        <f>IF($C$103="yes",Staff!$C$73*Staff!$C$72*Staff!$C$71,0)</f>
        <v>0</v>
      </c>
      <c r="L103" s="896">
        <f>IF($C$103="yes",Staff!$C$73*Staff!$C$72*Staff!$C$71,0)</f>
        <v>0</v>
      </c>
      <c r="R103" s="104"/>
    </row>
    <row r="104" spans="1:18" x14ac:dyDescent="0.25">
      <c r="A104" s="96">
        <f>ROW()</f>
        <v>104</v>
      </c>
      <c r="C104" s="126"/>
      <c r="D104" s="125"/>
      <c r="E104" s="125"/>
      <c r="F104" s="897"/>
      <c r="G104" s="897"/>
      <c r="H104" s="897"/>
      <c r="I104" s="897"/>
      <c r="J104" s="897"/>
      <c r="K104" s="897"/>
      <c r="L104" s="897"/>
      <c r="R104" s="104"/>
    </row>
    <row r="105" spans="1:18" ht="15.75" thickBot="1" x14ac:dyDescent="0.3">
      <c r="A105" s="96">
        <f>ROW()</f>
        <v>105</v>
      </c>
      <c r="B105" s="898" t="s">
        <v>823</v>
      </c>
      <c r="C105" s="899"/>
      <c r="D105" s="898"/>
      <c r="E105" s="898"/>
      <c r="F105" s="900">
        <f t="shared" ref="F105:L105" si="15">SUM(F65:F104)</f>
        <v>1261000</v>
      </c>
      <c r="G105" s="900">
        <f t="shared" si="15"/>
        <v>1261000</v>
      </c>
      <c r="H105" s="900">
        <f t="shared" si="15"/>
        <v>1260000</v>
      </c>
      <c r="I105" s="900">
        <f t="shared" si="15"/>
        <v>1260000</v>
      </c>
      <c r="J105" s="900">
        <f t="shared" si="15"/>
        <v>1260000</v>
      </c>
      <c r="K105" s="900">
        <f t="shared" si="15"/>
        <v>1260000</v>
      </c>
      <c r="L105" s="900">
        <f t="shared" si="15"/>
        <v>1260000</v>
      </c>
      <c r="R105" s="104"/>
    </row>
    <row r="106" spans="1:18" ht="15.75" thickTop="1" x14ac:dyDescent="0.25">
      <c r="A106" s="96">
        <f>ROW()</f>
        <v>106</v>
      </c>
      <c r="B106" s="37" t="s">
        <v>397</v>
      </c>
      <c r="C106" s="128"/>
      <c r="D106" s="37"/>
      <c r="E106" s="37"/>
      <c r="F106" s="129">
        <f>IFERROR(F105/' Enrol &amp; Rev'!F36,0)</f>
        <v>543.52979715692106</v>
      </c>
      <c r="G106" s="129">
        <f>IFERROR(G105/' Enrol &amp; Rev'!G36,0)</f>
        <v>543.52979715692106</v>
      </c>
      <c r="H106" s="129">
        <f>IFERROR(H105/' Enrol &amp; Rev'!H36,0)</f>
        <v>543.0987663899449</v>
      </c>
      <c r="I106" s="129">
        <f>IFERROR(I105/' Enrol &amp; Rev'!I36,0)</f>
        <v>543.0987663899449</v>
      </c>
      <c r="J106" s="129">
        <f>IFERROR(J105/' Enrol &amp; Rev'!J36,0)</f>
        <v>543.0987663899449</v>
      </c>
      <c r="K106" s="129">
        <f>IFERROR(K105/' Enrol &amp; Rev'!K36,0)</f>
        <v>543.0987663899449</v>
      </c>
      <c r="L106" s="129">
        <f>IFERROR(L105/' Enrol &amp; Rev'!L36,0)</f>
        <v>543.0987663899449</v>
      </c>
      <c r="M106" s="37"/>
      <c r="N106" s="37"/>
      <c r="O106" s="37"/>
      <c r="P106" s="37"/>
      <c r="Q106" s="37"/>
      <c r="R106" s="104"/>
    </row>
    <row r="107" spans="1:18" x14ac:dyDescent="0.25">
      <c r="A107" s="96">
        <f>ROW()</f>
        <v>107</v>
      </c>
      <c r="B107" s="38"/>
      <c r="C107" s="523"/>
      <c r="D107" s="38"/>
      <c r="E107" s="37"/>
      <c r="F107" s="126"/>
      <c r="G107" s="112"/>
      <c r="H107" s="112"/>
      <c r="I107" s="112"/>
      <c r="J107" s="112"/>
      <c r="K107" s="112"/>
      <c r="L107" s="112"/>
      <c r="M107" s="133"/>
      <c r="R107" s="104"/>
    </row>
    <row r="108" spans="1:18" x14ac:dyDescent="0.25">
      <c r="A108" s="96">
        <f>ROW()</f>
        <v>108</v>
      </c>
      <c r="B108" s="38" t="s">
        <v>824</v>
      </c>
      <c r="C108" s="523"/>
      <c r="D108" s="38"/>
      <c r="E108" s="37"/>
      <c r="F108" s="112"/>
      <c r="G108" s="112"/>
      <c r="H108" s="112"/>
      <c r="I108" s="112"/>
      <c r="J108" s="112"/>
      <c r="K108" s="112"/>
      <c r="L108" s="112"/>
      <c r="R108" s="104"/>
    </row>
    <row r="109" spans="1:18" x14ac:dyDescent="0.25">
      <c r="A109" s="96">
        <f>ROW()</f>
        <v>109</v>
      </c>
      <c r="B109" s="42" t="s">
        <v>825</v>
      </c>
      <c r="C109" s="523"/>
      <c r="D109" s="38"/>
      <c r="E109" s="37"/>
      <c r="F109" s="901"/>
      <c r="G109" s="901"/>
      <c r="H109" s="901"/>
      <c r="I109" s="901"/>
      <c r="J109" s="901"/>
      <c r="K109" s="901"/>
      <c r="L109" s="901"/>
      <c r="R109" s="104"/>
    </row>
    <row r="110" spans="1:18" x14ac:dyDescent="0.25">
      <c r="A110" s="96">
        <f>ROW()</f>
        <v>110</v>
      </c>
      <c r="B110" s="42" t="s">
        <v>826</v>
      </c>
      <c r="C110" s="523"/>
      <c r="D110" s="38"/>
      <c r="E110" s="37"/>
      <c r="F110" s="901">
        <v>35000</v>
      </c>
      <c r="G110" s="901">
        <v>35000</v>
      </c>
      <c r="H110" s="901">
        <v>35000</v>
      </c>
      <c r="I110" s="901">
        <v>35000</v>
      </c>
      <c r="J110" s="901">
        <v>35000</v>
      </c>
      <c r="K110" s="901">
        <v>35000</v>
      </c>
      <c r="L110" s="901">
        <v>35000</v>
      </c>
      <c r="R110" s="104"/>
    </row>
    <row r="111" spans="1:18" x14ac:dyDescent="0.25">
      <c r="A111" s="96">
        <f>ROW()</f>
        <v>111</v>
      </c>
      <c r="B111" s="42" t="s">
        <v>827</v>
      </c>
      <c r="C111" s="523"/>
      <c r="D111" s="38"/>
      <c r="E111" s="37"/>
      <c r="F111" s="901"/>
      <c r="G111" s="901"/>
      <c r="H111" s="901"/>
      <c r="I111" s="901"/>
      <c r="J111" s="901"/>
      <c r="K111" s="901"/>
      <c r="L111" s="901"/>
      <c r="R111" s="104"/>
    </row>
    <row r="112" spans="1:18" x14ac:dyDescent="0.25">
      <c r="A112" s="96">
        <f>ROW()</f>
        <v>112</v>
      </c>
      <c r="B112" s="42" t="s">
        <v>828</v>
      </c>
      <c r="C112" s="523"/>
      <c r="D112" s="38"/>
      <c r="E112" s="37"/>
      <c r="F112" s="901"/>
      <c r="G112" s="901"/>
      <c r="H112" s="901"/>
      <c r="I112" s="901"/>
      <c r="J112" s="901"/>
      <c r="K112" s="901"/>
      <c r="L112" s="901"/>
      <c r="R112" s="104"/>
    </row>
    <row r="113" spans="1:18" x14ac:dyDescent="0.25">
      <c r="A113" s="96">
        <f>ROW()</f>
        <v>113</v>
      </c>
      <c r="B113" s="42" t="s">
        <v>829</v>
      </c>
      <c r="C113" s="523"/>
      <c r="D113" s="38"/>
      <c r="E113" s="37"/>
      <c r="F113" s="901"/>
      <c r="G113" s="901"/>
      <c r="H113" s="901"/>
      <c r="I113" s="901"/>
      <c r="J113" s="901"/>
      <c r="K113" s="901"/>
      <c r="L113" s="901"/>
      <c r="R113" s="104"/>
    </row>
    <row r="114" spans="1:18" x14ac:dyDescent="0.25">
      <c r="A114" s="96">
        <f>ROW()</f>
        <v>114</v>
      </c>
      <c r="B114" s="42" t="s">
        <v>830</v>
      </c>
      <c r="C114" s="523"/>
      <c r="D114" s="38"/>
      <c r="E114" s="37"/>
      <c r="F114" s="901"/>
      <c r="G114" s="901"/>
      <c r="H114" s="901"/>
      <c r="I114" s="901"/>
      <c r="J114" s="901"/>
      <c r="K114" s="901"/>
      <c r="L114" s="901"/>
      <c r="R114" s="104"/>
    </row>
    <row r="115" spans="1:18" x14ac:dyDescent="0.25">
      <c r="A115" s="96">
        <f>ROW()</f>
        <v>115</v>
      </c>
      <c r="B115" s="42" t="s">
        <v>831</v>
      </c>
      <c r="C115" s="523"/>
      <c r="D115" s="38"/>
      <c r="E115" s="37"/>
      <c r="F115" s="901"/>
      <c r="G115" s="901"/>
      <c r="H115" s="901"/>
      <c r="I115" s="901"/>
      <c r="J115" s="901"/>
      <c r="K115" s="901"/>
      <c r="L115" s="901"/>
      <c r="R115" s="104"/>
    </row>
    <row r="116" spans="1:18" x14ac:dyDescent="0.25">
      <c r="A116" s="96">
        <f>ROW()</f>
        <v>116</v>
      </c>
      <c r="B116" s="42" t="s">
        <v>832</v>
      </c>
      <c r="C116" s="523"/>
      <c r="D116" s="38"/>
      <c r="E116" s="37"/>
      <c r="F116" s="901"/>
      <c r="G116" s="901"/>
      <c r="H116" s="901"/>
      <c r="I116" s="901"/>
      <c r="J116" s="901"/>
      <c r="K116" s="901"/>
      <c r="L116" s="901"/>
      <c r="R116" s="104"/>
    </row>
    <row r="117" spans="1:18" x14ac:dyDescent="0.25">
      <c r="A117" s="96">
        <f>ROW()</f>
        <v>117</v>
      </c>
      <c r="B117" s="42" t="s">
        <v>833</v>
      </c>
      <c r="C117" s="523"/>
      <c r="D117" s="38"/>
      <c r="E117" s="37"/>
      <c r="F117" s="901"/>
      <c r="G117" s="901"/>
      <c r="H117" s="901"/>
      <c r="I117" s="901"/>
      <c r="J117" s="901"/>
      <c r="K117" s="901"/>
      <c r="L117" s="901"/>
      <c r="R117" s="104"/>
    </row>
    <row r="118" spans="1:18" x14ac:dyDescent="0.25">
      <c r="A118" s="96">
        <f>ROW()</f>
        <v>118</v>
      </c>
      <c r="B118" s="42" t="s">
        <v>834</v>
      </c>
      <c r="C118" s="523"/>
      <c r="D118" s="38"/>
      <c r="E118" s="37"/>
      <c r="F118" s="901"/>
      <c r="G118" s="901"/>
      <c r="H118" s="901"/>
      <c r="I118" s="901"/>
      <c r="J118" s="901"/>
      <c r="K118" s="901"/>
      <c r="L118" s="901"/>
      <c r="R118" s="104"/>
    </row>
    <row r="119" spans="1:18" x14ac:dyDescent="0.25">
      <c r="A119" s="96">
        <f>ROW()</f>
        <v>119</v>
      </c>
      <c r="B119" s="42" t="s">
        <v>835</v>
      </c>
      <c r="C119" s="523"/>
      <c r="D119" s="38"/>
      <c r="E119" s="37"/>
      <c r="F119" s="901"/>
      <c r="G119" s="901"/>
      <c r="H119" s="901"/>
      <c r="I119" s="901"/>
      <c r="J119" s="901"/>
      <c r="K119" s="901"/>
      <c r="L119" s="901"/>
      <c r="R119" s="104"/>
    </row>
    <row r="120" spans="1:18" x14ac:dyDescent="0.25">
      <c r="A120" s="96">
        <f>ROW()</f>
        <v>120</v>
      </c>
      <c r="B120" s="42" t="s">
        <v>836</v>
      </c>
      <c r="C120" s="523"/>
      <c r="D120" s="38"/>
      <c r="E120" s="37"/>
      <c r="F120" s="901"/>
      <c r="G120" s="901"/>
      <c r="H120" s="901"/>
      <c r="I120" s="901"/>
      <c r="J120" s="901"/>
      <c r="K120" s="901"/>
      <c r="L120" s="901"/>
      <c r="R120" s="104"/>
    </row>
    <row r="121" spans="1:18" x14ac:dyDescent="0.25">
      <c r="A121" s="96">
        <f>ROW()</f>
        <v>121</v>
      </c>
      <c r="B121" s="42" t="s">
        <v>837</v>
      </c>
      <c r="C121" s="523"/>
      <c r="D121" s="38"/>
      <c r="E121" s="37"/>
      <c r="F121" s="901"/>
      <c r="G121" s="901"/>
      <c r="H121" s="902"/>
      <c r="I121" s="902"/>
      <c r="J121" s="902"/>
      <c r="K121" s="902"/>
      <c r="L121" s="902"/>
      <c r="R121" s="104"/>
    </row>
    <row r="122" spans="1:18" x14ac:dyDescent="0.25">
      <c r="A122" s="96">
        <f>ROW()</f>
        <v>122</v>
      </c>
      <c r="B122" s="42" t="s">
        <v>838</v>
      </c>
      <c r="C122" s="523"/>
      <c r="D122" s="38"/>
      <c r="E122" s="37"/>
      <c r="F122" s="901">
        <v>10000</v>
      </c>
      <c r="G122" s="901">
        <v>10000</v>
      </c>
      <c r="H122" s="901">
        <v>10000</v>
      </c>
      <c r="I122" s="901">
        <v>10000</v>
      </c>
      <c r="J122" s="901">
        <v>10000</v>
      </c>
      <c r="K122" s="901">
        <v>10000</v>
      </c>
      <c r="L122" s="901">
        <v>10000</v>
      </c>
      <c r="R122" s="104"/>
    </row>
    <row r="123" spans="1:18" x14ac:dyDescent="0.25">
      <c r="A123" s="96">
        <f>ROW()</f>
        <v>123</v>
      </c>
      <c r="B123" s="42" t="s">
        <v>839</v>
      </c>
      <c r="C123" s="523"/>
      <c r="D123" s="38"/>
      <c r="E123" s="37"/>
      <c r="F123" s="901"/>
      <c r="G123" s="901"/>
      <c r="H123" s="901"/>
      <c r="I123" s="901"/>
      <c r="J123" s="901"/>
      <c r="K123" s="901"/>
      <c r="L123" s="901"/>
      <c r="R123" s="104"/>
    </row>
    <row r="124" spans="1:18" x14ac:dyDescent="0.25">
      <c r="A124" s="96">
        <f>ROW()</f>
        <v>124</v>
      </c>
      <c r="B124" s="42" t="s">
        <v>840</v>
      </c>
      <c r="C124" s="523"/>
      <c r="D124" s="38"/>
      <c r="E124" s="37"/>
      <c r="F124" s="901"/>
      <c r="G124" s="901"/>
      <c r="H124" s="901"/>
      <c r="I124" s="901"/>
      <c r="J124" s="901"/>
      <c r="K124" s="901"/>
      <c r="L124" s="901"/>
      <c r="R124" s="104"/>
    </row>
    <row r="125" spans="1:18" x14ac:dyDescent="0.25">
      <c r="A125" s="96">
        <f>ROW()</f>
        <v>125</v>
      </c>
      <c r="B125" s="42" t="s">
        <v>841</v>
      </c>
      <c r="C125" s="523"/>
      <c r="D125" s="38"/>
      <c r="E125" s="37"/>
      <c r="F125" s="901"/>
      <c r="G125" s="901"/>
      <c r="H125" s="901"/>
      <c r="I125" s="901"/>
      <c r="J125" s="901"/>
      <c r="K125" s="901"/>
      <c r="L125" s="901"/>
      <c r="R125" s="104"/>
    </row>
    <row r="126" spans="1:18" x14ac:dyDescent="0.25">
      <c r="A126" s="96">
        <f>ROW()</f>
        <v>126</v>
      </c>
      <c r="B126" s="42" t="s">
        <v>842</v>
      </c>
      <c r="C126" s="523"/>
      <c r="D126" s="38"/>
      <c r="E126" s="37"/>
      <c r="F126" s="901"/>
      <c r="G126" s="901"/>
      <c r="H126" s="901"/>
      <c r="I126" s="901"/>
      <c r="J126" s="901"/>
      <c r="K126" s="901"/>
      <c r="L126" s="901"/>
      <c r="R126" s="104"/>
    </row>
    <row r="127" spans="1:18" x14ac:dyDescent="0.25">
      <c r="A127" s="96">
        <f>ROW()</f>
        <v>127</v>
      </c>
      <c r="B127" s="42" t="s">
        <v>843</v>
      </c>
      <c r="C127" s="523"/>
      <c r="D127" s="38"/>
      <c r="E127" s="37"/>
      <c r="F127" s="901"/>
      <c r="G127" s="901"/>
      <c r="H127" s="901"/>
      <c r="I127" s="901"/>
      <c r="J127" s="901"/>
      <c r="K127" s="901"/>
      <c r="L127" s="901"/>
      <c r="R127" s="104"/>
    </row>
    <row r="128" spans="1:18" x14ac:dyDescent="0.25">
      <c r="A128" s="96">
        <f>ROW()</f>
        <v>128</v>
      </c>
      <c r="C128" s="523"/>
      <c r="D128" s="38"/>
      <c r="E128" s="37"/>
      <c r="F128" s="901"/>
      <c r="G128" s="901"/>
      <c r="H128" s="901"/>
      <c r="I128" s="901"/>
      <c r="J128" s="901"/>
      <c r="K128" s="901"/>
      <c r="L128" s="901"/>
      <c r="R128" s="104"/>
    </row>
    <row r="129" spans="1:18" x14ac:dyDescent="0.25">
      <c r="A129" s="96">
        <f>ROW()</f>
        <v>129</v>
      </c>
      <c r="B129" s="903" t="s">
        <v>844</v>
      </c>
      <c r="C129" s="523"/>
      <c r="D129" s="38"/>
      <c r="E129" s="37"/>
      <c r="F129" s="901">
        <v>175232</v>
      </c>
      <c r="G129" s="901">
        <v>175232</v>
      </c>
      <c r="H129" s="901">
        <v>175232</v>
      </c>
      <c r="I129" s="901">
        <v>175232</v>
      </c>
      <c r="J129" s="901">
        <v>175232</v>
      </c>
      <c r="K129" s="901">
        <v>175232</v>
      </c>
      <c r="L129" s="901">
        <v>175232</v>
      </c>
      <c r="R129" s="104" t="s">
        <v>845</v>
      </c>
    </row>
    <row r="130" spans="1:18" x14ac:dyDescent="0.25">
      <c r="A130" s="96">
        <f>ROW()</f>
        <v>130</v>
      </c>
      <c r="B130" s="903" t="s">
        <v>846</v>
      </c>
      <c r="C130" s="523"/>
      <c r="D130" s="38"/>
      <c r="E130" s="37"/>
      <c r="F130" s="901">
        <v>447756.28</v>
      </c>
      <c r="G130" s="901">
        <v>447756.28</v>
      </c>
      <c r="H130" s="901">
        <v>447756.28</v>
      </c>
      <c r="I130" s="901">
        <v>447756.28</v>
      </c>
      <c r="J130" s="901">
        <v>447756.28</v>
      </c>
      <c r="K130" s="901">
        <v>447756.28</v>
      </c>
      <c r="L130" s="901">
        <v>447756.28</v>
      </c>
      <c r="R130" s="104" t="s">
        <v>845</v>
      </c>
    </row>
    <row r="131" spans="1:18" x14ac:dyDescent="0.25">
      <c r="A131" s="96">
        <f>ROW()</f>
        <v>131</v>
      </c>
      <c r="B131" s="903" t="s">
        <v>847</v>
      </c>
      <c r="C131" s="523"/>
      <c r="D131" s="38"/>
      <c r="E131" s="37"/>
      <c r="F131" s="901">
        <v>110151</v>
      </c>
      <c r="G131" s="901">
        <v>110151</v>
      </c>
      <c r="H131" s="901">
        <v>110151</v>
      </c>
      <c r="I131" s="901">
        <v>110151</v>
      </c>
      <c r="J131" s="901">
        <v>110151</v>
      </c>
      <c r="K131" s="901">
        <v>110151</v>
      </c>
      <c r="L131" s="901">
        <v>110151</v>
      </c>
      <c r="R131" s="104" t="s">
        <v>845</v>
      </c>
    </row>
    <row r="132" spans="1:18" x14ac:dyDescent="0.25">
      <c r="A132" s="96">
        <f>ROW()</f>
        <v>132</v>
      </c>
      <c r="B132" s="903" t="s">
        <v>848</v>
      </c>
      <c r="C132" s="523"/>
      <c r="D132" s="38"/>
      <c r="E132" s="37"/>
      <c r="F132" s="901">
        <v>76358.16</v>
      </c>
      <c r="G132" s="901">
        <v>76358.16</v>
      </c>
      <c r="H132" s="901">
        <v>76358.16</v>
      </c>
      <c r="I132" s="901">
        <v>76358.16</v>
      </c>
      <c r="J132" s="901">
        <v>76358.16</v>
      </c>
      <c r="K132" s="901">
        <v>76358.16</v>
      </c>
      <c r="L132" s="901">
        <v>76358.16</v>
      </c>
      <c r="R132" s="104" t="s">
        <v>845</v>
      </c>
    </row>
    <row r="133" spans="1:18" x14ac:dyDescent="0.25">
      <c r="A133" s="96">
        <f>ROW()</f>
        <v>133</v>
      </c>
      <c r="B133" s="903" t="s">
        <v>849</v>
      </c>
      <c r="C133" s="523"/>
      <c r="D133" s="38"/>
      <c r="E133" s="37"/>
      <c r="F133" s="901">
        <v>524647</v>
      </c>
      <c r="G133" s="901">
        <v>524647</v>
      </c>
      <c r="H133" s="901">
        <v>524647</v>
      </c>
      <c r="I133" s="901">
        <v>524647</v>
      </c>
      <c r="J133" s="901">
        <v>524647</v>
      </c>
      <c r="K133" s="901">
        <v>524647</v>
      </c>
      <c r="L133" s="901">
        <v>524647</v>
      </c>
      <c r="R133" s="104" t="s">
        <v>845</v>
      </c>
    </row>
    <row r="134" spans="1:18" x14ac:dyDescent="0.25">
      <c r="A134" s="96">
        <f>ROW()</f>
        <v>134</v>
      </c>
      <c r="B134" s="903" t="s">
        <v>850</v>
      </c>
      <c r="C134" s="523"/>
      <c r="D134" s="38"/>
      <c r="E134" s="37"/>
      <c r="F134" s="901">
        <f>680000+2463534.31</f>
        <v>3143534.31</v>
      </c>
      <c r="G134" s="901">
        <f t="shared" ref="G134:L134" si="16">680000+2463534.31</f>
        <v>3143534.31</v>
      </c>
      <c r="H134" s="901">
        <f t="shared" si="16"/>
        <v>3143534.31</v>
      </c>
      <c r="I134" s="901">
        <f t="shared" si="16"/>
        <v>3143534.31</v>
      </c>
      <c r="J134" s="901">
        <f t="shared" si="16"/>
        <v>3143534.31</v>
      </c>
      <c r="K134" s="901">
        <f t="shared" si="16"/>
        <v>3143534.31</v>
      </c>
      <c r="L134" s="901">
        <f t="shared" si="16"/>
        <v>3143534.31</v>
      </c>
      <c r="R134" s="104" t="s">
        <v>845</v>
      </c>
    </row>
    <row r="135" spans="1:18" x14ac:dyDescent="0.25">
      <c r="A135" s="96">
        <f>ROW()</f>
        <v>135</v>
      </c>
      <c r="B135" s="903" t="s">
        <v>851</v>
      </c>
      <c r="C135" s="523"/>
      <c r="D135" s="38"/>
      <c r="E135" s="37"/>
      <c r="F135" s="901">
        <f>SUM(F129:F134)*0.185</f>
        <v>828370.56874999998</v>
      </c>
      <c r="G135" s="901">
        <f t="shared" ref="G135:L135" si="17">SUM(G129:G134)*0.185</f>
        <v>828370.56874999998</v>
      </c>
      <c r="H135" s="901">
        <f t="shared" si="17"/>
        <v>828370.56874999998</v>
      </c>
      <c r="I135" s="901">
        <f t="shared" si="17"/>
        <v>828370.56874999998</v>
      </c>
      <c r="J135" s="901">
        <f t="shared" si="17"/>
        <v>828370.56874999998</v>
      </c>
      <c r="K135" s="901">
        <f t="shared" si="17"/>
        <v>828370.56874999998</v>
      </c>
      <c r="L135" s="901">
        <f t="shared" si="17"/>
        <v>828370.56874999998</v>
      </c>
      <c r="R135" s="104" t="s">
        <v>845</v>
      </c>
    </row>
    <row r="136" spans="1:18" x14ac:dyDescent="0.25">
      <c r="A136" s="96">
        <f>ROW()</f>
        <v>136</v>
      </c>
      <c r="B136" s="903" t="s">
        <v>852</v>
      </c>
      <c r="C136" s="523"/>
      <c r="D136" s="38"/>
      <c r="E136" s="37"/>
      <c r="F136" s="901">
        <v>750000</v>
      </c>
      <c r="G136" s="901">
        <v>750000</v>
      </c>
      <c r="H136" s="901">
        <v>750000</v>
      </c>
      <c r="I136" s="901">
        <v>750000</v>
      </c>
      <c r="J136" s="901">
        <v>750000</v>
      </c>
      <c r="K136" s="901">
        <v>750000</v>
      </c>
      <c r="L136" s="901">
        <v>750000</v>
      </c>
      <c r="R136" s="104"/>
    </row>
    <row r="137" spans="1:18" x14ac:dyDescent="0.25">
      <c r="A137" s="96">
        <f>ROW()</f>
        <v>137</v>
      </c>
      <c r="B137" s="903" t="s">
        <v>853</v>
      </c>
      <c r="C137" s="523"/>
      <c r="D137" s="38"/>
      <c r="E137" s="37"/>
      <c r="F137" s="901"/>
      <c r="G137" s="901"/>
      <c r="H137" s="901"/>
      <c r="I137" s="901"/>
      <c r="J137" s="901"/>
      <c r="K137" s="901"/>
      <c r="L137" s="901"/>
      <c r="R137" s="104"/>
    </row>
    <row r="138" spans="1:18" x14ac:dyDescent="0.25">
      <c r="A138" s="96">
        <f>ROW()</f>
        <v>138</v>
      </c>
      <c r="B138" s="903" t="s">
        <v>853</v>
      </c>
      <c r="C138" s="523"/>
      <c r="D138" s="38"/>
      <c r="E138" s="37"/>
      <c r="F138" s="901"/>
      <c r="G138" s="901"/>
      <c r="H138" s="901"/>
      <c r="I138" s="901"/>
      <c r="J138" s="901"/>
      <c r="K138" s="901"/>
      <c r="L138" s="901"/>
      <c r="R138" s="104"/>
    </row>
    <row r="139" spans="1:18" x14ac:dyDescent="0.25">
      <c r="A139" s="96">
        <f>ROW()</f>
        <v>139</v>
      </c>
      <c r="B139" s="903" t="s">
        <v>853</v>
      </c>
      <c r="C139" s="523"/>
      <c r="D139" s="38"/>
      <c r="E139" s="37"/>
      <c r="F139" s="901"/>
      <c r="G139" s="901"/>
      <c r="H139" s="901"/>
      <c r="I139" s="901"/>
      <c r="J139" s="901"/>
      <c r="K139" s="901"/>
      <c r="L139" s="901"/>
      <c r="R139" s="104"/>
    </row>
    <row r="140" spans="1:18" x14ac:dyDescent="0.25">
      <c r="A140" s="96">
        <f>ROW()</f>
        <v>140</v>
      </c>
      <c r="B140" s="104"/>
      <c r="C140" s="523"/>
      <c r="D140" s="38"/>
      <c r="E140" s="37"/>
      <c r="F140" s="901"/>
      <c r="G140" s="901"/>
      <c r="H140" s="901"/>
      <c r="I140" s="901"/>
      <c r="J140" s="901"/>
      <c r="K140" s="901"/>
      <c r="L140" s="901"/>
      <c r="R140" s="104"/>
    </row>
    <row r="141" spans="1:18" x14ac:dyDescent="0.25">
      <c r="A141" s="96">
        <f>ROW()</f>
        <v>141</v>
      </c>
      <c r="B141" s="104" t="s">
        <v>854</v>
      </c>
      <c r="C141" s="523"/>
      <c r="D141" s="38"/>
      <c r="E141" s="37"/>
      <c r="F141" s="901">
        <v>10000</v>
      </c>
      <c r="G141" s="901">
        <v>10000</v>
      </c>
      <c r="H141" s="901">
        <v>10000</v>
      </c>
      <c r="I141" s="901">
        <v>10000</v>
      </c>
      <c r="J141" s="901">
        <v>10000</v>
      </c>
      <c r="K141" s="901">
        <v>10000</v>
      </c>
      <c r="L141" s="901">
        <v>10000</v>
      </c>
      <c r="R141" s="104"/>
    </row>
    <row r="142" spans="1:18" x14ac:dyDescent="0.25">
      <c r="A142" s="96">
        <f>ROW()</f>
        <v>142</v>
      </c>
      <c r="B142" s="38"/>
      <c r="C142" s="126"/>
      <c r="D142" s="125"/>
      <c r="E142" s="37"/>
      <c r="F142" s="904"/>
      <c r="G142" s="904"/>
      <c r="H142" s="904"/>
      <c r="I142" s="904"/>
      <c r="J142" s="904"/>
      <c r="K142" s="904"/>
      <c r="L142" s="904"/>
      <c r="R142" s="104"/>
    </row>
    <row r="143" spans="1:18" ht="15.75" thickBot="1" x14ac:dyDescent="0.3">
      <c r="A143" s="96">
        <f>ROW()</f>
        <v>143</v>
      </c>
      <c r="B143" s="898" t="s">
        <v>855</v>
      </c>
      <c r="C143" s="899"/>
      <c r="D143" s="898"/>
      <c r="E143" s="898"/>
      <c r="F143" s="900">
        <f t="shared" ref="F143:L143" si="18">SUM(F109:F141)</f>
        <v>6111049.3187499996</v>
      </c>
      <c r="G143" s="900">
        <f t="shared" si="18"/>
        <v>6111049.3187499996</v>
      </c>
      <c r="H143" s="900">
        <f t="shared" si="18"/>
        <v>6111049.3187499996</v>
      </c>
      <c r="I143" s="900">
        <f t="shared" si="18"/>
        <v>6111049.3187499996</v>
      </c>
      <c r="J143" s="900">
        <f t="shared" si="18"/>
        <v>6111049.3187499996</v>
      </c>
      <c r="K143" s="900">
        <f t="shared" si="18"/>
        <v>6111049.3187499996</v>
      </c>
      <c r="L143" s="900">
        <f t="shared" si="18"/>
        <v>6111049.3187499996</v>
      </c>
      <c r="R143" s="104"/>
    </row>
    <row r="144" spans="1:18" ht="15.75" thickTop="1" x14ac:dyDescent="0.25">
      <c r="A144" s="96">
        <f>ROW()</f>
        <v>144</v>
      </c>
      <c r="B144" s="38"/>
      <c r="C144" s="523"/>
      <c r="D144" s="38"/>
      <c r="E144" s="37"/>
      <c r="F144" s="126"/>
      <c r="G144" s="126"/>
      <c r="H144" s="126"/>
      <c r="I144" s="112"/>
      <c r="J144" s="112"/>
      <c r="K144" s="112"/>
      <c r="L144" s="112"/>
      <c r="N144" s="133"/>
      <c r="O144" s="133"/>
      <c r="P144" s="133"/>
      <c r="Q144" s="133"/>
      <c r="R144" s="104"/>
    </row>
    <row r="145" spans="1:18" x14ac:dyDescent="0.25">
      <c r="A145" s="96">
        <f>ROW()</f>
        <v>145</v>
      </c>
      <c r="B145" s="38" t="s">
        <v>856</v>
      </c>
      <c r="C145" s="523" t="s">
        <v>857</v>
      </c>
      <c r="D145" s="38"/>
      <c r="E145" s="38"/>
      <c r="F145" s="126"/>
      <c r="G145" s="126"/>
      <c r="H145" s="126"/>
      <c r="I145" s="112"/>
      <c r="J145" s="112"/>
      <c r="K145" s="112"/>
      <c r="L145" s="112"/>
      <c r="N145" s="133"/>
      <c r="O145" s="133"/>
      <c r="P145" s="133"/>
      <c r="Q145" s="133"/>
      <c r="R145" s="104"/>
    </row>
    <row r="146" spans="1:18" x14ac:dyDescent="0.25">
      <c r="A146" s="96">
        <f>ROW()</f>
        <v>146</v>
      </c>
      <c r="B146" s="42" t="s">
        <v>858</v>
      </c>
      <c r="C146" s="656" t="s">
        <v>392</v>
      </c>
      <c r="D146" s="905">
        <v>0</v>
      </c>
      <c r="E146" s="906"/>
      <c r="F146" s="112"/>
      <c r="G146" s="112">
        <f>IF($C$146="yes",' Enrol &amp; Rev'!G36*Staff!$C$70*$D$146,(' Enrol &amp; Rev'!G36*' Enrol &amp; Rev'!G92)*Staff!$C$70*$D$146)</f>
        <v>0</v>
      </c>
      <c r="H146" s="112">
        <f>IF($C$146="yes",' Enrol &amp; Rev'!H36*Staff!$C$70*$D$146,(' Enrol &amp; Rev'!H36*' Enrol &amp; Rev'!H92)*Staff!$C$70*$D$146)</f>
        <v>0</v>
      </c>
      <c r="I146" s="112">
        <f>IF($C$146="yes",' Enrol &amp; Rev'!I36*Staff!$C$70*$D$146,(' Enrol &amp; Rev'!I36*' Enrol &amp; Rev'!I92)*Staff!$C$70*$D$146)</f>
        <v>0</v>
      </c>
      <c r="J146" s="112">
        <f>IF($C$146="yes",' Enrol &amp; Rev'!J36*Staff!$C$70*$D$146,(' Enrol &amp; Rev'!J36*' Enrol &amp; Rev'!J92)*Staff!$C$70*$D$146)</f>
        <v>0</v>
      </c>
      <c r="K146" s="112">
        <f>IF($C$146="yes",' Enrol &amp; Rev'!K36*Staff!$C$70*$D$146,(' Enrol &amp; Rev'!K36*' Enrol &amp; Rev'!K92)*Staff!$C$70*$D$146)</f>
        <v>0</v>
      </c>
      <c r="L146" s="112">
        <f>IF($C$146="yes",' Enrol &amp; Rev'!L36*Staff!$C$70*$D$146,(' Enrol &amp; Rev'!L36*' Enrol &amp; Rev'!L92)*Staff!$C$70*$D$146)</f>
        <v>0</v>
      </c>
      <c r="R146" s="104"/>
    </row>
    <row r="147" spans="1:18" x14ac:dyDescent="0.25">
      <c r="A147" s="96">
        <f>ROW()</f>
        <v>147</v>
      </c>
      <c r="B147" s="503" t="s">
        <v>859</v>
      </c>
      <c r="C147" s="656" t="s">
        <v>392</v>
      </c>
      <c r="D147" s="907">
        <v>0</v>
      </c>
      <c r="E147" s="908"/>
      <c r="F147" s="909"/>
      <c r="G147" s="112">
        <f>IF($C$147="yes",' Enrol &amp; Rev'!G36*Staff!$C$70*$D$147,(' Enrol &amp; Rev'!G36*' Enrol &amp; Rev'!G92)*Staff!$C$70*$D$147)</f>
        <v>0</v>
      </c>
      <c r="H147" s="112">
        <f>IF($C$147="yes",' Enrol &amp; Rev'!H36*Staff!$C$70*$D$147,(' Enrol &amp; Rev'!H36*' Enrol &amp; Rev'!H92)*Staff!$C$70*$D$147)</f>
        <v>0</v>
      </c>
      <c r="I147" s="112">
        <f>IF($C$147="yes",' Enrol &amp; Rev'!I36*Staff!$C$70*$D$147,(' Enrol &amp; Rev'!I36*' Enrol &amp; Rev'!I92)*Staff!$C$70*$D$147)</f>
        <v>0</v>
      </c>
      <c r="J147" s="112">
        <f>IF($C$147="yes",' Enrol &amp; Rev'!J36*Staff!$C$70*$D$147,(' Enrol &amp; Rev'!J36*' Enrol &amp; Rev'!J92)*Staff!$C$70*$D$147)</f>
        <v>0</v>
      </c>
      <c r="K147" s="112">
        <f>IF($C$147="yes",' Enrol &amp; Rev'!K36*Staff!$C$70*$D$147,(' Enrol &amp; Rev'!K36*' Enrol &amp; Rev'!K92)*Staff!$C$70*$D$147)</f>
        <v>0</v>
      </c>
      <c r="L147" s="112">
        <f>IF($C$147="yes",' Enrol &amp; Rev'!L36*Staff!$C$70*$D$147,(' Enrol &amp; Rev'!L36*' Enrol &amp; Rev'!L92)*Staff!$C$70*$D$147)</f>
        <v>0</v>
      </c>
      <c r="M147" s="503"/>
      <c r="N147" s="503"/>
      <c r="O147" s="503"/>
      <c r="P147" s="503"/>
      <c r="Q147" s="503"/>
      <c r="R147" s="104"/>
    </row>
    <row r="148" spans="1:18" x14ac:dyDescent="0.25">
      <c r="A148" s="96">
        <f>ROW()</f>
        <v>148</v>
      </c>
      <c r="B148" s="42" t="s">
        <v>860</v>
      </c>
      <c r="C148" s="656" t="s">
        <v>392</v>
      </c>
      <c r="D148" s="905">
        <v>0</v>
      </c>
      <c r="E148" s="906"/>
      <c r="F148" s="112"/>
      <c r="G148" s="112">
        <f>IF($C$148="yes",$D$148*' Enrol &amp; Rev'!G36*Staff!$C$70,0)</f>
        <v>0</v>
      </c>
      <c r="H148" s="112">
        <f>IF($C$148="yes",$D$148*' Enrol &amp; Rev'!H36*Staff!$C$70,0)</f>
        <v>0</v>
      </c>
      <c r="I148" s="112">
        <f>IF($C$148="yes",$D$148*' Enrol &amp; Rev'!I36*Staff!$C$70,0)</f>
        <v>0</v>
      </c>
      <c r="J148" s="112">
        <f>IF($C$148="yes",$D$148*' Enrol &amp; Rev'!J36*Staff!$C$70,0)</f>
        <v>0</v>
      </c>
      <c r="K148" s="112">
        <f>IF($C$148="yes",$D$148*' Enrol &amp; Rev'!K36*Staff!$C$70,0)</f>
        <v>0</v>
      </c>
      <c r="L148" s="112">
        <f>IF($C$148="yes",$D$148*' Enrol &amp; Rev'!L36*Staff!$C$70,0)</f>
        <v>0</v>
      </c>
      <c r="R148" s="104"/>
    </row>
    <row r="149" spans="1:18" x14ac:dyDescent="0.25">
      <c r="A149" s="96">
        <f>ROW()</f>
        <v>149</v>
      </c>
      <c r="B149" s="42" t="s">
        <v>861</v>
      </c>
      <c r="C149" s="656" t="s">
        <v>392</v>
      </c>
      <c r="D149" s="905">
        <v>0</v>
      </c>
      <c r="E149" s="906"/>
      <c r="F149" s="112"/>
      <c r="G149" s="112">
        <f>IF($C$149="yes",$D$149*Staff!$C$71*' Enrol &amp; Rev'!G36,0)</f>
        <v>0</v>
      </c>
      <c r="H149" s="112">
        <f>IF($C$149="yes",$D$149*Staff!$C$71*' Enrol &amp; Rev'!H36,0)</f>
        <v>0</v>
      </c>
      <c r="I149" s="112">
        <f>IF($C$149="yes",$D$149*Staff!$C$71*' Enrol &amp; Rev'!I36,0)</f>
        <v>0</v>
      </c>
      <c r="J149" s="112">
        <f>IF($C$149="yes",$D$149*Staff!$C$71*' Enrol &amp; Rev'!J36,0)</f>
        <v>0</v>
      </c>
      <c r="K149" s="112">
        <f>IF($C$149="yes",$D$149*Staff!$C$71*' Enrol &amp; Rev'!K36,0)</f>
        <v>0</v>
      </c>
      <c r="L149" s="112">
        <f>IF($C$149="yes",$D$149*Staff!$C$71*' Enrol &amp; Rev'!L36,0)</f>
        <v>0</v>
      </c>
      <c r="R149" s="104"/>
    </row>
    <row r="150" spans="1:18" x14ac:dyDescent="0.25">
      <c r="A150" s="96">
        <f>ROW()</f>
        <v>150</v>
      </c>
      <c r="C150" s="126"/>
      <c r="F150" s="904"/>
      <c r="G150" s="904"/>
      <c r="H150" s="904"/>
      <c r="I150" s="904"/>
      <c r="J150" s="904"/>
      <c r="K150" s="904"/>
      <c r="L150" s="904"/>
      <c r="R150" s="104"/>
    </row>
    <row r="151" spans="1:18" ht="15.75" thickBot="1" x14ac:dyDescent="0.3">
      <c r="A151" s="96">
        <f>ROW()</f>
        <v>151</v>
      </c>
      <c r="B151" s="898" t="s">
        <v>862</v>
      </c>
      <c r="C151" s="899"/>
      <c r="D151" s="898"/>
      <c r="E151" s="898"/>
      <c r="F151" s="900">
        <f t="shared" ref="F151:L151" si="19">SUM(F146:F149)</f>
        <v>0</v>
      </c>
      <c r="G151" s="900">
        <f t="shared" si="19"/>
        <v>0</v>
      </c>
      <c r="H151" s="900">
        <f t="shared" si="19"/>
        <v>0</v>
      </c>
      <c r="I151" s="900">
        <f t="shared" si="19"/>
        <v>0</v>
      </c>
      <c r="J151" s="900">
        <f t="shared" si="19"/>
        <v>0</v>
      </c>
      <c r="K151" s="900">
        <f t="shared" si="19"/>
        <v>0</v>
      </c>
      <c r="L151" s="900">
        <f t="shared" si="19"/>
        <v>0</v>
      </c>
      <c r="R151" s="104"/>
    </row>
    <row r="152" spans="1:18" ht="15.75" thickTop="1" x14ac:dyDescent="0.25">
      <c r="A152" s="96">
        <f>ROW()</f>
        <v>152</v>
      </c>
      <c r="C152" s="126"/>
      <c r="F152" s="112"/>
      <c r="G152" s="112"/>
      <c r="H152" s="112"/>
      <c r="I152" s="112"/>
      <c r="J152" s="112"/>
      <c r="K152" s="112"/>
      <c r="L152" s="112"/>
      <c r="R152" s="104"/>
    </row>
    <row r="153" spans="1:18" x14ac:dyDescent="0.25">
      <c r="A153" s="96">
        <f>ROW()</f>
        <v>153</v>
      </c>
      <c r="B153" s="38" t="s">
        <v>863</v>
      </c>
      <c r="C153" s="523"/>
      <c r="D153" s="38"/>
      <c r="E153" s="38"/>
      <c r="G153" s="544"/>
      <c r="H153" s="544"/>
      <c r="I153" s="544"/>
      <c r="J153" s="544"/>
      <c r="K153" s="544"/>
      <c r="L153" s="544"/>
      <c r="R153" s="104"/>
    </row>
    <row r="154" spans="1:18" x14ac:dyDescent="0.25">
      <c r="A154" s="96">
        <f>ROW()</f>
        <v>154</v>
      </c>
      <c r="B154" s="266" t="s">
        <v>864</v>
      </c>
      <c r="C154" s="910"/>
      <c r="D154" s="266"/>
      <c r="E154" s="266"/>
      <c r="F154" s="911">
        <v>0</v>
      </c>
      <c r="G154" s="911"/>
      <c r="H154" s="911">
        <v>0</v>
      </c>
      <c r="I154" s="911">
        <v>0</v>
      </c>
      <c r="J154" s="911">
        <v>0</v>
      </c>
      <c r="K154" s="911">
        <v>0</v>
      </c>
      <c r="L154" s="911">
        <v>0</v>
      </c>
      <c r="R154" s="104"/>
    </row>
    <row r="155" spans="1:18" x14ac:dyDescent="0.25">
      <c r="A155" s="96">
        <f>ROW()</f>
        <v>155</v>
      </c>
      <c r="B155" s="266"/>
      <c r="C155" s="910"/>
      <c r="D155" s="266"/>
      <c r="E155" s="266"/>
      <c r="F155" s="266"/>
      <c r="G155" s="544"/>
      <c r="H155" s="544"/>
      <c r="I155" s="544"/>
      <c r="J155" s="544"/>
      <c r="K155" s="544"/>
      <c r="L155" s="544"/>
      <c r="R155" s="104"/>
    </row>
    <row r="156" spans="1:18" x14ac:dyDescent="0.25">
      <c r="A156" s="96">
        <f>ROW()</f>
        <v>156</v>
      </c>
      <c r="B156" s="38" t="s">
        <v>865</v>
      </c>
      <c r="C156" s="523"/>
      <c r="D156" s="38"/>
      <c r="E156" s="38"/>
      <c r="M156" s="84"/>
      <c r="N156" s="84"/>
      <c r="O156" s="84"/>
      <c r="P156" s="84"/>
      <c r="Q156" s="84"/>
      <c r="R156" s="104"/>
    </row>
    <row r="157" spans="1:18" x14ac:dyDescent="0.25">
      <c r="A157" s="96">
        <f>ROW()</f>
        <v>157</v>
      </c>
      <c r="B157" s="266" t="s">
        <v>866</v>
      </c>
      <c r="C157" s="523"/>
      <c r="D157" s="266"/>
      <c r="E157" s="266"/>
      <c r="G157" s="912"/>
      <c r="H157" s="912"/>
      <c r="I157" s="912"/>
      <c r="J157" s="912"/>
      <c r="K157" s="912"/>
      <c r="L157" s="912"/>
      <c r="M157" s="266"/>
      <c r="N157" s="266"/>
      <c r="O157" s="266"/>
      <c r="P157" s="266"/>
      <c r="Q157" s="574"/>
      <c r="R157" s="104"/>
    </row>
    <row r="158" spans="1:18" x14ac:dyDescent="0.25">
      <c r="A158" s="96">
        <f>ROW()</f>
        <v>158</v>
      </c>
      <c r="B158" s="266" t="s">
        <v>867</v>
      </c>
      <c r="C158" s="523"/>
      <c r="D158" s="266"/>
      <c r="E158" s="266"/>
      <c r="G158" s="591"/>
      <c r="H158" s="591"/>
      <c r="I158" s="591"/>
      <c r="J158" s="591"/>
      <c r="K158" s="591"/>
      <c r="L158" s="591"/>
      <c r="M158" s="266"/>
      <c r="N158" s="266"/>
      <c r="O158" s="266"/>
      <c r="P158" s="266"/>
      <c r="Q158" s="266"/>
      <c r="R158" s="104"/>
    </row>
    <row r="159" spans="1:18" x14ac:dyDescent="0.25">
      <c r="A159" s="96">
        <f>ROW()</f>
        <v>159</v>
      </c>
      <c r="B159" s="266" t="s">
        <v>868</v>
      </c>
      <c r="C159" s="913"/>
      <c r="D159" s="913"/>
      <c r="E159" s="266"/>
      <c r="G159" s="579"/>
      <c r="H159" s="579"/>
      <c r="I159" s="579"/>
      <c r="J159" s="579"/>
      <c r="K159" s="579"/>
      <c r="L159" s="579"/>
      <c r="M159" s="266"/>
      <c r="N159" s="266"/>
      <c r="O159" s="266"/>
      <c r="P159" s="266"/>
      <c r="Q159" s="266"/>
      <c r="R159" s="104"/>
    </row>
    <row r="160" spans="1:18" x14ac:dyDescent="0.25">
      <c r="A160" s="96">
        <f>ROW()</f>
        <v>160</v>
      </c>
      <c r="B160" s="266" t="s">
        <v>869</v>
      </c>
      <c r="C160" s="914"/>
      <c r="D160" s="915"/>
      <c r="E160" s="266"/>
      <c r="H160" s="915"/>
      <c r="I160" s="915"/>
      <c r="J160" s="266"/>
      <c r="K160" s="266"/>
      <c r="L160" s="266"/>
      <c r="M160" s="266"/>
      <c r="N160" s="266"/>
      <c r="O160" s="266"/>
      <c r="P160" s="266"/>
      <c r="Q160" s="266"/>
      <c r="R160" s="104"/>
    </row>
    <row r="161" spans="1:18" x14ac:dyDescent="0.25">
      <c r="A161" s="96">
        <f>ROW()</f>
        <v>161</v>
      </c>
      <c r="B161" s="266" t="s">
        <v>870</v>
      </c>
      <c r="C161" s="916"/>
      <c r="D161" s="915"/>
      <c r="E161" s="266"/>
      <c r="H161" s="915"/>
      <c r="I161" s="915"/>
      <c r="J161" s="266"/>
      <c r="K161" s="266"/>
      <c r="L161" s="266"/>
      <c r="M161" s="266"/>
      <c r="N161" s="266"/>
      <c r="O161" s="266"/>
      <c r="P161" s="266"/>
      <c r="Q161" s="266"/>
      <c r="R161" s="104"/>
    </row>
    <row r="162" spans="1:18" x14ac:dyDescent="0.25">
      <c r="A162" s="96">
        <f>ROW()</f>
        <v>162</v>
      </c>
      <c r="B162" s="266" t="s">
        <v>871</v>
      </c>
      <c r="C162" s="917"/>
      <c r="D162" s="266"/>
      <c r="E162" s="266"/>
      <c r="H162" s="266"/>
      <c r="I162" s="266"/>
      <c r="J162" s="266"/>
      <c r="K162" s="266"/>
      <c r="L162" s="266"/>
      <c r="M162" s="266"/>
      <c r="N162" s="266"/>
      <c r="O162" s="266"/>
      <c r="P162" s="266"/>
      <c r="Q162" s="266"/>
      <c r="R162" s="104"/>
    </row>
    <row r="163" spans="1:18" x14ac:dyDescent="0.25">
      <c r="A163" s="96">
        <f>ROW()</f>
        <v>163</v>
      </c>
      <c r="B163" s="266" t="s">
        <v>872</v>
      </c>
      <c r="C163" s="916"/>
      <c r="D163" s="266"/>
      <c r="E163" s="266"/>
      <c r="H163" s="266"/>
      <c r="I163" s="266"/>
      <c r="J163" s="266"/>
      <c r="K163" s="266"/>
      <c r="L163" s="266"/>
      <c r="M163" s="266"/>
      <c r="N163" s="266"/>
      <c r="O163" s="266"/>
      <c r="P163" s="266"/>
      <c r="Q163" s="266"/>
      <c r="R163" s="104"/>
    </row>
    <row r="164" spans="1:18" x14ac:dyDescent="0.25">
      <c r="A164" s="96">
        <f>ROW()</f>
        <v>164</v>
      </c>
      <c r="B164" s="266" t="s">
        <v>873</v>
      </c>
      <c r="C164" s="918"/>
      <c r="D164" s="266"/>
      <c r="E164" s="266"/>
      <c r="H164" s="266"/>
      <c r="I164" s="266"/>
      <c r="J164" s="266"/>
      <c r="K164" s="266"/>
      <c r="L164" s="266"/>
      <c r="M164" s="266"/>
      <c r="N164" s="266"/>
      <c r="O164" s="266"/>
      <c r="P164" s="266"/>
      <c r="Q164" s="266"/>
      <c r="R164" s="104"/>
    </row>
    <row r="165" spans="1:18" x14ac:dyDescent="0.25">
      <c r="A165" s="96">
        <f>ROW()</f>
        <v>165</v>
      </c>
      <c r="B165" s="266" t="s">
        <v>874</v>
      </c>
      <c r="C165" s="919"/>
      <c r="D165" s="266"/>
      <c r="E165" s="266"/>
      <c r="H165" s="266"/>
      <c r="I165" s="266"/>
      <c r="J165" s="266"/>
      <c r="K165" s="266"/>
      <c r="L165" s="266"/>
      <c r="M165" s="266"/>
      <c r="N165" s="266"/>
      <c r="O165" s="266"/>
      <c r="P165" s="266"/>
      <c r="Q165" s="266"/>
      <c r="R165" s="104"/>
    </row>
    <row r="166" spans="1:18" x14ac:dyDescent="0.25">
      <c r="A166" s="96">
        <f>ROW()</f>
        <v>166</v>
      </c>
      <c r="B166" s="266" t="s">
        <v>875</v>
      </c>
      <c r="C166" s="920"/>
      <c r="D166" s="266" t="s">
        <v>876</v>
      </c>
      <c r="E166" s="266"/>
      <c r="H166" s="266"/>
      <c r="I166" s="266"/>
      <c r="J166" s="266"/>
      <c r="K166" s="266"/>
      <c r="L166" s="266"/>
      <c r="M166" s="266"/>
      <c r="N166" s="266"/>
      <c r="O166" s="266"/>
      <c r="P166" s="266"/>
      <c r="Q166" s="266"/>
      <c r="R166" s="104"/>
    </row>
    <row r="167" spans="1:18" x14ac:dyDescent="0.25">
      <c r="A167" s="96">
        <f>ROW()</f>
        <v>167</v>
      </c>
      <c r="B167" s="266" t="s">
        <v>877</v>
      </c>
      <c r="C167" s="921"/>
      <c r="D167" s="266"/>
      <c r="E167" s="266"/>
      <c r="H167" s="266"/>
      <c r="I167" s="266"/>
      <c r="J167" s="266"/>
      <c r="K167" s="266"/>
      <c r="L167" s="266"/>
      <c r="M167" s="266"/>
      <c r="N167" s="266"/>
      <c r="O167" s="266"/>
      <c r="P167" s="266"/>
      <c r="Q167" s="266"/>
      <c r="R167" s="104"/>
    </row>
    <row r="168" spans="1:18" x14ac:dyDescent="0.25">
      <c r="A168" s="96">
        <f>ROW()</f>
        <v>168</v>
      </c>
      <c r="B168" s="266" t="s">
        <v>878</v>
      </c>
      <c r="C168" s="922">
        <v>10000</v>
      </c>
      <c r="D168" s="266" t="s">
        <v>879</v>
      </c>
      <c r="E168" s="266"/>
      <c r="H168" s="266"/>
      <c r="I168" s="266"/>
      <c r="J168" s="266"/>
      <c r="K168" s="266"/>
      <c r="L168" s="266"/>
      <c r="M168" s="266"/>
      <c r="N168" s="266"/>
      <c r="O168" s="266"/>
      <c r="P168" s="266"/>
      <c r="Q168" s="266"/>
      <c r="R168" s="104"/>
    </row>
    <row r="169" spans="1:18" x14ac:dyDescent="0.25">
      <c r="A169" s="96">
        <f>ROW()</f>
        <v>169</v>
      </c>
      <c r="B169" s="42" t="s">
        <v>880</v>
      </c>
      <c r="C169" s="923"/>
      <c r="F169" s="161">
        <f>' Enrol &amp; Rev'!F36</f>
        <v>2320.02</v>
      </c>
      <c r="G169" s="161">
        <f>' Enrol &amp; Rev'!G36</f>
        <v>2320.02</v>
      </c>
      <c r="H169" s="161">
        <f>' Enrol &amp; Rev'!H36</f>
        <v>2320.02</v>
      </c>
      <c r="I169" s="161">
        <f>' Enrol &amp; Rev'!I36</f>
        <v>2320.02</v>
      </c>
      <c r="J169" s="161">
        <f>' Enrol &amp; Rev'!J36</f>
        <v>2320.02</v>
      </c>
      <c r="K169" s="161">
        <f>' Enrol &amp; Rev'!K36</f>
        <v>2320.02</v>
      </c>
      <c r="L169" s="161">
        <f>' Enrol &amp; Rev'!L36</f>
        <v>2320.02</v>
      </c>
      <c r="R169" s="104"/>
    </row>
    <row r="170" spans="1:18" x14ac:dyDescent="0.25">
      <c r="A170" s="96">
        <f>ROW()</f>
        <v>170</v>
      </c>
      <c r="B170" s="42" t="s">
        <v>881</v>
      </c>
      <c r="C170" s="126"/>
      <c r="F170" s="41"/>
      <c r="G170" s="100">
        <f t="shared" ref="G170:L170" si="20">G$157*G169</f>
        <v>0</v>
      </c>
      <c r="H170" s="100">
        <f t="shared" si="20"/>
        <v>0</v>
      </c>
      <c r="I170" s="100">
        <f t="shared" si="20"/>
        <v>0</v>
      </c>
      <c r="J170" s="100">
        <f t="shared" si="20"/>
        <v>0</v>
      </c>
      <c r="K170" s="100">
        <f t="shared" si="20"/>
        <v>0</v>
      </c>
      <c r="L170" s="100">
        <f t="shared" si="20"/>
        <v>0</v>
      </c>
      <c r="R170" s="104"/>
    </row>
    <row r="171" spans="1:18" x14ac:dyDescent="0.25">
      <c r="A171" s="96">
        <f>ROW()</f>
        <v>171</v>
      </c>
      <c r="B171" s="29" t="s">
        <v>882</v>
      </c>
      <c r="C171" s="924"/>
      <c r="D171" s="29"/>
      <c r="E171" s="29"/>
      <c r="F171" s="925"/>
      <c r="G171" s="675">
        <f t="shared" ref="G171:L171" si="21">IF(G170=0,0,IF(G170&gt;(G$158*5),6,IF(G170&gt;(G$158*4),5,IF(G170&gt;(G$158*3),4,IF(G170&gt;(G$158*2),3,IF(G170&gt;G$158,2,IF(G170&gt;0,1)))))))</f>
        <v>0</v>
      </c>
      <c r="H171" s="675">
        <f t="shared" si="21"/>
        <v>0</v>
      </c>
      <c r="I171" s="675">
        <f t="shared" si="21"/>
        <v>0</v>
      </c>
      <c r="J171" s="675">
        <f t="shared" si="21"/>
        <v>0</v>
      </c>
      <c r="K171" s="675">
        <f t="shared" si="21"/>
        <v>0</v>
      </c>
      <c r="L171" s="675">
        <f t="shared" si="21"/>
        <v>0</v>
      </c>
      <c r="R171" s="104"/>
    </row>
    <row r="172" spans="1:18" x14ac:dyDescent="0.25">
      <c r="A172" s="96">
        <f>ROW()</f>
        <v>172</v>
      </c>
      <c r="B172" s="42" t="s">
        <v>883</v>
      </c>
      <c r="C172" s="126"/>
      <c r="F172" s="133"/>
      <c r="G172" s="112">
        <f>G171*G$159</f>
        <v>0</v>
      </c>
      <c r="H172" s="112">
        <f>(H171-G171)*H$159</f>
        <v>0</v>
      </c>
      <c r="I172" s="112">
        <f>(I171-H171)*I$159</f>
        <v>0</v>
      </c>
      <c r="J172" s="112">
        <f>(J171-I171)*J$159</f>
        <v>0</v>
      </c>
      <c r="K172" s="112">
        <f t="shared" ref="K172:L172" si="22">(K171-J171)*K$159</f>
        <v>0</v>
      </c>
      <c r="L172" s="112">
        <f t="shared" si="22"/>
        <v>0</v>
      </c>
      <c r="R172" s="104"/>
    </row>
    <row r="173" spans="1:18" x14ac:dyDescent="0.25">
      <c r="A173" s="96">
        <f>ROW()</f>
        <v>173</v>
      </c>
      <c r="B173" s="42" t="s">
        <v>884</v>
      </c>
      <c r="C173" s="126"/>
      <c r="F173" s="926"/>
      <c r="G173" s="126">
        <f t="shared" ref="G173:L173" si="23">G171*$C$165</f>
        <v>0</v>
      </c>
      <c r="H173" s="126">
        <f t="shared" si="23"/>
        <v>0</v>
      </c>
      <c r="I173" s="126">
        <f t="shared" si="23"/>
        <v>0</v>
      </c>
      <c r="J173" s="126">
        <f t="shared" si="23"/>
        <v>0</v>
      </c>
      <c r="K173" s="126">
        <f t="shared" si="23"/>
        <v>0</v>
      </c>
      <c r="L173" s="126">
        <f t="shared" si="23"/>
        <v>0</v>
      </c>
      <c r="R173" s="104"/>
    </row>
    <row r="174" spans="1:18" x14ac:dyDescent="0.25">
      <c r="A174" s="96">
        <f>ROW()</f>
        <v>174</v>
      </c>
      <c r="B174" s="42" t="s">
        <v>885</v>
      </c>
      <c r="C174" s="126"/>
      <c r="F174" s="926"/>
      <c r="G174" s="126">
        <f t="shared" ref="G174:L174" si="24">G171*$C$167</f>
        <v>0</v>
      </c>
      <c r="H174" s="126">
        <f t="shared" si="24"/>
        <v>0</v>
      </c>
      <c r="I174" s="126">
        <f t="shared" si="24"/>
        <v>0</v>
      </c>
      <c r="J174" s="126">
        <f t="shared" si="24"/>
        <v>0</v>
      </c>
      <c r="K174" s="126">
        <f t="shared" si="24"/>
        <v>0</v>
      </c>
      <c r="L174" s="126">
        <f t="shared" si="24"/>
        <v>0</v>
      </c>
      <c r="R174" s="104"/>
    </row>
    <row r="175" spans="1:18" x14ac:dyDescent="0.25">
      <c r="A175" s="96">
        <f>ROW()</f>
        <v>175</v>
      </c>
      <c r="B175" s="42" t="s">
        <v>878</v>
      </c>
      <c r="C175" s="126"/>
      <c r="F175" s="926"/>
      <c r="G175" s="126">
        <f t="shared" ref="G175:L175" si="25">G171*$C$168</f>
        <v>0</v>
      </c>
      <c r="H175" s="126">
        <f t="shared" si="25"/>
        <v>0</v>
      </c>
      <c r="I175" s="126">
        <f t="shared" si="25"/>
        <v>0</v>
      </c>
      <c r="J175" s="126">
        <f t="shared" si="25"/>
        <v>0</v>
      </c>
      <c r="K175" s="126">
        <f t="shared" si="25"/>
        <v>0</v>
      </c>
      <c r="L175" s="126">
        <f t="shared" si="25"/>
        <v>0</v>
      </c>
      <c r="R175" s="104"/>
    </row>
    <row r="176" spans="1:18" ht="15.75" thickBot="1" x14ac:dyDescent="0.3">
      <c r="A176" s="96">
        <f>ROW()</f>
        <v>176</v>
      </c>
      <c r="C176" s="126"/>
      <c r="F176" s="927"/>
      <c r="G176" s="927"/>
      <c r="H176" s="927"/>
      <c r="I176" s="927"/>
      <c r="J176" s="927"/>
      <c r="K176" s="927"/>
      <c r="L176" s="927"/>
      <c r="R176" s="104"/>
    </row>
    <row r="177" spans="1:18" ht="15.75" thickBot="1" x14ac:dyDescent="0.3">
      <c r="A177" s="96">
        <f>ROW()</f>
        <v>177</v>
      </c>
      <c r="B177" s="928" t="s">
        <v>886</v>
      </c>
      <c r="C177" s="929">
        <f>SUM(F177:L177)</f>
        <v>0</v>
      </c>
      <c r="D177" s="930"/>
      <c r="E177" s="930"/>
      <c r="F177" s="929">
        <f t="shared" ref="F177:L177" si="26">SUM(F172:F175)</f>
        <v>0</v>
      </c>
      <c r="G177" s="929">
        <f t="shared" si="26"/>
        <v>0</v>
      </c>
      <c r="H177" s="929">
        <f>SUM(H172:H175)</f>
        <v>0</v>
      </c>
      <c r="I177" s="929">
        <f t="shared" si="26"/>
        <v>0</v>
      </c>
      <c r="J177" s="929">
        <f t="shared" si="26"/>
        <v>0</v>
      </c>
      <c r="K177" s="929">
        <f t="shared" si="26"/>
        <v>0</v>
      </c>
      <c r="L177" s="929">
        <f t="shared" si="26"/>
        <v>0</v>
      </c>
      <c r="R177" s="104"/>
    </row>
    <row r="178" spans="1:18" x14ac:dyDescent="0.25">
      <c r="A178" s="96">
        <f>ROW()</f>
        <v>178</v>
      </c>
      <c r="B178" s="42" t="s">
        <v>887</v>
      </c>
      <c r="G178" s="461" t="e">
        <f>+G177/G158</f>
        <v>#DIV/0!</v>
      </c>
      <c r="H178" s="461" t="e">
        <f t="shared" ref="H178:L178" si="27">+H177/H158</f>
        <v>#DIV/0!</v>
      </c>
      <c r="I178" s="461" t="e">
        <f t="shared" si="27"/>
        <v>#DIV/0!</v>
      </c>
      <c r="J178" s="461" t="e">
        <f t="shared" si="27"/>
        <v>#DIV/0!</v>
      </c>
      <c r="K178" s="461" t="e">
        <f t="shared" si="27"/>
        <v>#DIV/0!</v>
      </c>
      <c r="L178" s="461" t="e">
        <f t="shared" si="27"/>
        <v>#DIV/0!</v>
      </c>
      <c r="R178" s="104"/>
    </row>
    <row r="179" spans="1:18" x14ac:dyDescent="0.25">
      <c r="A179" s="96">
        <f>ROW()</f>
        <v>179</v>
      </c>
      <c r="R179" s="104"/>
    </row>
    <row r="180" spans="1:18" ht="15.75" thickBot="1" x14ac:dyDescent="0.3">
      <c r="A180" s="96">
        <f>ROW()</f>
        <v>180</v>
      </c>
      <c r="B180" s="898" t="s">
        <v>888</v>
      </c>
      <c r="C180" s="899">
        <f>SUM(F180:L180)</f>
        <v>0</v>
      </c>
      <c r="D180" s="898"/>
      <c r="E180" s="898"/>
      <c r="F180" s="900">
        <f t="shared" ref="F180" si="28">F177-F154</f>
        <v>0</v>
      </c>
      <c r="G180" s="900">
        <f>G177-G154</f>
        <v>0</v>
      </c>
      <c r="H180" s="900">
        <f t="shared" ref="H180:L180" si="29">H177-H154</f>
        <v>0</v>
      </c>
      <c r="I180" s="900">
        <f t="shared" si="29"/>
        <v>0</v>
      </c>
      <c r="J180" s="900">
        <f t="shared" si="29"/>
        <v>0</v>
      </c>
      <c r="K180" s="900">
        <f t="shared" si="29"/>
        <v>0</v>
      </c>
      <c r="L180" s="900">
        <f t="shared" si="29"/>
        <v>0</v>
      </c>
      <c r="R180" s="931"/>
    </row>
    <row r="181" spans="1:18" ht="15.75" thickTop="1" x14ac:dyDescent="0.25">
      <c r="A181" s="96">
        <f>ROW()</f>
        <v>181</v>
      </c>
      <c r="C181" s="126"/>
    </row>
    <row r="182" spans="1:18" x14ac:dyDescent="0.25">
      <c r="A182" s="96">
        <f>ROW()</f>
        <v>182</v>
      </c>
      <c r="B182" s="28" t="s">
        <v>889</v>
      </c>
      <c r="C182" s="924"/>
      <c r="D182" s="346"/>
      <c r="E182" s="346"/>
      <c r="F182" s="595"/>
      <c r="G182" s="29"/>
      <c r="H182" s="28"/>
      <c r="I182" s="29"/>
      <c r="J182" s="29"/>
      <c r="K182" s="29"/>
      <c r="L182" s="29"/>
    </row>
    <row r="183" spans="1:18" x14ac:dyDescent="0.25">
      <c r="A183" s="96">
        <f>ROW()</f>
        <v>183</v>
      </c>
      <c r="B183" s="932" t="s">
        <v>890</v>
      </c>
      <c r="C183" s="923"/>
      <c r="D183" s="933"/>
      <c r="E183" s="934"/>
      <c r="F183" s="935">
        <v>0</v>
      </c>
      <c r="G183" s="935">
        <v>0</v>
      </c>
      <c r="H183" s="935">
        <v>0</v>
      </c>
      <c r="I183" s="935">
        <v>0</v>
      </c>
      <c r="J183" s="935">
        <v>0</v>
      </c>
      <c r="K183" s="935">
        <v>0</v>
      </c>
      <c r="L183" s="935">
        <v>0</v>
      </c>
    </row>
    <row r="184" spans="1:18" x14ac:dyDescent="0.25">
      <c r="A184" s="96">
        <f>ROW()</f>
        <v>184</v>
      </c>
      <c r="B184" s="302" t="s">
        <v>891</v>
      </c>
      <c r="C184" s="923"/>
      <c r="D184" s="936"/>
      <c r="E184" s="937"/>
      <c r="F184" s="896">
        <v>0</v>
      </c>
      <c r="G184" s="896">
        <v>0</v>
      </c>
      <c r="H184" s="896">
        <v>0</v>
      </c>
      <c r="I184" s="896">
        <v>0</v>
      </c>
      <c r="J184" s="896">
        <v>0</v>
      </c>
      <c r="K184" s="896">
        <v>0</v>
      </c>
      <c r="L184" s="896">
        <v>0</v>
      </c>
    </row>
    <row r="185" spans="1:18" x14ac:dyDescent="0.25">
      <c r="A185" s="96">
        <f>ROW()</f>
        <v>185</v>
      </c>
      <c r="B185" s="302" t="s">
        <v>892</v>
      </c>
      <c r="C185" s="923"/>
      <c r="D185" s="936"/>
      <c r="E185" s="937"/>
      <c r="F185" s="896">
        <v>0</v>
      </c>
      <c r="G185" s="896">
        <v>0</v>
      </c>
      <c r="H185" s="896">
        <v>0</v>
      </c>
      <c r="I185" s="896">
        <v>0</v>
      </c>
      <c r="J185" s="896">
        <v>0</v>
      </c>
      <c r="K185" s="896">
        <v>0</v>
      </c>
      <c r="L185" s="896">
        <v>0</v>
      </c>
    </row>
    <row r="186" spans="1:18" x14ac:dyDescent="0.25">
      <c r="A186" s="96">
        <f>ROW()</f>
        <v>186</v>
      </c>
      <c r="B186" s="302" t="s">
        <v>893</v>
      </c>
      <c r="C186" s="923"/>
      <c r="D186" s="936"/>
      <c r="E186" s="937"/>
      <c r="F186" s="896">
        <v>0</v>
      </c>
      <c r="G186" s="896">
        <v>0</v>
      </c>
      <c r="H186" s="896">
        <v>0</v>
      </c>
      <c r="I186" s="896">
        <v>0</v>
      </c>
      <c r="J186" s="896">
        <v>0</v>
      </c>
      <c r="K186" s="896">
        <v>0</v>
      </c>
      <c r="L186" s="896">
        <v>0</v>
      </c>
    </row>
    <row r="187" spans="1:18" x14ac:dyDescent="0.25">
      <c r="A187" s="96">
        <f>ROW()</f>
        <v>187</v>
      </c>
      <c r="B187" s="302" t="s">
        <v>894</v>
      </c>
      <c r="C187" s="923"/>
      <c r="D187" s="936"/>
      <c r="E187" s="937"/>
      <c r="F187" s="896">
        <v>0</v>
      </c>
      <c r="G187" s="896">
        <v>0</v>
      </c>
      <c r="H187" s="896">
        <v>0</v>
      </c>
      <c r="I187" s="896">
        <v>0</v>
      </c>
      <c r="J187" s="896">
        <v>0</v>
      </c>
      <c r="K187" s="896">
        <v>0</v>
      </c>
      <c r="L187" s="896">
        <v>0</v>
      </c>
    </row>
    <row r="188" spans="1:18" x14ac:dyDescent="0.25">
      <c r="A188" s="96">
        <f>ROW()</f>
        <v>188</v>
      </c>
      <c r="B188" s="302" t="s">
        <v>895</v>
      </c>
      <c r="C188" s="923"/>
      <c r="D188" s="936"/>
      <c r="E188" s="937"/>
      <c r="F188" s="896">
        <v>0</v>
      </c>
      <c r="G188" s="896">
        <v>0</v>
      </c>
      <c r="H188" s="896">
        <v>0</v>
      </c>
      <c r="I188" s="896">
        <v>0</v>
      </c>
      <c r="J188" s="896">
        <v>0</v>
      </c>
      <c r="K188" s="896">
        <v>0</v>
      </c>
      <c r="L188" s="896">
        <v>0</v>
      </c>
    </row>
    <row r="189" spans="1:18" x14ac:dyDescent="0.25">
      <c r="A189" s="96">
        <f>ROW()</f>
        <v>189</v>
      </c>
      <c r="B189" s="302" t="s">
        <v>896</v>
      </c>
      <c r="C189" s="923"/>
      <c r="D189" s="936"/>
      <c r="E189" s="937"/>
      <c r="F189" s="896">
        <v>0</v>
      </c>
      <c r="G189" s="896">
        <v>0</v>
      </c>
      <c r="H189" s="896">
        <v>0</v>
      </c>
      <c r="I189" s="896">
        <v>0</v>
      </c>
      <c r="J189" s="896">
        <v>0</v>
      </c>
      <c r="K189" s="896">
        <v>0</v>
      </c>
      <c r="L189" s="896">
        <v>0</v>
      </c>
    </row>
    <row r="190" spans="1:18" x14ac:dyDescent="0.25">
      <c r="A190" s="96">
        <f>ROW()</f>
        <v>190</v>
      </c>
      <c r="B190" s="302" t="s">
        <v>897</v>
      </c>
      <c r="C190" s="923"/>
      <c r="D190" s="936"/>
      <c r="E190" s="937"/>
      <c r="F190" s="896">
        <v>0</v>
      </c>
      <c r="G190" s="896">
        <v>0</v>
      </c>
      <c r="H190" s="896">
        <v>0</v>
      </c>
      <c r="I190" s="896">
        <v>0</v>
      </c>
      <c r="J190" s="896">
        <v>0</v>
      </c>
      <c r="K190" s="896">
        <v>0</v>
      </c>
      <c r="L190" s="896">
        <v>0</v>
      </c>
    </row>
    <row r="191" spans="1:18" x14ac:dyDescent="0.25">
      <c r="A191" s="96">
        <f>ROW()</f>
        <v>191</v>
      </c>
      <c r="B191" s="302" t="s">
        <v>898</v>
      </c>
      <c r="C191" s="923"/>
      <c r="D191" s="936"/>
      <c r="E191" s="937"/>
      <c r="F191" s="896">
        <v>0</v>
      </c>
      <c r="G191" s="896">
        <v>0</v>
      </c>
      <c r="H191" s="896">
        <v>0</v>
      </c>
      <c r="I191" s="896">
        <v>0</v>
      </c>
      <c r="J191" s="896">
        <v>0</v>
      </c>
      <c r="K191" s="896">
        <v>0</v>
      </c>
      <c r="L191" s="896">
        <v>0</v>
      </c>
    </row>
    <row r="192" spans="1:18" ht="15.75" thickBot="1" x14ac:dyDescent="0.3">
      <c r="A192" s="96">
        <f>ROW()</f>
        <v>192</v>
      </c>
      <c r="C192" s="126"/>
      <c r="D192" s="124"/>
    </row>
    <row r="193" spans="1:12" ht="15.75" thickBot="1" x14ac:dyDescent="0.3">
      <c r="A193" s="96">
        <f>ROW()</f>
        <v>193</v>
      </c>
      <c r="B193" s="699" t="s">
        <v>899</v>
      </c>
      <c r="C193" s="700">
        <f>SUM(F193:L193)</f>
        <v>0</v>
      </c>
      <c r="D193" s="732"/>
      <c r="E193" s="732"/>
      <c r="F193" s="700">
        <f t="shared" ref="F193:L193" si="30">SUM(F183:F191)</f>
        <v>0</v>
      </c>
      <c r="G193" s="700">
        <f t="shared" si="30"/>
        <v>0</v>
      </c>
      <c r="H193" s="700">
        <f t="shared" si="30"/>
        <v>0</v>
      </c>
      <c r="I193" s="700">
        <f t="shared" si="30"/>
        <v>0</v>
      </c>
      <c r="J193" s="700">
        <f t="shared" si="30"/>
        <v>0</v>
      </c>
      <c r="K193" s="700">
        <f t="shared" si="30"/>
        <v>0</v>
      </c>
      <c r="L193" s="700">
        <f t="shared" si="30"/>
        <v>0</v>
      </c>
    </row>
    <row r="194" spans="1:12" x14ac:dyDescent="0.25">
      <c r="A194" s="96">
        <f>ROW()</f>
        <v>194</v>
      </c>
    </row>
    <row r="195" spans="1:12" x14ac:dyDescent="0.25">
      <c r="A195" s="96">
        <f>ROW()</f>
        <v>195</v>
      </c>
      <c r="B195" s="42" t="s">
        <v>900</v>
      </c>
      <c r="C195" s="938">
        <v>0.03</v>
      </c>
      <c r="F195" s="939">
        <f t="shared" ref="F195:L195" si="31">SUM(F151,F143,F105,F180,F193)*((1+$C$195)^(F11-$F11)-1)</f>
        <v>0</v>
      </c>
      <c r="G195" s="112">
        <f>SUM(G151,G143,G105,G180,G193)*((1+$C$195)^(G11-$F11)-1)</f>
        <v>221161.47956250017</v>
      </c>
      <c r="H195" s="112">
        <f>SUM(H151,H143,H105,H180,H193)*((1+$C$195)^(H11-$F11)-1)</f>
        <v>448896.90351187461</v>
      </c>
      <c r="I195" s="939">
        <f t="shared" si="31"/>
        <v>683495.29017973121</v>
      </c>
      <c r="J195" s="939">
        <f t="shared" si="31"/>
        <v>925131.62844762253</v>
      </c>
      <c r="K195" s="939">
        <f>SUM(K151,K143,K105,K180,K193)*((1+$C$195)^(K11-$F11)-1)</f>
        <v>1174017.0568635508</v>
      </c>
      <c r="L195" s="939">
        <f t="shared" si="31"/>
        <v>1430369.0481319577</v>
      </c>
    </row>
    <row r="196" spans="1:12" ht="15.75" thickBot="1" x14ac:dyDescent="0.3">
      <c r="A196" s="96">
        <f>ROW()</f>
        <v>196</v>
      </c>
      <c r="C196" s="126"/>
      <c r="F196" s="940"/>
      <c r="G196" s="941"/>
      <c r="H196" s="941"/>
      <c r="I196" s="941"/>
      <c r="J196" s="941"/>
      <c r="K196" s="941"/>
      <c r="L196" s="941"/>
    </row>
    <row r="197" spans="1:12" ht="15.75" thickBot="1" x14ac:dyDescent="0.3">
      <c r="A197" s="96">
        <f>ROW()</f>
        <v>197</v>
      </c>
      <c r="B197" s="928" t="s">
        <v>901</v>
      </c>
      <c r="C197" s="147">
        <f>SUM(F197:L197)</f>
        <v>56482416.637947232</v>
      </c>
      <c r="D197" s="942"/>
      <c r="E197" s="942"/>
      <c r="F197" s="147">
        <f>SUM(F151,F143,F105,F195,F180,F193)</f>
        <v>7372049.3187499996</v>
      </c>
      <c r="G197" s="147">
        <f>SUM(G151,G143,G105,G195,G180,G193)</f>
        <v>7593210.7983125001</v>
      </c>
      <c r="H197" s="147">
        <f t="shared" ref="H197:L197" si="32">SUM(H151,H143,H105,H195,H180,H193)</f>
        <v>7819946.222261874</v>
      </c>
      <c r="I197" s="147">
        <f>SUM(I151,I143,I105,I195,I180,I193)</f>
        <v>8054544.608929731</v>
      </c>
      <c r="J197" s="147">
        <f t="shared" si="32"/>
        <v>8296180.9471976217</v>
      </c>
      <c r="K197" s="147">
        <f t="shared" si="32"/>
        <v>8545066.3756135497</v>
      </c>
      <c r="L197" s="147">
        <f t="shared" si="32"/>
        <v>8801418.3668819573</v>
      </c>
    </row>
    <row r="198" spans="1:12" ht="15.75" thickBot="1" x14ac:dyDescent="0.3">
      <c r="A198" s="96">
        <f>ROW()</f>
        <v>198</v>
      </c>
    </row>
    <row r="199" spans="1:12" ht="15.75" thickBot="1" x14ac:dyDescent="0.3">
      <c r="A199" s="96">
        <f>ROW()</f>
        <v>199</v>
      </c>
      <c r="B199" s="943" t="s">
        <v>902</v>
      </c>
      <c r="C199" s="944">
        <f>SUM(F199:L199)</f>
        <v>56482416.637947232</v>
      </c>
      <c r="D199" s="945"/>
      <c r="E199" s="945"/>
      <c r="F199" s="944">
        <f>+F197-F180</f>
        <v>7372049.3187499996</v>
      </c>
      <c r="G199" s="944">
        <f>+G197-G180</f>
        <v>7593210.7983125001</v>
      </c>
      <c r="H199" s="944">
        <f t="shared" ref="H199:L199" si="33">+H197-H180</f>
        <v>7819946.222261874</v>
      </c>
      <c r="I199" s="944">
        <f t="shared" si="33"/>
        <v>8054544.608929731</v>
      </c>
      <c r="J199" s="944">
        <f t="shared" si="33"/>
        <v>8296180.9471976217</v>
      </c>
      <c r="K199" s="944">
        <f t="shared" si="33"/>
        <v>8545066.3756135497</v>
      </c>
      <c r="L199" s="944">
        <f t="shared" si="33"/>
        <v>8801418.3668819573</v>
      </c>
    </row>
    <row r="200" spans="1:12" x14ac:dyDescent="0.25">
      <c r="B200" s="946" t="s">
        <v>903</v>
      </c>
    </row>
  </sheetData>
  <mergeCells count="1">
    <mergeCell ref="D10:E10"/>
  </mergeCells>
  <conditionalFormatting sqref="B43:E43">
    <cfRule type="expression" dxfId="22" priority="2" stopIfTrue="1">
      <formula>MOD(ROW(),2)=0</formula>
    </cfRule>
  </conditionalFormatting>
  <conditionalFormatting sqref="B15:L34">
    <cfRule type="expression" dxfId="21" priority="5" stopIfTrue="1">
      <formula>MOD(ROW(),2)=0</formula>
    </cfRule>
  </conditionalFormatting>
  <conditionalFormatting sqref="B36:L42">
    <cfRule type="expression" dxfId="20" priority="4" stopIfTrue="1">
      <formula>MOD(ROW(),2)=0</formula>
    </cfRule>
  </conditionalFormatting>
  <conditionalFormatting sqref="B46:L52">
    <cfRule type="expression" dxfId="19" priority="6" stopIfTrue="1">
      <formula>MOD(ROW(),2)=0</formula>
    </cfRule>
  </conditionalFormatting>
  <conditionalFormatting sqref="B55:L60">
    <cfRule type="expression" dxfId="18" priority="7" stopIfTrue="1">
      <formula>MOD(ROW(),2)=0</formula>
    </cfRule>
  </conditionalFormatting>
  <conditionalFormatting sqref="C13:E13">
    <cfRule type="expression" dxfId="17" priority="3" stopIfTrue="1">
      <formula>MOD(ROW(),2)=0</formula>
    </cfRule>
  </conditionalFormatting>
  <conditionalFormatting sqref="D1">
    <cfRule type="expression" dxfId="16" priority="1" stopIfTrue="1">
      <formula>MOD(ROW(),2)=0</formula>
    </cfRule>
  </conditionalFormatting>
  <hyperlinks>
    <hyperlink ref="D1" location="HypLink1" display="HypLink1" xr:uid="{1280F3BF-6527-417D-88D1-A9086F0CFFCD}"/>
  </hyperlinks>
  <pageMargins left="0.7" right="0.7" top="0.75" bottom="0.75" header="0.3" footer="0.3"/>
  <pageSetup paperSize="119" scale="73" fitToHeight="0"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A0367-9A4D-4D38-BD1E-AA8B6DF6A968}">
  <sheetPr>
    <pageSetUpPr fitToPage="1"/>
  </sheetPr>
  <dimension ref="A1:T69"/>
  <sheetViews>
    <sheetView workbookViewId="0">
      <selection sqref="A1:B1"/>
    </sheetView>
  </sheetViews>
  <sheetFormatPr defaultRowHeight="15" x14ac:dyDescent="0.25"/>
  <cols>
    <col min="1" max="1" width="7" style="42" customWidth="1"/>
    <col min="2" max="2" width="32.7109375" style="42" customWidth="1"/>
    <col min="3" max="3" width="15.5703125" style="42" customWidth="1"/>
    <col min="4" max="4" width="17.28515625" style="42" customWidth="1"/>
    <col min="5" max="5" width="2.28515625" style="42" customWidth="1"/>
    <col min="6" max="6" width="12.28515625" style="42" customWidth="1"/>
    <col min="7" max="12" width="13.7109375" style="42" customWidth="1"/>
    <col min="13" max="13" width="4.7109375" style="42" customWidth="1"/>
    <col min="14" max="14" width="76.5703125" style="78" customWidth="1"/>
    <col min="15" max="15" width="11.5703125" style="42" bestFit="1" customWidth="1"/>
    <col min="16" max="16" width="9.140625" style="42"/>
    <col min="17" max="17" width="17.28515625" style="42" customWidth="1"/>
    <col min="18" max="20" width="9.140625" style="42"/>
  </cols>
  <sheetData>
    <row r="1" spans="1:20" ht="15.75" x14ac:dyDescent="0.25">
      <c r="A1" s="1619" t="s">
        <v>904</v>
      </c>
      <c r="B1" s="1619"/>
      <c r="D1" s="242" t="s">
        <v>3</v>
      </c>
      <c r="F1" s="79"/>
      <c r="K1" s="947"/>
      <c r="O1" s="170" cm="1">
        <f t="array" aca="1" ref="O1" ca="1">CELL("protect",A1)</f>
        <v>1</v>
      </c>
      <c r="P1" s="170" cm="1">
        <f t="array" aca="1" ref="P1" ca="1">CELL("protect",B1)</f>
        <v>1</v>
      </c>
      <c r="Q1" s="170" cm="1">
        <f t="array" aca="1" ref="Q1" ca="1">CELL("protect",C1)</f>
        <v>1</v>
      </c>
      <c r="R1" s="170" cm="1">
        <f t="array" aca="1" ref="R1" ca="1">CELL("protect",D1)</f>
        <v>1</v>
      </c>
      <c r="S1" s="170" cm="1">
        <f t="array" aca="1" ref="S1" ca="1">CELL("protect",E1)</f>
        <v>1</v>
      </c>
      <c r="T1" s="170" cm="1">
        <f t="array" aca="1" ref="T1" ca="1">CELL("protect",F1)</f>
        <v>1</v>
      </c>
    </row>
    <row r="2" spans="1:20" ht="15.75" x14ac:dyDescent="0.25">
      <c r="A2" s="80" t="str">
        <f>SchoolName</f>
        <v>Odyssey Charter School</v>
      </c>
      <c r="B2" s="948"/>
      <c r="C2" s="38"/>
      <c r="F2" s="1620"/>
      <c r="G2" s="1620"/>
      <c r="H2" s="1620"/>
      <c r="I2" s="1620"/>
      <c r="J2" s="1620"/>
      <c r="K2" s="1620"/>
      <c r="L2" s="1620"/>
    </row>
    <row r="3" spans="1:20" x14ac:dyDescent="0.25">
      <c r="A3" s="82" t="s">
        <v>80</v>
      </c>
      <c r="F3" s="1620"/>
      <c r="G3" s="1620"/>
      <c r="H3" s="1620"/>
      <c r="I3" s="1620"/>
      <c r="J3" s="1620"/>
      <c r="K3" s="1620"/>
      <c r="L3" s="1620"/>
    </row>
    <row r="4" spans="1:20" x14ac:dyDescent="0.25">
      <c r="A4" s="248" t="s">
        <v>81</v>
      </c>
      <c r="F4" s="1620"/>
      <c r="G4" s="1620"/>
      <c r="H4" s="1620"/>
      <c r="I4" s="1620"/>
      <c r="J4" s="1620"/>
      <c r="K4" s="1620"/>
      <c r="L4" s="1620"/>
    </row>
    <row r="5" spans="1:20" x14ac:dyDescent="0.25">
      <c r="A5" s="83" t="str">
        <f ca="1">CELL("filename")</f>
        <v>\\lvraiders\users\sguthrie\Documents\Charter\Change of Sponsorship\[240126-SPCSA-Odyssey Charter School Application Workbook-Modified-Version (1).xlsx]Instructions</v>
      </c>
    </row>
    <row r="6" spans="1:20" x14ac:dyDescent="0.25">
      <c r="F6" s="348">
        <f>' Enrol &amp; Rev'!F9</f>
        <v>0</v>
      </c>
      <c r="G6" s="949">
        <f>' Enrol &amp; Rev'!G9</f>
        <v>1</v>
      </c>
      <c r="H6" s="949">
        <f>' Enrol &amp; Rev'!H9</f>
        <v>2</v>
      </c>
      <c r="I6" s="949">
        <f>' Enrol &amp; Rev'!I9</f>
        <v>3</v>
      </c>
      <c r="J6" s="949">
        <f>' Enrol &amp; Rev'!J9</f>
        <v>4</v>
      </c>
      <c r="K6" s="949">
        <f>' Enrol &amp; Rev'!K9</f>
        <v>5</v>
      </c>
      <c r="L6" s="950">
        <f>' Enrol &amp; Rev'!L9</f>
        <v>6</v>
      </c>
      <c r="M6" s="266"/>
      <c r="N6" s="326"/>
    </row>
    <row r="7" spans="1:20" x14ac:dyDescent="0.25">
      <c r="F7" s="951">
        <f>' Enrol &amp; Rev'!F10</f>
        <v>2024</v>
      </c>
      <c r="G7" s="951">
        <f>' Enrol &amp; Rev'!G10</f>
        <v>2025</v>
      </c>
      <c r="H7" s="952">
        <f>' Enrol &amp; Rev'!H10</f>
        <v>2026</v>
      </c>
      <c r="I7" s="952">
        <f>' Enrol &amp; Rev'!I10</f>
        <v>2027</v>
      </c>
      <c r="J7" s="952">
        <f>' Enrol &amp; Rev'!J10</f>
        <v>2028</v>
      </c>
      <c r="K7" s="952">
        <f>' Enrol &amp; Rev'!K10</f>
        <v>2029</v>
      </c>
      <c r="L7" s="953">
        <f>' Enrol &amp; Rev'!L10</f>
        <v>2030</v>
      </c>
      <c r="M7" s="266"/>
      <c r="N7" s="326"/>
    </row>
    <row r="8" spans="1:20" x14ac:dyDescent="0.25">
      <c r="F8" s="954">
        <f>' Enrol &amp; Rev'!F11</f>
        <v>2025</v>
      </c>
      <c r="G8" s="954">
        <f>' Enrol &amp; Rev'!G11</f>
        <v>2026</v>
      </c>
      <c r="H8" s="955">
        <f>' Enrol &amp; Rev'!H11</f>
        <v>2027</v>
      </c>
      <c r="I8" s="955">
        <f>' Enrol &amp; Rev'!I11</f>
        <v>2028</v>
      </c>
      <c r="J8" s="955">
        <f>' Enrol &amp; Rev'!J11</f>
        <v>2029</v>
      </c>
      <c r="K8" s="955">
        <f>' Enrol &amp; Rev'!K11</f>
        <v>2030</v>
      </c>
      <c r="L8" s="956">
        <f>' Enrol &amp; Rev'!L11</f>
        <v>2031</v>
      </c>
      <c r="M8" s="266"/>
      <c r="N8" s="326"/>
    </row>
    <row r="9" spans="1:20" x14ac:dyDescent="0.25">
      <c r="M9" s="266"/>
      <c r="N9" s="326"/>
    </row>
    <row r="10" spans="1:20" x14ac:dyDescent="0.25">
      <c r="A10" s="96">
        <f>ROW()</f>
        <v>10</v>
      </c>
      <c r="B10" s="957" t="s">
        <v>473</v>
      </c>
      <c r="G10" s="84"/>
      <c r="H10" s="84"/>
      <c r="I10" s="84"/>
      <c r="J10" s="84"/>
      <c r="K10" s="84"/>
      <c r="L10" s="84"/>
      <c r="M10" s="266"/>
      <c r="N10" s="50" t="s">
        <v>905</v>
      </c>
    </row>
    <row r="11" spans="1:20" x14ac:dyDescent="0.25">
      <c r="A11" s="96">
        <f>ROW()</f>
        <v>11</v>
      </c>
      <c r="B11" s="42" t="s">
        <v>906</v>
      </c>
      <c r="G11" s="157">
        <f>' Enrol &amp; Rev'!G36</f>
        <v>2320.02</v>
      </c>
      <c r="H11" s="157">
        <f>' Enrol &amp; Rev'!H36</f>
        <v>2320.02</v>
      </c>
      <c r="I11" s="157">
        <f>' Enrol &amp; Rev'!I36</f>
        <v>2320.02</v>
      </c>
      <c r="J11" s="157">
        <f>' Enrol &amp; Rev'!J36</f>
        <v>2320.02</v>
      </c>
      <c r="K11" s="157">
        <f>' Enrol &amp; Rev'!K36</f>
        <v>2320.02</v>
      </c>
      <c r="L11" s="157">
        <f>' Enrol &amp; Rev'!L36</f>
        <v>2320.02</v>
      </c>
      <c r="M11" s="958"/>
      <c r="N11" s="101"/>
    </row>
    <row r="12" spans="1:20" x14ac:dyDescent="0.25">
      <c r="A12" s="96">
        <f>ROW()</f>
        <v>12</v>
      </c>
      <c r="B12" s="42" t="s">
        <v>907</v>
      </c>
      <c r="G12" s="649">
        <f>+Staff!H23</f>
        <v>123</v>
      </c>
      <c r="H12" s="649">
        <f>+Staff!I23</f>
        <v>123</v>
      </c>
      <c r="I12" s="649">
        <f>+Staff!J23</f>
        <v>123</v>
      </c>
      <c r="J12" s="649">
        <f>+Staff!K23</f>
        <v>123</v>
      </c>
      <c r="K12" s="649">
        <f>+Staff!L23</f>
        <v>123</v>
      </c>
      <c r="L12" s="649">
        <f>+Staff!M23</f>
        <v>123</v>
      </c>
      <c r="M12" s="958"/>
      <c r="N12" s="101"/>
    </row>
    <row r="13" spans="1:20" x14ac:dyDescent="0.25">
      <c r="A13" s="96">
        <f>ROW()</f>
        <v>13</v>
      </c>
      <c r="F13" s="959" t="s">
        <v>908</v>
      </c>
      <c r="M13" s="266"/>
      <c r="N13" s="104"/>
    </row>
    <row r="14" spans="1:20" x14ac:dyDescent="0.25">
      <c r="A14" s="96">
        <f>ROW()</f>
        <v>14</v>
      </c>
      <c r="B14" s="42" t="s">
        <v>909</v>
      </c>
      <c r="C14" s="960"/>
      <c r="D14" s="78"/>
      <c r="E14" s="78"/>
      <c r="F14" s="961">
        <v>0</v>
      </c>
      <c r="G14" s="961">
        <v>0</v>
      </c>
      <c r="H14" s="961">
        <v>0</v>
      </c>
      <c r="I14" s="961">
        <v>0</v>
      </c>
      <c r="J14" s="961">
        <v>0</v>
      </c>
      <c r="K14" s="961">
        <v>0</v>
      </c>
      <c r="L14" s="961">
        <v>0</v>
      </c>
      <c r="M14" s="266"/>
      <c r="N14" s="104"/>
    </row>
    <row r="15" spans="1:20" x14ac:dyDescent="0.25">
      <c r="A15" s="96">
        <f>ROW()</f>
        <v>15</v>
      </c>
      <c r="B15" s="42" t="s">
        <v>910</v>
      </c>
      <c r="C15" s="960"/>
      <c r="D15" s="78"/>
      <c r="E15" s="78"/>
      <c r="F15" s="961">
        <v>0</v>
      </c>
      <c r="G15" s="961">
        <v>0</v>
      </c>
      <c r="H15" s="961">
        <v>0</v>
      </c>
      <c r="I15" s="961">
        <v>0</v>
      </c>
      <c r="J15" s="961">
        <v>0</v>
      </c>
      <c r="K15" s="961">
        <v>0</v>
      </c>
      <c r="L15" s="961">
        <v>0</v>
      </c>
      <c r="M15" s="266"/>
      <c r="N15" s="104"/>
    </row>
    <row r="16" spans="1:20" x14ac:dyDescent="0.25">
      <c r="A16" s="96">
        <f>ROW()</f>
        <v>16</v>
      </c>
      <c r="B16" s="42" t="s">
        <v>911</v>
      </c>
      <c r="C16" s="766">
        <v>0</v>
      </c>
      <c r="D16" s="78" t="s">
        <v>397</v>
      </c>
      <c r="E16" s="78"/>
      <c r="F16" s="962">
        <v>0</v>
      </c>
      <c r="G16" s="962">
        <f t="shared" ref="G16:L16" si="0">$C$16*G11</f>
        <v>0</v>
      </c>
      <c r="H16" s="962">
        <f t="shared" si="0"/>
        <v>0</v>
      </c>
      <c r="I16" s="962">
        <f t="shared" si="0"/>
        <v>0</v>
      </c>
      <c r="J16" s="962">
        <f t="shared" si="0"/>
        <v>0</v>
      </c>
      <c r="K16" s="962">
        <f t="shared" si="0"/>
        <v>0</v>
      </c>
      <c r="L16" s="962">
        <f t="shared" si="0"/>
        <v>0</v>
      </c>
      <c r="M16" s="266"/>
      <c r="N16" s="104"/>
    </row>
    <row r="17" spans="1:14" x14ac:dyDescent="0.25">
      <c r="A17" s="96">
        <f>ROW()</f>
        <v>17</v>
      </c>
      <c r="B17" s="42" t="s">
        <v>912</v>
      </c>
      <c r="C17" s="766">
        <v>0</v>
      </c>
      <c r="D17" s="78" t="s">
        <v>913</v>
      </c>
      <c r="E17" s="78"/>
      <c r="F17" s="962">
        <v>0</v>
      </c>
      <c r="G17" s="962">
        <f>IF($C$17*(Staff!H23-Staff!G23)&gt;0,$C$17*(Staff!H23-Staff!G23),0)</f>
        <v>0</v>
      </c>
      <c r="H17" s="962">
        <f>IF($C$17*(Staff!I23-Staff!H23)&gt;0,$C$17*(Staff!I23-Staff!H23),0)</f>
        <v>0</v>
      </c>
      <c r="I17" s="962">
        <f>IF($C$17*(Staff!J23-Staff!I23)&gt;0,$C$17*(Staff!J23-Staff!I23),0)</f>
        <v>0</v>
      </c>
      <c r="J17" s="962">
        <f>IF($C$17*(Staff!K23-Staff!J23)&gt;0,$C$17*(Staff!K23-Staff!J23),0)</f>
        <v>0</v>
      </c>
      <c r="K17" s="962">
        <f>IF($C$17*(Staff!L23-Staff!K23)&gt;0,$C$17*(Staff!L23-Staff!K23),0)</f>
        <v>0</v>
      </c>
      <c r="L17" s="962">
        <f>IF($C$17*(Staff!M23-Staff!L23)&gt;0,$C$17*(Staff!M23-Staff!L23),0)</f>
        <v>0</v>
      </c>
      <c r="M17" s="266"/>
      <c r="N17" s="104"/>
    </row>
    <row r="18" spans="1:14" x14ac:dyDescent="0.25">
      <c r="A18" s="96">
        <f>ROW()</f>
        <v>18</v>
      </c>
      <c r="B18" s="42" t="s">
        <v>914</v>
      </c>
      <c r="C18" s="766">
        <v>0</v>
      </c>
      <c r="D18" s="78"/>
      <c r="E18" s="78"/>
      <c r="F18" s="962">
        <v>0</v>
      </c>
      <c r="G18" s="962"/>
      <c r="H18" s="962"/>
      <c r="I18" s="962"/>
      <c r="J18" s="962"/>
      <c r="K18" s="962"/>
      <c r="L18" s="962"/>
      <c r="M18" s="266"/>
      <c r="N18" s="104"/>
    </row>
    <row r="19" spans="1:14" x14ac:dyDescent="0.25">
      <c r="A19" s="96">
        <f>ROW()</f>
        <v>19</v>
      </c>
      <c r="B19" s="42" t="s">
        <v>915</v>
      </c>
      <c r="C19" s="766">
        <v>0</v>
      </c>
      <c r="D19" s="78"/>
      <c r="E19" s="78"/>
      <c r="F19" s="962">
        <v>0</v>
      </c>
      <c r="G19" s="962">
        <f>$C$19*(G11)</f>
        <v>0</v>
      </c>
      <c r="H19" s="962">
        <f>IF($C$19*(H11-G11)&gt;0,$C$19*(H11-G11),0)</f>
        <v>0</v>
      </c>
      <c r="I19" s="962">
        <f t="shared" ref="I19:L19" si="1">IF($C$19*(I11-H11)&gt;0,$C$19*(I11-H11),0)</f>
        <v>0</v>
      </c>
      <c r="J19" s="962">
        <f t="shared" si="1"/>
        <v>0</v>
      </c>
      <c r="K19" s="962">
        <f t="shared" si="1"/>
        <v>0</v>
      </c>
      <c r="L19" s="962">
        <f t="shared" si="1"/>
        <v>0</v>
      </c>
      <c r="M19" s="266"/>
      <c r="N19" s="104"/>
    </row>
    <row r="20" spans="1:14" x14ac:dyDescent="0.25">
      <c r="A20" s="96">
        <f>ROW()</f>
        <v>20</v>
      </c>
      <c r="B20" s="42" t="s">
        <v>916</v>
      </c>
      <c r="C20" s="766">
        <v>0</v>
      </c>
      <c r="D20" s="78"/>
      <c r="E20" s="78"/>
      <c r="F20" s="962">
        <v>0</v>
      </c>
      <c r="G20" s="962"/>
      <c r="H20" s="962"/>
      <c r="I20" s="962"/>
      <c r="J20" s="962"/>
      <c r="K20" s="962"/>
      <c r="L20" s="962"/>
      <c r="M20" s="266"/>
      <c r="N20" s="104"/>
    </row>
    <row r="21" spans="1:14" x14ac:dyDescent="0.25">
      <c r="A21" s="96">
        <f>ROW()</f>
        <v>21</v>
      </c>
      <c r="B21" s="42" t="s">
        <v>917</v>
      </c>
      <c r="C21" s="766">
        <v>0</v>
      </c>
      <c r="D21" s="78"/>
      <c r="E21" s="78"/>
      <c r="F21" s="962">
        <v>0</v>
      </c>
      <c r="G21" s="962"/>
      <c r="H21" s="962"/>
      <c r="I21" s="962"/>
      <c r="J21" s="962"/>
      <c r="K21" s="962"/>
      <c r="L21" s="962"/>
      <c r="M21" s="266"/>
      <c r="N21" s="104"/>
    </row>
    <row r="22" spans="1:14" x14ac:dyDescent="0.25">
      <c r="A22" s="96">
        <f>ROW()</f>
        <v>22</v>
      </c>
      <c r="B22" s="42" t="s">
        <v>918</v>
      </c>
      <c r="C22" s="766">
        <v>0</v>
      </c>
      <c r="D22" s="78" t="s">
        <v>919</v>
      </c>
      <c r="E22" s="78"/>
      <c r="F22" s="962">
        <v>0</v>
      </c>
      <c r="G22" s="962">
        <f>IF($C$22*(Staff!H23-Staff!G23)&gt;0,$C$22*(Staff!H23-Staff!G23),0)</f>
        <v>0</v>
      </c>
      <c r="H22" s="962">
        <f>IF($C$22*(Staff!I23-Staff!H23)&gt;0,$C$22*(Staff!I23-Staff!H23),0)</f>
        <v>0</v>
      </c>
      <c r="I22" s="962">
        <f>IF($C$22*(Staff!J23-Staff!I23)&gt;0,$C$22*(Staff!J23-Staff!I23),0)</f>
        <v>0</v>
      </c>
      <c r="J22" s="962">
        <f>IF($C$22*(Staff!K23-Staff!J23)&gt;0,$C$22*(Staff!K23-Staff!J23),0)</f>
        <v>0</v>
      </c>
      <c r="K22" s="962">
        <f>IF($C$22*(Staff!L23-Staff!K23)&gt;0,$C$22*(Staff!L23-Staff!K23),0)</f>
        <v>0</v>
      </c>
      <c r="L22" s="962">
        <f>IF($C$22*(Staff!M23-Staff!L23)&gt;0,$C$22*(Staff!M23-Staff!L23),0)</f>
        <v>0</v>
      </c>
      <c r="M22" s="266"/>
      <c r="N22" s="104"/>
    </row>
    <row r="23" spans="1:14" x14ac:dyDescent="0.25">
      <c r="A23" s="96">
        <f>ROW()</f>
        <v>23</v>
      </c>
      <c r="B23" s="42" t="s">
        <v>920</v>
      </c>
      <c r="C23" s="766">
        <v>0</v>
      </c>
      <c r="D23" s="78" t="s">
        <v>795</v>
      </c>
      <c r="E23" s="78"/>
      <c r="F23" s="962">
        <v>0</v>
      </c>
      <c r="G23" s="962">
        <f>($C$23*12)*Staff!H23</f>
        <v>0</v>
      </c>
      <c r="H23" s="962">
        <f>($C$23*12)*Staff!I23</f>
        <v>0</v>
      </c>
      <c r="I23" s="962">
        <f>($C$23*12)*Staff!J23</f>
        <v>0</v>
      </c>
      <c r="J23" s="962">
        <f>($C$23*12)*Staff!K23</f>
        <v>0</v>
      </c>
      <c r="K23" s="962">
        <f>($C$23*12)*Staff!L23</f>
        <v>0</v>
      </c>
      <c r="L23" s="962">
        <f>($C$23*12)*Staff!M23</f>
        <v>0</v>
      </c>
      <c r="M23" s="266"/>
      <c r="N23" s="104"/>
    </row>
    <row r="24" spans="1:14" x14ac:dyDescent="0.25">
      <c r="A24" s="96">
        <f>ROW()</f>
        <v>24</v>
      </c>
      <c r="B24" s="42" t="s">
        <v>921</v>
      </c>
      <c r="C24" s="963"/>
      <c r="D24" s="78"/>
      <c r="E24" s="78"/>
      <c r="F24" s="962">
        <v>0</v>
      </c>
      <c r="G24" s="962"/>
      <c r="H24" s="962"/>
      <c r="I24" s="962"/>
      <c r="J24" s="962"/>
      <c r="K24" s="962"/>
      <c r="L24" s="962"/>
      <c r="M24" s="266"/>
      <c r="N24" s="104"/>
    </row>
    <row r="25" spans="1:14" x14ac:dyDescent="0.25">
      <c r="A25" s="96">
        <f>ROW()</f>
        <v>25</v>
      </c>
      <c r="B25" s="42" t="s">
        <v>922</v>
      </c>
      <c r="C25" s="963"/>
      <c r="D25" s="78"/>
      <c r="E25" s="78"/>
      <c r="F25" s="962">
        <v>0</v>
      </c>
      <c r="G25" s="962"/>
      <c r="H25" s="962"/>
      <c r="I25" s="962"/>
      <c r="J25" s="962"/>
      <c r="K25" s="962"/>
      <c r="L25" s="962"/>
      <c r="M25" s="266"/>
      <c r="N25" s="104"/>
    </row>
    <row r="26" spans="1:14" x14ac:dyDescent="0.25">
      <c r="A26" s="96">
        <f>ROW()</f>
        <v>26</v>
      </c>
      <c r="B26" s="42" t="s">
        <v>923</v>
      </c>
      <c r="C26" s="766">
        <v>0</v>
      </c>
      <c r="D26" s="78" t="s">
        <v>924</v>
      </c>
      <c r="E26" s="78"/>
      <c r="F26" s="962">
        <v>0</v>
      </c>
      <c r="G26" s="962">
        <f>' Enrol &amp; Rev'!G19*'FFE&amp;T'!C26</f>
        <v>0</v>
      </c>
      <c r="H26" s="962">
        <f>$C$26*(' Enrol &amp; Rev'!H19-' Enrol &amp; Rev'!G19)</f>
        <v>0</v>
      </c>
      <c r="I26" s="962">
        <f>$C$26*(' Enrol &amp; Rev'!I19-' Enrol &amp; Rev'!H19)</f>
        <v>0</v>
      </c>
      <c r="J26" s="962">
        <f>$C$26*(' Enrol &amp; Rev'!J19-' Enrol &amp; Rev'!I19)</f>
        <v>0</v>
      </c>
      <c r="K26" s="962">
        <f>$C$26*(' Enrol &amp; Rev'!K19-' Enrol &amp; Rev'!J19)</f>
        <v>0</v>
      </c>
      <c r="L26" s="962">
        <f>$C$26*(' Enrol &amp; Rev'!L19-' Enrol &amp; Rev'!K19)</f>
        <v>0</v>
      </c>
      <c r="M26" s="266"/>
      <c r="N26" s="104"/>
    </row>
    <row r="27" spans="1:14" x14ac:dyDescent="0.25">
      <c r="A27" s="96">
        <f>ROW()</f>
        <v>27</v>
      </c>
      <c r="B27" s="42" t="s">
        <v>925</v>
      </c>
      <c r="C27" s="766">
        <v>0</v>
      </c>
      <c r="D27" s="78" t="s">
        <v>397</v>
      </c>
      <c r="E27" s="78"/>
      <c r="F27" s="962">
        <v>0</v>
      </c>
      <c r="G27" s="962">
        <f t="shared" ref="G27:L31" si="2">$C27*G$11</f>
        <v>0</v>
      </c>
      <c r="H27" s="962">
        <f t="shared" si="2"/>
        <v>0</v>
      </c>
      <c r="I27" s="962">
        <f t="shared" si="2"/>
        <v>0</v>
      </c>
      <c r="J27" s="962">
        <f t="shared" si="2"/>
        <v>0</v>
      </c>
      <c r="K27" s="962">
        <f t="shared" si="2"/>
        <v>0</v>
      </c>
      <c r="L27" s="962">
        <f t="shared" si="2"/>
        <v>0</v>
      </c>
      <c r="M27" s="266"/>
      <c r="N27" s="104"/>
    </row>
    <row r="28" spans="1:14" x14ac:dyDescent="0.25">
      <c r="A28" s="96">
        <f>ROW()</f>
        <v>28</v>
      </c>
      <c r="B28" s="42" t="s">
        <v>926</v>
      </c>
      <c r="C28" s="766">
        <v>0</v>
      </c>
      <c r="D28" s="78" t="s">
        <v>397</v>
      </c>
      <c r="E28" s="78"/>
      <c r="F28" s="962">
        <v>0</v>
      </c>
      <c r="G28" s="962">
        <f t="shared" si="2"/>
        <v>0</v>
      </c>
      <c r="H28" s="962">
        <f t="shared" si="2"/>
        <v>0</v>
      </c>
      <c r="I28" s="962">
        <f t="shared" si="2"/>
        <v>0</v>
      </c>
      <c r="J28" s="962">
        <f t="shared" si="2"/>
        <v>0</v>
      </c>
      <c r="K28" s="962">
        <f t="shared" si="2"/>
        <v>0</v>
      </c>
      <c r="L28" s="962">
        <f t="shared" si="2"/>
        <v>0</v>
      </c>
      <c r="M28" s="266"/>
      <c r="N28" s="104"/>
    </row>
    <row r="29" spans="1:14" x14ac:dyDescent="0.25">
      <c r="A29" s="96">
        <f>ROW()</f>
        <v>29</v>
      </c>
      <c r="B29" s="42" t="s">
        <v>927</v>
      </c>
      <c r="C29" s="766">
        <v>0</v>
      </c>
      <c r="D29" s="78" t="s">
        <v>397</v>
      </c>
      <c r="E29" s="78"/>
      <c r="F29" s="962">
        <v>0</v>
      </c>
      <c r="G29" s="962">
        <f t="shared" si="2"/>
        <v>0</v>
      </c>
      <c r="H29" s="962">
        <f t="shared" si="2"/>
        <v>0</v>
      </c>
      <c r="I29" s="962">
        <f t="shared" si="2"/>
        <v>0</v>
      </c>
      <c r="J29" s="962">
        <f t="shared" si="2"/>
        <v>0</v>
      </c>
      <c r="K29" s="962">
        <f t="shared" si="2"/>
        <v>0</v>
      </c>
      <c r="L29" s="962">
        <f t="shared" si="2"/>
        <v>0</v>
      </c>
      <c r="M29" s="266"/>
      <c r="N29" s="104"/>
    </row>
    <row r="30" spans="1:14" x14ac:dyDescent="0.25">
      <c r="A30" s="96">
        <f>ROW()</f>
        <v>30</v>
      </c>
      <c r="B30" s="42" t="s">
        <v>928</v>
      </c>
      <c r="C30" s="766">
        <v>0</v>
      </c>
      <c r="D30" s="78" t="s">
        <v>397</v>
      </c>
      <c r="E30" s="78"/>
      <c r="F30" s="962">
        <v>0</v>
      </c>
      <c r="G30" s="962">
        <f t="shared" si="2"/>
        <v>0</v>
      </c>
      <c r="H30" s="962">
        <f t="shared" si="2"/>
        <v>0</v>
      </c>
      <c r="I30" s="962">
        <f t="shared" si="2"/>
        <v>0</v>
      </c>
      <c r="J30" s="962">
        <f t="shared" si="2"/>
        <v>0</v>
      </c>
      <c r="K30" s="962">
        <f t="shared" si="2"/>
        <v>0</v>
      </c>
      <c r="L30" s="962">
        <f t="shared" si="2"/>
        <v>0</v>
      </c>
      <c r="M30" s="266"/>
      <c r="N30" s="104"/>
    </row>
    <row r="31" spans="1:14" x14ac:dyDescent="0.25">
      <c r="A31" s="96">
        <f>ROW()</f>
        <v>31</v>
      </c>
      <c r="B31" s="42" t="s">
        <v>929</v>
      </c>
      <c r="C31" s="766">
        <v>0</v>
      </c>
      <c r="D31" s="78" t="s">
        <v>397</v>
      </c>
      <c r="E31" s="78"/>
      <c r="F31" s="962">
        <v>0</v>
      </c>
      <c r="G31" s="962">
        <f t="shared" si="2"/>
        <v>0</v>
      </c>
      <c r="H31" s="962">
        <f t="shared" si="2"/>
        <v>0</v>
      </c>
      <c r="I31" s="962">
        <f t="shared" si="2"/>
        <v>0</v>
      </c>
      <c r="J31" s="962">
        <f t="shared" si="2"/>
        <v>0</v>
      </c>
      <c r="K31" s="962">
        <f t="shared" si="2"/>
        <v>0</v>
      </c>
      <c r="L31" s="962">
        <f t="shared" si="2"/>
        <v>0</v>
      </c>
      <c r="M31" s="266"/>
      <c r="N31" s="104"/>
    </row>
    <row r="32" spans="1:14" x14ac:dyDescent="0.25">
      <c r="A32" s="96">
        <f>ROW()</f>
        <v>32</v>
      </c>
      <c r="B32" s="42" t="s">
        <v>930</v>
      </c>
      <c r="C32" s="766">
        <v>0</v>
      </c>
      <c r="D32" s="78" t="s">
        <v>795</v>
      </c>
      <c r="E32" s="78"/>
      <c r="F32" s="962">
        <v>0</v>
      </c>
      <c r="G32" s="962">
        <f t="shared" ref="G32:L32" si="3">$C$32*12</f>
        <v>0</v>
      </c>
      <c r="H32" s="962">
        <f t="shared" si="3"/>
        <v>0</v>
      </c>
      <c r="I32" s="962">
        <f t="shared" si="3"/>
        <v>0</v>
      </c>
      <c r="J32" s="962">
        <f t="shared" si="3"/>
        <v>0</v>
      </c>
      <c r="K32" s="962">
        <f t="shared" si="3"/>
        <v>0</v>
      </c>
      <c r="L32" s="962">
        <f t="shared" si="3"/>
        <v>0</v>
      </c>
      <c r="M32" s="266"/>
      <c r="N32" s="104"/>
    </row>
    <row r="33" spans="1:14" x14ac:dyDescent="0.25">
      <c r="A33" s="96">
        <f>ROW()</f>
        <v>33</v>
      </c>
      <c r="B33" s="42" t="s">
        <v>931</v>
      </c>
      <c r="C33" s="766">
        <v>0</v>
      </c>
      <c r="D33" s="78" t="s">
        <v>795</v>
      </c>
      <c r="E33" s="78"/>
      <c r="F33" s="962">
        <v>0</v>
      </c>
      <c r="G33" s="962">
        <f t="shared" ref="G33:L34" si="4">$C$33*12</f>
        <v>0</v>
      </c>
      <c r="H33" s="962">
        <f t="shared" si="4"/>
        <v>0</v>
      </c>
      <c r="I33" s="962">
        <f t="shared" si="4"/>
        <v>0</v>
      </c>
      <c r="J33" s="962">
        <f t="shared" si="4"/>
        <v>0</v>
      </c>
      <c r="K33" s="962">
        <f t="shared" si="4"/>
        <v>0</v>
      </c>
      <c r="L33" s="962">
        <f t="shared" si="4"/>
        <v>0</v>
      </c>
      <c r="M33" s="266"/>
      <c r="N33" s="104"/>
    </row>
    <row r="34" spans="1:14" x14ac:dyDescent="0.25">
      <c r="A34" s="96">
        <f>ROW()</f>
        <v>34</v>
      </c>
      <c r="B34" s="42" t="s">
        <v>932</v>
      </c>
      <c r="C34" s="766">
        <v>0</v>
      </c>
      <c r="D34" s="78"/>
      <c r="E34" s="78"/>
      <c r="F34" s="962">
        <v>0</v>
      </c>
      <c r="G34" s="962">
        <f t="shared" si="4"/>
        <v>0</v>
      </c>
      <c r="H34" s="962">
        <f t="shared" si="4"/>
        <v>0</v>
      </c>
      <c r="I34" s="962">
        <f t="shared" si="4"/>
        <v>0</v>
      </c>
      <c r="J34" s="962">
        <f t="shared" si="4"/>
        <v>0</v>
      </c>
      <c r="K34" s="962">
        <f t="shared" si="4"/>
        <v>0</v>
      </c>
      <c r="L34" s="962">
        <f t="shared" si="4"/>
        <v>0</v>
      </c>
      <c r="M34" s="266"/>
      <c r="N34" s="104"/>
    </row>
    <row r="35" spans="1:14" ht="45" x14ac:dyDescent="0.25">
      <c r="A35" s="96">
        <f>ROW()</f>
        <v>35</v>
      </c>
      <c r="B35" s="503" t="s">
        <v>933</v>
      </c>
      <c r="C35" s="963"/>
      <c r="D35" s="78"/>
      <c r="E35" s="78"/>
      <c r="F35" s="962">
        <v>125000</v>
      </c>
      <c r="G35" s="962">
        <v>125000</v>
      </c>
      <c r="H35" s="962">
        <v>125000</v>
      </c>
      <c r="I35" s="962">
        <v>125000</v>
      </c>
      <c r="J35" s="962">
        <v>125000</v>
      </c>
      <c r="K35" s="962">
        <v>125000</v>
      </c>
      <c r="L35" s="962">
        <v>125000</v>
      </c>
      <c r="M35" s="266"/>
      <c r="N35" s="295" t="s">
        <v>1412</v>
      </c>
    </row>
    <row r="36" spans="1:14" x14ac:dyDescent="0.25">
      <c r="A36" s="96">
        <f>ROW()</f>
        <v>36</v>
      </c>
      <c r="B36" s="42" t="s">
        <v>934</v>
      </c>
      <c r="C36" s="766">
        <v>0</v>
      </c>
      <c r="D36" s="78" t="s">
        <v>935</v>
      </c>
      <c r="E36" s="78"/>
      <c r="F36" s="962">
        <v>0</v>
      </c>
      <c r="G36" s="962">
        <v>0</v>
      </c>
      <c r="H36" s="962">
        <v>0</v>
      </c>
      <c r="I36" s="962">
        <v>0</v>
      </c>
      <c r="J36" s="962">
        <v>0</v>
      </c>
      <c r="K36" s="962">
        <v>0</v>
      </c>
      <c r="L36" s="962">
        <v>0</v>
      </c>
      <c r="M36" s="266"/>
      <c r="N36" s="104"/>
    </row>
    <row r="37" spans="1:14" x14ac:dyDescent="0.25">
      <c r="A37" s="96">
        <f>ROW()</f>
        <v>37</v>
      </c>
      <c r="B37" s="42" t="s">
        <v>936</v>
      </c>
      <c r="C37" s="766">
        <v>0</v>
      </c>
      <c r="D37" s="78" t="s">
        <v>795</v>
      </c>
      <c r="E37" s="78"/>
      <c r="F37" s="962">
        <v>0</v>
      </c>
      <c r="G37" s="962">
        <f t="shared" ref="G37:L37" si="5">$C$37*12</f>
        <v>0</v>
      </c>
      <c r="H37" s="962">
        <f t="shared" si="5"/>
        <v>0</v>
      </c>
      <c r="I37" s="962">
        <f t="shared" si="5"/>
        <v>0</v>
      </c>
      <c r="J37" s="962">
        <f t="shared" si="5"/>
        <v>0</v>
      </c>
      <c r="K37" s="962">
        <f t="shared" si="5"/>
        <v>0</v>
      </c>
      <c r="L37" s="962">
        <f t="shared" si="5"/>
        <v>0</v>
      </c>
      <c r="M37" s="266"/>
      <c r="N37" s="104"/>
    </row>
    <row r="38" spans="1:14" x14ac:dyDescent="0.25">
      <c r="A38" s="96">
        <f>ROW()</f>
        <v>38</v>
      </c>
      <c r="B38" s="42" t="s">
        <v>937</v>
      </c>
      <c r="C38" s="766">
        <v>0</v>
      </c>
      <c r="D38" s="78" t="s">
        <v>812</v>
      </c>
      <c r="E38" s="78"/>
      <c r="F38" s="962">
        <v>0</v>
      </c>
      <c r="G38" s="962">
        <f>IF($C$38*(Staff!H23-Staff!G23)&gt;0,$C$38*(Staff!H23-Staff!G23),0)</f>
        <v>0</v>
      </c>
      <c r="H38" s="962">
        <f>IF($C$38*(Staff!I23-Staff!H23)&gt;0,$C$38*(Staff!I23-Staff!H23),0)</f>
        <v>0</v>
      </c>
      <c r="I38" s="962">
        <f>IF($C$38*(Staff!J23-Staff!I23)&gt;0,$C$38*(Staff!J23-Staff!I23),0)</f>
        <v>0</v>
      </c>
      <c r="J38" s="962">
        <f>IF($C$38*(Staff!K23-Staff!J23)&gt;0,$C$38*(Staff!K23-Staff!J23),0)</f>
        <v>0</v>
      </c>
      <c r="K38" s="962">
        <f>IF($C$38*(Staff!L23-Staff!K23)&gt;0,$C$38*(Staff!L23-Staff!K23),0)</f>
        <v>0</v>
      </c>
      <c r="L38" s="962">
        <f>IF($C$38*(Staff!M23-Staff!L23)&gt;0,$C$38*(Staff!M23-Staff!L23),0)</f>
        <v>0</v>
      </c>
      <c r="M38" s="266"/>
      <c r="N38" s="104"/>
    </row>
    <row r="39" spans="1:14" x14ac:dyDescent="0.25">
      <c r="A39" s="96">
        <f>ROW()</f>
        <v>39</v>
      </c>
      <c r="B39" s="42" t="s">
        <v>938</v>
      </c>
      <c r="C39" s="766">
        <v>0</v>
      </c>
      <c r="D39" s="78" t="s">
        <v>764</v>
      </c>
      <c r="E39" s="78"/>
      <c r="F39" s="962">
        <v>0</v>
      </c>
      <c r="G39" s="962">
        <f>$C$39*Staff!H23</f>
        <v>0</v>
      </c>
      <c r="H39" s="962">
        <f>$C$39*Staff!I23</f>
        <v>0</v>
      </c>
      <c r="I39" s="962">
        <f>$C$39*Staff!J23</f>
        <v>0</v>
      </c>
      <c r="J39" s="962">
        <f>$C$39*Staff!K23</f>
        <v>0</v>
      </c>
      <c r="K39" s="962">
        <f>$C$39*Staff!L23</f>
        <v>0</v>
      </c>
      <c r="L39" s="962">
        <f>$C$39*Staff!M23</f>
        <v>0</v>
      </c>
      <c r="M39" s="266"/>
      <c r="N39" s="104"/>
    </row>
    <row r="40" spans="1:14" x14ac:dyDescent="0.25">
      <c r="A40" s="96">
        <f>ROW()</f>
        <v>40</v>
      </c>
      <c r="B40" s="42" t="s">
        <v>939</v>
      </c>
      <c r="C40" s="766">
        <v>0</v>
      </c>
      <c r="D40" s="78" t="s">
        <v>812</v>
      </c>
      <c r="E40" s="78"/>
      <c r="F40" s="962">
        <v>0</v>
      </c>
      <c r="G40" s="962">
        <f>IF($C$40*(Staff!H23-Staff!G23)&gt;0,$C$40*(Staff!H23-Staff!G23),0)</f>
        <v>0</v>
      </c>
      <c r="H40" s="962">
        <f>IF($C$40*(Staff!I23-Staff!H23)&gt;0,$C$40*(Staff!I23-Staff!H23),0)</f>
        <v>0</v>
      </c>
      <c r="I40" s="962">
        <f>IF($C$40*(Staff!J23-Staff!I23)&gt;0,$C$40*(Staff!J23-Staff!I23),0)</f>
        <v>0</v>
      </c>
      <c r="J40" s="962">
        <f>IF($C$40*(Staff!K23-Staff!J23)&gt;0,$C$40*(Staff!K23-Staff!J23),0)</f>
        <v>0</v>
      </c>
      <c r="K40" s="962">
        <f>IF($C$40*(Staff!L23-Staff!K23)&gt;0,$C$40*(Staff!L23-Staff!K23),0)</f>
        <v>0</v>
      </c>
      <c r="L40" s="962">
        <f>IF($C$40*(Staff!M23-Staff!L23)&gt;0,$C$40*(Staff!M23-Staff!L23),0)</f>
        <v>0</v>
      </c>
      <c r="M40" s="266"/>
      <c r="N40" s="104"/>
    </row>
    <row r="41" spans="1:14" x14ac:dyDescent="0.25">
      <c r="A41" s="96">
        <f>ROW()</f>
        <v>41</v>
      </c>
      <c r="B41" s="42" t="s">
        <v>940</v>
      </c>
      <c r="C41" s="766">
        <v>0</v>
      </c>
      <c r="D41" s="78" t="s">
        <v>797</v>
      </c>
      <c r="E41" s="78"/>
      <c r="F41" s="962">
        <v>0</v>
      </c>
      <c r="G41" s="962">
        <f>$C$41*' Enrol &amp; Rev'!G36</f>
        <v>0</v>
      </c>
      <c r="H41" s="962">
        <f>IF($C$41*(' Enrol &amp; Rev'!H36-' Enrol &amp; Rev'!G36)&gt;0,$C$41*(' Enrol &amp; Rev'!H36-' Enrol &amp; Rev'!G36),0)</f>
        <v>0</v>
      </c>
      <c r="I41" s="962">
        <f>IF($C$41*(' Enrol &amp; Rev'!I36-' Enrol &amp; Rev'!H36)&gt;0,$C$41*(' Enrol &amp; Rev'!I36-' Enrol &amp; Rev'!H36),0)</f>
        <v>0</v>
      </c>
      <c r="J41" s="962">
        <f>IF($C$41*(' Enrol &amp; Rev'!J36-' Enrol &amp; Rev'!I36)&gt;0,$C$41*(' Enrol &amp; Rev'!J36-' Enrol &amp; Rev'!I36),0)</f>
        <v>0</v>
      </c>
      <c r="K41" s="962">
        <f>IF($C$41*(' Enrol &amp; Rev'!K36-' Enrol &amp; Rev'!J36)&gt;0,$C$41*(' Enrol &amp; Rev'!K36-' Enrol &amp; Rev'!J36),0)</f>
        <v>0</v>
      </c>
      <c r="L41" s="962">
        <f>IF($C$41*(' Enrol &amp; Rev'!L36-' Enrol &amp; Rev'!K36)&gt;0,$C$41*(' Enrol &amp; Rev'!L36-' Enrol &amp; Rev'!K36),0)</f>
        <v>0</v>
      </c>
      <c r="M41" s="266"/>
      <c r="N41" s="104"/>
    </row>
    <row r="42" spans="1:14" ht="15.75" thickBot="1" x14ac:dyDescent="0.3">
      <c r="A42" s="96">
        <f>ROW()</f>
        <v>42</v>
      </c>
      <c r="G42" s="115"/>
      <c r="H42" s="115"/>
      <c r="I42" s="115"/>
      <c r="J42" s="115"/>
      <c r="K42" s="115"/>
      <c r="L42" s="115"/>
      <c r="M42" s="266"/>
      <c r="N42" s="104"/>
    </row>
    <row r="43" spans="1:14" ht="30" thickBot="1" x14ac:dyDescent="0.3">
      <c r="A43" s="96">
        <f>ROW()</f>
        <v>43</v>
      </c>
      <c r="B43" s="964" t="s">
        <v>941</v>
      </c>
      <c r="C43" s="965">
        <f>SUM(G43:L43)</f>
        <v>750000</v>
      </c>
      <c r="D43" s="930"/>
      <c r="E43" s="930"/>
      <c r="F43" s="966">
        <f t="shared" ref="F43:L43" si="6">SUM(F15:F42)</f>
        <v>125000</v>
      </c>
      <c r="G43" s="966">
        <f>SUM(G15:G42)</f>
        <v>125000</v>
      </c>
      <c r="H43" s="966">
        <f t="shared" si="6"/>
        <v>125000</v>
      </c>
      <c r="I43" s="966">
        <f t="shared" si="6"/>
        <v>125000</v>
      </c>
      <c r="J43" s="966">
        <f t="shared" si="6"/>
        <v>125000</v>
      </c>
      <c r="K43" s="966">
        <f t="shared" si="6"/>
        <v>125000</v>
      </c>
      <c r="L43" s="966">
        <f t="shared" si="6"/>
        <v>125000</v>
      </c>
      <c r="M43" s="266"/>
      <c r="N43" s="104"/>
    </row>
    <row r="44" spans="1:14" x14ac:dyDescent="0.25">
      <c r="A44" s="96">
        <f>ROW()</f>
        <v>44</v>
      </c>
      <c r="B44" s="37"/>
      <c r="N44" s="104"/>
    </row>
    <row r="45" spans="1:14" x14ac:dyDescent="0.25">
      <c r="A45" s="96">
        <f>ROW()</f>
        <v>45</v>
      </c>
      <c r="B45" s="141" t="s">
        <v>942</v>
      </c>
      <c r="N45" s="104"/>
    </row>
    <row r="46" spans="1:14" x14ac:dyDescent="0.25">
      <c r="A46" s="96">
        <f>ROW()</f>
        <v>46</v>
      </c>
      <c r="B46" s="104"/>
      <c r="C46" s="967"/>
      <c r="D46" s="967"/>
      <c r="E46" s="967"/>
      <c r="F46" s="967"/>
      <c r="G46" s="967"/>
      <c r="H46" s="967"/>
      <c r="I46" s="967"/>
      <c r="J46" s="967"/>
      <c r="K46" s="967"/>
      <c r="L46" s="967"/>
      <c r="N46" s="104"/>
    </row>
    <row r="47" spans="1:14" x14ac:dyDescent="0.25">
      <c r="A47" s="96">
        <f>ROW()</f>
        <v>47</v>
      </c>
      <c r="B47" s="104" t="s">
        <v>943</v>
      </c>
      <c r="C47" s="967"/>
      <c r="D47" s="967"/>
      <c r="E47" s="967"/>
      <c r="F47" s="967"/>
      <c r="G47" s="967"/>
      <c r="H47" s="967"/>
      <c r="I47" s="967"/>
      <c r="J47" s="967"/>
      <c r="K47" s="967"/>
      <c r="L47" s="967"/>
      <c r="N47" s="104"/>
    </row>
    <row r="48" spans="1:14" x14ac:dyDescent="0.25">
      <c r="A48" s="96">
        <f>ROW()</f>
        <v>48</v>
      </c>
      <c r="B48" s="104" t="s">
        <v>944</v>
      </c>
      <c r="C48" s="967"/>
      <c r="D48" s="967"/>
      <c r="E48" s="967"/>
      <c r="F48" s="967"/>
      <c r="G48" s="967"/>
      <c r="H48" s="967"/>
      <c r="I48" s="967"/>
      <c r="J48" s="967"/>
      <c r="K48" s="967"/>
      <c r="L48" s="967"/>
      <c r="N48" s="104"/>
    </row>
    <row r="49" spans="1:14" x14ac:dyDescent="0.25">
      <c r="A49" s="96">
        <f>ROW()</f>
        <v>49</v>
      </c>
      <c r="B49" s="104"/>
      <c r="C49" s="967"/>
      <c r="D49" s="967"/>
      <c r="E49" s="967"/>
      <c r="F49" s="967"/>
      <c r="G49" s="967"/>
      <c r="H49" s="967"/>
      <c r="I49" s="967"/>
      <c r="J49" s="967"/>
      <c r="K49" s="967"/>
      <c r="L49" s="967"/>
      <c r="N49" s="104"/>
    </row>
    <row r="50" spans="1:14" x14ac:dyDescent="0.25">
      <c r="A50" s="96">
        <f>ROW()</f>
        <v>50</v>
      </c>
      <c r="B50" s="104"/>
      <c r="C50" s="967"/>
      <c r="D50" s="967"/>
      <c r="E50" s="967"/>
      <c r="F50" s="967"/>
      <c r="G50" s="967"/>
      <c r="H50" s="967"/>
      <c r="I50" s="967"/>
      <c r="J50" s="967"/>
      <c r="K50" s="967"/>
      <c r="L50" s="967"/>
      <c r="N50" s="104"/>
    </row>
    <row r="51" spans="1:14" x14ac:dyDescent="0.25">
      <c r="A51" s="96">
        <f>ROW()</f>
        <v>51</v>
      </c>
      <c r="B51" s="104"/>
      <c r="C51" s="967"/>
      <c r="D51" s="967"/>
      <c r="E51" s="967"/>
      <c r="F51" s="967"/>
      <c r="G51" s="967"/>
      <c r="H51" s="967"/>
      <c r="I51" s="967"/>
      <c r="J51" s="967"/>
      <c r="K51" s="967"/>
      <c r="L51" s="967"/>
      <c r="N51" s="104"/>
    </row>
    <row r="52" spans="1:14" x14ac:dyDescent="0.25">
      <c r="A52" s="96">
        <f>ROW()</f>
        <v>52</v>
      </c>
      <c r="B52" s="104"/>
      <c r="C52" s="967"/>
      <c r="D52" s="967"/>
      <c r="E52" s="967"/>
      <c r="F52" s="967"/>
      <c r="G52" s="967"/>
      <c r="H52" s="967"/>
      <c r="I52" s="967"/>
      <c r="J52" s="967"/>
      <c r="K52" s="967"/>
      <c r="L52" s="967"/>
      <c r="N52" s="104"/>
    </row>
    <row r="53" spans="1:14" x14ac:dyDescent="0.25">
      <c r="A53" s="96">
        <f>ROW()</f>
        <v>53</v>
      </c>
      <c r="B53" s="104"/>
      <c r="C53" s="967"/>
      <c r="D53" s="967"/>
      <c r="E53" s="967"/>
      <c r="F53" s="967"/>
      <c r="G53" s="967"/>
      <c r="H53" s="967"/>
      <c r="I53" s="967"/>
      <c r="J53" s="967"/>
      <c r="K53" s="967"/>
      <c r="L53" s="967"/>
      <c r="N53" s="104"/>
    </row>
    <row r="54" spans="1:14" x14ac:dyDescent="0.25">
      <c r="A54" s="96">
        <f>ROW()</f>
        <v>54</v>
      </c>
      <c r="B54" s="104"/>
      <c r="C54" s="967"/>
      <c r="D54" s="967"/>
      <c r="E54" s="967"/>
      <c r="F54" s="967"/>
      <c r="G54" s="967"/>
      <c r="H54" s="967"/>
      <c r="I54" s="967"/>
      <c r="J54" s="967"/>
      <c r="K54" s="967"/>
      <c r="L54" s="967"/>
      <c r="N54" s="104"/>
    </row>
    <row r="55" spans="1:14" x14ac:dyDescent="0.25">
      <c r="A55" s="96">
        <f>ROW()</f>
        <v>55</v>
      </c>
      <c r="B55" s="104"/>
      <c r="C55" s="967"/>
      <c r="D55" s="967"/>
      <c r="E55" s="967"/>
      <c r="F55" s="967"/>
      <c r="G55" s="967"/>
      <c r="H55" s="967"/>
      <c r="I55" s="967"/>
      <c r="J55" s="967"/>
      <c r="K55" s="967"/>
      <c r="L55" s="967"/>
      <c r="N55" s="104"/>
    </row>
    <row r="56" spans="1:14" x14ac:dyDescent="0.25">
      <c r="A56" s="96">
        <f>ROW()</f>
        <v>56</v>
      </c>
      <c r="N56" s="104"/>
    </row>
    <row r="57" spans="1:14" x14ac:dyDescent="0.25">
      <c r="A57" s="96">
        <f>ROW()</f>
        <v>57</v>
      </c>
      <c r="N57" s="104"/>
    </row>
    <row r="58" spans="1:14" x14ac:dyDescent="0.25">
      <c r="A58" s="96">
        <f>ROW()</f>
        <v>58</v>
      </c>
      <c r="C58" s="38" t="s">
        <v>945</v>
      </c>
      <c r="F58" s="968">
        <f t="shared" ref="F58:L60" si="7">F6</f>
        <v>0</v>
      </c>
      <c r="G58" s="949">
        <f t="shared" si="7"/>
        <v>1</v>
      </c>
      <c r="H58" s="949">
        <f t="shared" si="7"/>
        <v>2</v>
      </c>
      <c r="I58" s="949">
        <f t="shared" si="7"/>
        <v>3</v>
      </c>
      <c r="J58" s="949">
        <f t="shared" si="7"/>
        <v>4</v>
      </c>
      <c r="K58" s="949">
        <f t="shared" si="7"/>
        <v>5</v>
      </c>
      <c r="L58" s="950">
        <f t="shared" si="7"/>
        <v>6</v>
      </c>
      <c r="N58" s="104"/>
    </row>
    <row r="59" spans="1:14" x14ac:dyDescent="0.25">
      <c r="A59" s="96">
        <f>ROW()</f>
        <v>59</v>
      </c>
      <c r="F59" s="951">
        <f t="shared" si="7"/>
        <v>2024</v>
      </c>
      <c r="G59" s="951">
        <f t="shared" si="7"/>
        <v>2025</v>
      </c>
      <c r="H59" s="952">
        <f t="shared" si="7"/>
        <v>2026</v>
      </c>
      <c r="I59" s="952">
        <f t="shared" si="7"/>
        <v>2027</v>
      </c>
      <c r="J59" s="952">
        <f t="shared" si="7"/>
        <v>2028</v>
      </c>
      <c r="K59" s="952">
        <f t="shared" si="7"/>
        <v>2029</v>
      </c>
      <c r="L59" s="953">
        <f t="shared" si="7"/>
        <v>2030</v>
      </c>
      <c r="N59" s="104"/>
    </row>
    <row r="60" spans="1:14" x14ac:dyDescent="0.25">
      <c r="A60" s="96">
        <f>ROW()</f>
        <v>60</v>
      </c>
      <c r="D60" s="42" t="s">
        <v>157</v>
      </c>
      <c r="F60" s="954">
        <f t="shared" si="7"/>
        <v>2025</v>
      </c>
      <c r="G60" s="954">
        <f t="shared" si="7"/>
        <v>2026</v>
      </c>
      <c r="H60" s="955">
        <f t="shared" si="7"/>
        <v>2027</v>
      </c>
      <c r="I60" s="955">
        <f t="shared" si="7"/>
        <v>2028</v>
      </c>
      <c r="J60" s="955">
        <f t="shared" si="7"/>
        <v>2029</v>
      </c>
      <c r="K60" s="955">
        <f t="shared" si="7"/>
        <v>2030</v>
      </c>
      <c r="L60" s="956">
        <f t="shared" si="7"/>
        <v>2031</v>
      </c>
      <c r="N60" s="104"/>
    </row>
    <row r="61" spans="1:14" x14ac:dyDescent="0.25">
      <c r="A61" s="96">
        <f>ROW()</f>
        <v>61</v>
      </c>
      <c r="C61" s="42" t="s">
        <v>946</v>
      </c>
      <c r="D61" s="969">
        <f>Levers!B9</f>
        <v>16240.140000000001</v>
      </c>
      <c r="E61" s="969"/>
      <c r="F61" s="969"/>
      <c r="G61" s="970">
        <f>Levers!D9</f>
        <v>2320.02</v>
      </c>
      <c r="H61" s="970">
        <f>Levers!E9</f>
        <v>2320.02</v>
      </c>
      <c r="I61" s="970">
        <f>Levers!F9</f>
        <v>2320.02</v>
      </c>
      <c r="J61" s="970">
        <f>Levers!G9</f>
        <v>2320.02</v>
      </c>
      <c r="K61" s="970">
        <f>Levers!H9</f>
        <v>2320.02</v>
      </c>
      <c r="L61" s="970">
        <f>Levers!I9</f>
        <v>2320.02</v>
      </c>
      <c r="N61" s="104"/>
    </row>
    <row r="62" spans="1:14" x14ac:dyDescent="0.25">
      <c r="A62" s="96">
        <f>ROW()</f>
        <v>62</v>
      </c>
      <c r="C62" s="42" t="s">
        <v>460</v>
      </c>
      <c r="D62" s="971">
        <f>Levers!B10</f>
        <v>191950073.14216259</v>
      </c>
      <c r="E62" s="971"/>
      <c r="F62" s="971">
        <f>Levers!C10</f>
        <v>26990956.81896</v>
      </c>
      <c r="G62" s="972">
        <f>Levers!D10</f>
        <v>27258416.3971496</v>
      </c>
      <c r="H62" s="972">
        <f>Levers!E10</f>
        <v>27535637.026217461</v>
      </c>
      <c r="I62" s="972">
        <f>Levers!F10</f>
        <v>27541181.438798815</v>
      </c>
      <c r="J62" s="972">
        <f>Levers!G10</f>
        <v>27541292.327050444</v>
      </c>
      <c r="K62" s="972">
        <f>Levers!H10</f>
        <v>27541294.544815477</v>
      </c>
      <c r="L62" s="972">
        <f>Levers!I10</f>
        <v>27541294.589170776</v>
      </c>
      <c r="N62" s="104"/>
    </row>
    <row r="63" spans="1:14" x14ac:dyDescent="0.25">
      <c r="A63" s="96">
        <f>ROW()</f>
        <v>63</v>
      </c>
      <c r="C63" s="42" t="s">
        <v>947</v>
      </c>
      <c r="D63" s="971">
        <f>Levers!B11</f>
        <v>11819.483892513401</v>
      </c>
      <c r="E63" s="971"/>
      <c r="F63" s="973"/>
      <c r="G63" s="974">
        <f>Levers!D11</f>
        <v>11749.216126218567</v>
      </c>
      <c r="H63" s="974">
        <f>Levers!E11</f>
        <v>11868.706746587297</v>
      </c>
      <c r="I63" s="974">
        <f>Levers!F11</f>
        <v>11871.09655899467</v>
      </c>
      <c r="J63" s="974">
        <f>Levers!G11</f>
        <v>11871.144355242819</v>
      </c>
      <c r="K63" s="974">
        <f>Levers!H11</f>
        <v>11871.145311167782</v>
      </c>
      <c r="L63" s="974">
        <f>Levers!I11</f>
        <v>11871.145330286281</v>
      </c>
      <c r="N63" s="104"/>
    </row>
    <row r="64" spans="1:14" x14ac:dyDescent="0.25">
      <c r="A64" s="96">
        <f>ROW()</f>
        <v>64</v>
      </c>
      <c r="C64" s="42" t="s">
        <v>948</v>
      </c>
      <c r="D64" s="971">
        <f>Levers!B24</f>
        <v>875000</v>
      </c>
      <c r="E64" s="971"/>
      <c r="F64" s="973">
        <f>Levers!C24</f>
        <v>125000</v>
      </c>
      <c r="G64" s="974">
        <f>Levers!D24</f>
        <v>125000</v>
      </c>
      <c r="H64" s="974">
        <f>Levers!E24</f>
        <v>125000</v>
      </c>
      <c r="I64" s="974">
        <f>Levers!F24</f>
        <v>125000</v>
      </c>
      <c r="J64" s="974">
        <f>Levers!G24</f>
        <v>125000</v>
      </c>
      <c r="K64" s="974">
        <f>Levers!H24</f>
        <v>125000</v>
      </c>
      <c r="L64" s="974">
        <f>Levers!I24</f>
        <v>125000</v>
      </c>
      <c r="N64" s="104"/>
    </row>
    <row r="65" spans="1:14" x14ac:dyDescent="0.25">
      <c r="A65" s="96">
        <f>ROW()</f>
        <v>65</v>
      </c>
      <c r="C65" s="42" t="s">
        <v>949</v>
      </c>
      <c r="D65" s="971">
        <f>Levers!B25</f>
        <v>53.878845872018339</v>
      </c>
      <c r="E65" s="971"/>
      <c r="F65" s="973"/>
      <c r="G65" s="974">
        <f>Levers!D25</f>
        <v>53.878845872018346</v>
      </c>
      <c r="H65" s="974">
        <f>Levers!E25</f>
        <v>53.878845872018346</v>
      </c>
      <c r="I65" s="974">
        <f>Levers!F25</f>
        <v>53.878845872018346</v>
      </c>
      <c r="J65" s="974">
        <f>Levers!G25</f>
        <v>53.878845872018346</v>
      </c>
      <c r="K65" s="974">
        <f>Levers!H25</f>
        <v>53.878845872018346</v>
      </c>
      <c r="L65" s="974">
        <f>Levers!I25</f>
        <v>53.878845872018346</v>
      </c>
      <c r="N65" s="104"/>
    </row>
    <row r="66" spans="1:14" ht="30" x14ac:dyDescent="0.25">
      <c r="A66" s="96">
        <f>ROW()</f>
        <v>66</v>
      </c>
      <c r="C66" s="503" t="s">
        <v>950</v>
      </c>
      <c r="D66" s="971">
        <f>Levers!B26</f>
        <v>191075073.14216259</v>
      </c>
      <c r="E66" s="971"/>
      <c r="F66" s="973">
        <f>Levers!C26</f>
        <v>26865956.81896</v>
      </c>
      <c r="G66" s="974">
        <f>Levers!D26</f>
        <v>27133416.3971496</v>
      </c>
      <c r="H66" s="974">
        <f>Levers!E26</f>
        <v>27410637.026217461</v>
      </c>
      <c r="I66" s="974">
        <f>Levers!F26</f>
        <v>27416181.438798815</v>
      </c>
      <c r="J66" s="974">
        <f>Levers!G26</f>
        <v>27416292.327050444</v>
      </c>
      <c r="K66" s="974">
        <f>Levers!H26</f>
        <v>27416294.544815477</v>
      </c>
      <c r="L66" s="974">
        <f>Levers!I26</f>
        <v>27416294.589170776</v>
      </c>
      <c r="N66" s="104"/>
    </row>
    <row r="67" spans="1:14" ht="45" x14ac:dyDescent="0.25">
      <c r="A67" s="96">
        <f>ROW()</f>
        <v>67</v>
      </c>
      <c r="C67" s="503" t="s">
        <v>951</v>
      </c>
      <c r="D67" s="971">
        <f>Levers!B27</f>
        <v>11765.605046641382</v>
      </c>
      <c r="E67" s="971"/>
      <c r="F67" s="973"/>
      <c r="G67" s="974">
        <f>Levers!D27</f>
        <v>11695.337280346548</v>
      </c>
      <c r="H67" s="974">
        <f>Levers!E27</f>
        <v>11814.827900715278</v>
      </c>
      <c r="I67" s="974">
        <f>Levers!F27</f>
        <v>11817.217713122653</v>
      </c>
      <c r="J67" s="974">
        <f>Levers!G27</f>
        <v>11817.2655093708</v>
      </c>
      <c r="K67" s="974">
        <f>Levers!H27</f>
        <v>11817.266465295763</v>
      </c>
      <c r="L67" s="974">
        <f>Levers!I27</f>
        <v>11817.266484414262</v>
      </c>
      <c r="N67" s="104"/>
    </row>
    <row r="68" spans="1:14" x14ac:dyDescent="0.25">
      <c r="A68" s="96">
        <f>ROW()</f>
        <v>68</v>
      </c>
      <c r="C68" s="42" t="s">
        <v>470</v>
      </c>
      <c r="D68" s="971">
        <f>Levers!B38</f>
        <v>7179252.7686203793</v>
      </c>
      <c r="E68" s="124"/>
      <c r="F68" s="973">
        <f>Levers!C38</f>
        <v>1405170.7871554845</v>
      </c>
      <c r="G68" s="974">
        <f>Levers!D38</f>
        <v>1415564.3257825843</v>
      </c>
      <c r="H68" s="974">
        <f>Levers!E38</f>
        <v>1429084.1525010711</v>
      </c>
      <c r="I68" s="974">
        <f>Levers!F38</f>
        <v>1161972.4834305684</v>
      </c>
      <c r="J68" s="974">
        <f>Levers!G38</f>
        <v>881264.58524414641</v>
      </c>
      <c r="K68" s="974">
        <f>Levers!H38</f>
        <v>592040.77019461396</v>
      </c>
      <c r="L68" s="974">
        <f>Levers!I38</f>
        <v>294155.6643118686</v>
      </c>
      <c r="N68" s="104"/>
    </row>
    <row r="69" spans="1:14" ht="45" x14ac:dyDescent="0.25">
      <c r="A69" s="96">
        <f>ROW()</f>
        <v>69</v>
      </c>
      <c r="C69" s="503" t="s">
        <v>471</v>
      </c>
      <c r="D69" s="971">
        <f>Levers!B39</f>
        <v>442.06840388200953</v>
      </c>
      <c r="E69" s="124"/>
      <c r="F69" s="973">
        <f>Levers!C39</f>
        <v>605.67184212010443</v>
      </c>
      <c r="G69" s="974">
        <f>Levers!D39</f>
        <v>610.15177704613939</v>
      </c>
      <c r="H69" s="974">
        <f>Levers!E39</f>
        <v>615.97923832599338</v>
      </c>
      <c r="I69" s="974">
        <f>Levers!F39</f>
        <v>500.84589073825589</v>
      </c>
      <c r="J69" s="974">
        <f>Levers!G39</f>
        <v>379.85215008670031</v>
      </c>
      <c r="K69" s="974">
        <f>Levers!H39</f>
        <v>255.18778725813311</v>
      </c>
      <c r="L69" s="974">
        <f>Levers!I39</f>
        <v>126.79014159872268</v>
      </c>
      <c r="N69" s="104"/>
    </row>
  </sheetData>
  <mergeCells count="4">
    <mergeCell ref="A1:B1"/>
    <mergeCell ref="F2:L2"/>
    <mergeCell ref="F3:L3"/>
    <mergeCell ref="F4:L4"/>
  </mergeCells>
  <conditionalFormatting sqref="D1">
    <cfRule type="expression" dxfId="15" priority="2" stopIfTrue="1">
      <formula>MOD(ROW(),2)=0</formula>
    </cfRule>
  </conditionalFormatting>
  <conditionalFormatting sqref="O1:T1">
    <cfRule type="cellIs" dxfId="14" priority="1" stopIfTrue="1" operator="equal">
      <formula>0</formula>
    </cfRule>
  </conditionalFormatting>
  <hyperlinks>
    <hyperlink ref="D1" location="HypLink1" display="HypLink1" xr:uid="{A4AB5396-CAD7-4173-B933-A8C6752F8EDC}"/>
  </hyperlinks>
  <pageMargins left="0.7" right="0.7" top="0.75" bottom="0.75" header="0.3" footer="0.3"/>
  <pageSetup paperSize="119" scale="7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2E84C-F02A-476D-8496-7B73B2325DE8}">
  <sheetPr>
    <pageSetUpPr fitToPage="1"/>
  </sheetPr>
  <dimension ref="A1:BC100"/>
  <sheetViews>
    <sheetView workbookViewId="0">
      <selection activeCell="J46" sqref="J46"/>
    </sheetView>
  </sheetViews>
  <sheetFormatPr defaultRowHeight="15" x14ac:dyDescent="0.25"/>
  <cols>
    <col min="1" max="1" width="5.42578125" style="42" customWidth="1"/>
    <col min="2" max="2" width="57.42578125" style="42" customWidth="1"/>
    <col min="3" max="3" width="12.28515625" style="42" customWidth="1"/>
    <col min="4" max="4" width="8.7109375" style="42" customWidth="1"/>
    <col min="5" max="5" width="11.28515625" style="42" customWidth="1"/>
    <col min="6" max="6" width="12.7109375" style="42" customWidth="1"/>
    <col min="7" max="7" width="12.7109375" style="42" bestFit="1" customWidth="1"/>
    <col min="8" max="8" width="12.42578125" style="42" bestFit="1" customWidth="1"/>
    <col min="9" max="12" width="12.7109375" style="42" bestFit="1" customWidth="1"/>
    <col min="13" max="13" width="4.7109375" style="42" customWidth="1"/>
    <col min="14" max="14" width="56.7109375" style="78" customWidth="1"/>
    <col min="15" max="55" width="9.140625" style="42"/>
  </cols>
  <sheetData>
    <row r="1" spans="1:55" ht="15.75" x14ac:dyDescent="0.25">
      <c r="A1" s="167" t="s">
        <v>952</v>
      </c>
      <c r="B1" s="975"/>
      <c r="C1" s="242" t="s">
        <v>3</v>
      </c>
      <c r="D1" s="141" t="s">
        <v>953</v>
      </c>
      <c r="K1" s="77"/>
      <c r="Y1" s="170" cm="1">
        <f t="array" aca="1" ref="Y1" ca="1">CELL("protect",A1)</f>
        <v>1</v>
      </c>
      <c r="Z1" s="170" cm="1">
        <f t="array" aca="1" ref="Z1" ca="1">CELL("protect",B1)</f>
        <v>1</v>
      </c>
      <c r="AA1" s="170" cm="1">
        <f t="array" aca="1" ref="AA1" ca="1">CELL("protect",C1)</f>
        <v>1</v>
      </c>
      <c r="AB1" s="170" cm="1">
        <f t="array" aca="1" ref="AB1" ca="1">CELL("protect",D1)</f>
        <v>1</v>
      </c>
      <c r="AC1" s="170" cm="1">
        <f t="array" aca="1" ref="AC1" ca="1">CELL("protect",E1)</f>
        <v>1</v>
      </c>
      <c r="AD1" s="170" cm="1">
        <f t="array" aca="1" ref="AD1" ca="1">CELL("protect",F1)</f>
        <v>1</v>
      </c>
      <c r="AE1" s="170" cm="1">
        <f t="array" aca="1" ref="AE1" ca="1">CELL("protect",G1)</f>
        <v>1</v>
      </c>
      <c r="AF1" s="170" cm="1">
        <f t="array" aca="1" ref="AF1" ca="1">CELL("protect",H1)</f>
        <v>1</v>
      </c>
      <c r="AG1" s="170" cm="1">
        <f t="array" aca="1" ref="AG1" ca="1">CELL("protect",I1)</f>
        <v>1</v>
      </c>
      <c r="AH1" s="170" cm="1">
        <f t="array" aca="1" ref="AH1" ca="1">CELL("protect",J1)</f>
        <v>1</v>
      </c>
      <c r="AI1" s="170" cm="1">
        <f t="array" aca="1" ref="AI1" ca="1">CELL("protect",K1)</f>
        <v>1</v>
      </c>
      <c r="AJ1" s="170" cm="1">
        <f t="array" aca="1" ref="AJ1" ca="1">CELL("protect",L1)</f>
        <v>1</v>
      </c>
      <c r="AK1" s="170"/>
      <c r="AL1" s="170"/>
      <c r="AM1" s="170"/>
    </row>
    <row r="2" spans="1:55" ht="15.75" x14ac:dyDescent="0.25">
      <c r="A2" s="80" t="str">
        <f>SchoolName</f>
        <v>Odyssey Charter School</v>
      </c>
      <c r="B2" s="948"/>
      <c r="Y2" s="170" cm="1">
        <f t="array" aca="1" ref="Y2" ca="1">CELL("protect",A2)</f>
        <v>1</v>
      </c>
      <c r="Z2" s="170" cm="1">
        <f t="array" aca="1" ref="Z2" ca="1">CELL("protect",B2)</f>
        <v>1</v>
      </c>
      <c r="AA2" s="170" cm="1">
        <f t="array" aca="1" ref="AA2" ca="1">CELL("protect",C2)</f>
        <v>1</v>
      </c>
      <c r="AB2" s="170" cm="1">
        <f t="array" aca="1" ref="AB2" ca="1">CELL("protect",D2)</f>
        <v>1</v>
      </c>
      <c r="AC2" s="170" cm="1">
        <f t="array" aca="1" ref="AC2" ca="1">CELL("protect",E2)</f>
        <v>1</v>
      </c>
      <c r="AD2" s="170" cm="1">
        <f t="array" aca="1" ref="AD2" ca="1">CELL("protect",F2)</f>
        <v>1</v>
      </c>
      <c r="AE2" s="170" cm="1">
        <f t="array" aca="1" ref="AE2" ca="1">CELL("protect",G2)</f>
        <v>1</v>
      </c>
      <c r="AF2" s="170" cm="1">
        <f t="array" aca="1" ref="AF2" ca="1">CELL("protect",H2)</f>
        <v>1</v>
      </c>
      <c r="AG2" s="170" cm="1">
        <f t="array" aca="1" ref="AG2" ca="1">CELL("protect",I2)</f>
        <v>1</v>
      </c>
      <c r="AH2" s="170" cm="1">
        <f t="array" aca="1" ref="AH2" ca="1">CELL("protect",J2)</f>
        <v>1</v>
      </c>
      <c r="AI2" s="170" cm="1">
        <f t="array" aca="1" ref="AI2" ca="1">CELL("protect",K2)</f>
        <v>1</v>
      </c>
      <c r="AJ2" s="170" cm="1">
        <f t="array" aca="1" ref="AJ2" ca="1">CELL("protect",L2)</f>
        <v>1</v>
      </c>
      <c r="AK2" s="170"/>
      <c r="AL2" s="170"/>
      <c r="AM2" s="170"/>
    </row>
    <row r="3" spans="1:55" x14ac:dyDescent="0.25">
      <c r="A3" s="82" t="s">
        <v>80</v>
      </c>
      <c r="Y3" s="170" cm="1">
        <f t="array" aca="1" ref="Y3" ca="1">CELL("protect",A3)</f>
        <v>1</v>
      </c>
      <c r="Z3" s="170" cm="1">
        <f t="array" aca="1" ref="Z3" ca="1">CELL("protect",B3)</f>
        <v>1</v>
      </c>
      <c r="AA3" s="170" cm="1">
        <f t="array" aca="1" ref="AA3" ca="1">CELL("protect",C3)</f>
        <v>1</v>
      </c>
      <c r="AB3" s="170" cm="1">
        <f t="array" aca="1" ref="AB3" ca="1">CELL("protect",D3)</f>
        <v>1</v>
      </c>
      <c r="AC3" s="170" cm="1">
        <f t="array" aca="1" ref="AC3" ca="1">CELL("protect",E3)</f>
        <v>1</v>
      </c>
      <c r="AD3" s="170" cm="1">
        <f t="array" aca="1" ref="AD3" ca="1">CELL("protect",F3)</f>
        <v>1</v>
      </c>
      <c r="AE3" s="170" cm="1">
        <f t="array" aca="1" ref="AE3" ca="1">CELL("protect",G3)</f>
        <v>1</v>
      </c>
      <c r="AF3" s="170" cm="1">
        <f t="array" aca="1" ref="AF3" ca="1">CELL("protect",H3)</f>
        <v>1</v>
      </c>
      <c r="AG3" s="170" cm="1">
        <f t="array" aca="1" ref="AG3" ca="1">CELL("protect",I3)</f>
        <v>1</v>
      </c>
      <c r="AH3" s="170" cm="1">
        <f t="array" aca="1" ref="AH3" ca="1">CELL("protect",J3)</f>
        <v>1</v>
      </c>
      <c r="AI3" s="170" cm="1">
        <f t="array" aca="1" ref="AI3" ca="1">CELL("protect",K3)</f>
        <v>1</v>
      </c>
      <c r="AJ3" s="170" cm="1">
        <f t="array" aca="1" ref="AJ3" ca="1">CELL("protect",L3)</f>
        <v>1</v>
      </c>
      <c r="AK3" s="170"/>
      <c r="AL3" s="170"/>
      <c r="AM3" s="170"/>
    </row>
    <row r="4" spans="1:55" x14ac:dyDescent="0.25">
      <c r="A4" s="248" t="s">
        <v>81</v>
      </c>
      <c r="Y4" s="170" cm="1">
        <f t="array" aca="1" ref="Y4" ca="1">CELL("protect",A4)</f>
        <v>1</v>
      </c>
      <c r="Z4" s="170" cm="1">
        <f t="array" aca="1" ref="Z4" ca="1">CELL("protect",B4)</f>
        <v>1</v>
      </c>
      <c r="AA4" s="170" cm="1">
        <f t="array" aca="1" ref="AA4" ca="1">CELL("protect",C4)</f>
        <v>1</v>
      </c>
      <c r="AB4" s="170" cm="1">
        <f t="array" aca="1" ref="AB4" ca="1">CELL("protect",D4)</f>
        <v>1</v>
      </c>
      <c r="AC4" s="170" cm="1">
        <f t="array" aca="1" ref="AC4" ca="1">CELL("protect",E4)</f>
        <v>1</v>
      </c>
      <c r="AD4" s="170" cm="1">
        <f t="array" aca="1" ref="AD4" ca="1">CELL("protect",F4)</f>
        <v>1</v>
      </c>
      <c r="AE4" s="170" cm="1">
        <f t="array" aca="1" ref="AE4" ca="1">CELL("protect",G4)</f>
        <v>1</v>
      </c>
      <c r="AF4" s="170" cm="1">
        <f t="array" aca="1" ref="AF4" ca="1">CELL("protect",H4)</f>
        <v>1</v>
      </c>
      <c r="AG4" s="170" cm="1">
        <f t="array" aca="1" ref="AG4" ca="1">CELL("protect",I4)</f>
        <v>1</v>
      </c>
      <c r="AH4" s="170" cm="1">
        <f t="array" aca="1" ref="AH4" ca="1">CELL("protect",J4)</f>
        <v>1</v>
      </c>
      <c r="AI4" s="170" cm="1">
        <f t="array" aca="1" ref="AI4" ca="1">CELL("protect",K4)</f>
        <v>1</v>
      </c>
      <c r="AJ4" s="170" cm="1">
        <f t="array" aca="1" ref="AJ4" ca="1">CELL("protect",L4)</f>
        <v>1</v>
      </c>
      <c r="AK4" s="170"/>
      <c r="AL4" s="170"/>
      <c r="AM4" s="170"/>
    </row>
    <row r="5" spans="1:55" x14ac:dyDescent="0.25">
      <c r="A5" s="83" t="str">
        <f ca="1">CELL("filename")</f>
        <v>\\lvraiders\users\sguthrie\Documents\Charter\Change of Sponsorship\[240126-SPCSA-Odyssey Charter School Application Workbook-Modified-Version (1).xlsx]Instructions</v>
      </c>
      <c r="Y5" s="170" cm="1">
        <f t="array" aca="1" ref="Y5" ca="1">CELL("protect",A5)</f>
        <v>1</v>
      </c>
      <c r="Z5" s="170" cm="1">
        <f t="array" aca="1" ref="Z5" ca="1">CELL("protect",B5)</f>
        <v>1</v>
      </c>
      <c r="AA5" s="170" cm="1">
        <f t="array" aca="1" ref="AA5" ca="1">CELL("protect",C5)</f>
        <v>1</v>
      </c>
      <c r="AB5" s="170" cm="1">
        <f t="array" aca="1" ref="AB5" ca="1">CELL("protect",D5)</f>
        <v>1</v>
      </c>
      <c r="AC5" s="170" cm="1">
        <f t="array" aca="1" ref="AC5" ca="1">CELL("protect",E5)</f>
        <v>1</v>
      </c>
      <c r="AD5" s="170" cm="1">
        <f t="array" aca="1" ref="AD5" ca="1">CELL("protect",F5)</f>
        <v>1</v>
      </c>
      <c r="AE5" s="170" cm="1">
        <f t="array" aca="1" ref="AE5" ca="1">CELL("protect",G5)</f>
        <v>1</v>
      </c>
      <c r="AF5" s="170" cm="1">
        <f t="array" aca="1" ref="AF5" ca="1">CELL("protect",H5)</f>
        <v>1</v>
      </c>
      <c r="AG5" s="170" cm="1">
        <f t="array" aca="1" ref="AG5" ca="1">CELL("protect",I5)</f>
        <v>1</v>
      </c>
      <c r="AH5" s="170" cm="1">
        <f t="array" aca="1" ref="AH5" ca="1">CELL("protect",J5)</f>
        <v>1</v>
      </c>
      <c r="AI5" s="170" cm="1">
        <f t="array" aca="1" ref="AI5" ca="1">CELL("protect",K5)</f>
        <v>1</v>
      </c>
      <c r="AJ5" s="170" cm="1">
        <f t="array" aca="1" ref="AJ5" ca="1">CELL("protect",L5)</f>
        <v>1</v>
      </c>
      <c r="AK5" s="170"/>
      <c r="AL5" s="170"/>
      <c r="AM5" s="170"/>
    </row>
    <row r="6" spans="1:55" x14ac:dyDescent="0.25">
      <c r="F6" s="38" t="s">
        <v>954</v>
      </c>
      <c r="G6" s="141" t="s">
        <v>955</v>
      </c>
      <c r="Y6" s="170" cm="1">
        <f t="array" aca="1" ref="Y6" ca="1">CELL("protect",A6)</f>
        <v>1</v>
      </c>
      <c r="Z6" s="170" cm="1">
        <f t="array" aca="1" ref="Z6" ca="1">CELL("protect",B6)</f>
        <v>1</v>
      </c>
      <c r="AA6" s="170" cm="1">
        <f t="array" aca="1" ref="AA6" ca="1">CELL("protect",C6)</f>
        <v>1</v>
      </c>
      <c r="AB6" s="170" cm="1">
        <f t="array" aca="1" ref="AB6" ca="1">CELL("protect",D6)</f>
        <v>1</v>
      </c>
      <c r="AC6" s="170" cm="1">
        <f t="array" aca="1" ref="AC6" ca="1">CELL("protect",E6)</f>
        <v>1</v>
      </c>
      <c r="AD6" s="170" cm="1">
        <f t="array" aca="1" ref="AD6" ca="1">CELL("protect",F6)</f>
        <v>1</v>
      </c>
      <c r="AE6" s="170" cm="1">
        <f t="array" aca="1" ref="AE6" ca="1">CELL("protect",G6)</f>
        <v>1</v>
      </c>
      <c r="AF6" s="170" cm="1">
        <f t="array" aca="1" ref="AF6" ca="1">CELL("protect",H6)</f>
        <v>1</v>
      </c>
      <c r="AG6" s="170" cm="1">
        <f t="array" aca="1" ref="AG6" ca="1">CELL("protect",I6)</f>
        <v>1</v>
      </c>
      <c r="AH6" s="170" cm="1">
        <f t="array" aca="1" ref="AH6" ca="1">CELL("protect",J6)</f>
        <v>1</v>
      </c>
      <c r="AI6" s="170" cm="1">
        <f t="array" aca="1" ref="AI6" ca="1">CELL("protect",K6)</f>
        <v>1</v>
      </c>
      <c r="AJ6" s="170" cm="1">
        <f t="array" aca="1" ref="AJ6" ca="1">CELL("protect",L6)</f>
        <v>1</v>
      </c>
      <c r="AK6" s="170"/>
      <c r="AL6" s="170"/>
      <c r="AM6" s="170"/>
    </row>
    <row r="7" spans="1:55" ht="15.75" x14ac:dyDescent="0.25">
      <c r="B7" s="976" t="s">
        <v>956</v>
      </c>
      <c r="C7" s="977" t="s">
        <v>957</v>
      </c>
      <c r="D7" s="978" t="s">
        <v>958</v>
      </c>
      <c r="E7" s="979" t="s">
        <v>316</v>
      </c>
      <c r="F7" s="348">
        <v>0</v>
      </c>
      <c r="G7" s="949">
        <v>1</v>
      </c>
      <c r="H7" s="949">
        <f>+G7+1</f>
        <v>2</v>
      </c>
      <c r="I7" s="949">
        <f>+H7+1</f>
        <v>3</v>
      </c>
      <c r="J7" s="949">
        <f>+I7+1</f>
        <v>4</v>
      </c>
      <c r="K7" s="949">
        <f>+J7+1</f>
        <v>5</v>
      </c>
      <c r="L7" s="950">
        <f>+K7+1</f>
        <v>6</v>
      </c>
      <c r="N7" s="50" t="s">
        <v>103</v>
      </c>
      <c r="Y7" s="170" cm="1">
        <f t="array" aca="1" ref="Y7" ca="1">CELL("protect",A7)</f>
        <v>1</v>
      </c>
      <c r="Z7" s="170" cm="1">
        <f t="array" aca="1" ref="Z7" ca="1">CELL("protect",B7)</f>
        <v>1</v>
      </c>
      <c r="AA7" s="170" cm="1">
        <f t="array" aca="1" ref="AA7" ca="1">CELL("protect",C7)</f>
        <v>1</v>
      </c>
      <c r="AB7" s="170" cm="1">
        <f t="array" aca="1" ref="AB7" ca="1">CELL("protect",D7)</f>
        <v>1</v>
      </c>
      <c r="AC7" s="170" cm="1">
        <f t="array" aca="1" ref="AC7" ca="1">CELL("protect",E7)</f>
        <v>1</v>
      </c>
      <c r="AD7" s="170" cm="1">
        <f t="array" aca="1" ref="AD7" ca="1">CELL("protect",F7)</f>
        <v>1</v>
      </c>
      <c r="AE7" s="170" cm="1">
        <f t="array" aca="1" ref="AE7" ca="1">CELL("protect",G7)</f>
        <v>1</v>
      </c>
      <c r="AF7" s="170" cm="1">
        <f t="array" aca="1" ref="AF7" ca="1">CELL("protect",H7)</f>
        <v>1</v>
      </c>
      <c r="AG7" s="170" cm="1">
        <f t="array" aca="1" ref="AG7" ca="1">CELL("protect",I7)</f>
        <v>1</v>
      </c>
      <c r="AH7" s="170" cm="1">
        <f t="array" aca="1" ref="AH7" ca="1">CELL("protect",J7)</f>
        <v>1</v>
      </c>
      <c r="AI7" s="170" cm="1">
        <f t="array" aca="1" ref="AI7" ca="1">CELL("protect",K7)</f>
        <v>1</v>
      </c>
      <c r="AJ7" s="170" cm="1">
        <f t="array" aca="1" ref="AJ7" ca="1">CELL("protect",L7)</f>
        <v>1</v>
      </c>
      <c r="AK7" s="170"/>
      <c r="AL7" s="170"/>
      <c r="AM7" s="170"/>
    </row>
    <row r="8" spans="1:55" ht="15.75" x14ac:dyDescent="0.25">
      <c r="B8" s="980"/>
      <c r="C8" s="981"/>
      <c r="D8" s="978"/>
      <c r="E8" s="982"/>
      <c r="F8" s="951">
        <f>+'FFE&amp;T'!F7</f>
        <v>2024</v>
      </c>
      <c r="G8" s="951">
        <f>+'FFE&amp;T'!G7</f>
        <v>2025</v>
      </c>
      <c r="H8" s="952">
        <f>+'FFE&amp;T'!H7</f>
        <v>2026</v>
      </c>
      <c r="I8" s="952">
        <f>+'FFE&amp;T'!I7</f>
        <v>2027</v>
      </c>
      <c r="J8" s="952">
        <f>+'FFE&amp;T'!J7</f>
        <v>2028</v>
      </c>
      <c r="K8" s="952">
        <f>+'FFE&amp;T'!K7</f>
        <v>2029</v>
      </c>
      <c r="L8" s="953">
        <f>+'FFE&amp;T'!L7</f>
        <v>2030</v>
      </c>
      <c r="N8" s="363"/>
      <c r="Y8" s="170"/>
      <c r="Z8" s="170"/>
      <c r="AA8" s="170"/>
      <c r="AB8" s="170"/>
      <c r="AC8" s="170"/>
      <c r="AD8" s="170"/>
      <c r="AE8" s="170"/>
      <c r="AF8" s="170"/>
      <c r="AG8" s="170"/>
      <c r="AH8" s="170"/>
      <c r="AI8" s="170"/>
      <c r="AJ8" s="170"/>
      <c r="AK8" s="170"/>
      <c r="AL8" s="170"/>
      <c r="AM8" s="170"/>
    </row>
    <row r="9" spans="1:55" ht="15.75" x14ac:dyDescent="0.25">
      <c r="A9" s="38"/>
      <c r="B9" s="983" t="s">
        <v>959</v>
      </c>
      <c r="C9" s="955" t="s">
        <v>960</v>
      </c>
      <c r="D9" s="978" t="s">
        <v>961</v>
      </c>
      <c r="E9" s="984" t="s">
        <v>962</v>
      </c>
      <c r="F9" s="954">
        <f>' Enrol &amp; Rev'!F11</f>
        <v>2025</v>
      </c>
      <c r="G9" s="954">
        <f>' Enrol &amp; Rev'!G11</f>
        <v>2026</v>
      </c>
      <c r="H9" s="955">
        <f>' Enrol &amp; Rev'!H11</f>
        <v>2027</v>
      </c>
      <c r="I9" s="955">
        <f>' Enrol &amp; Rev'!I11</f>
        <v>2028</v>
      </c>
      <c r="J9" s="955">
        <f>' Enrol &amp; Rev'!J11</f>
        <v>2029</v>
      </c>
      <c r="K9" s="955">
        <f>' Enrol &amp; Rev'!K11</f>
        <v>2030</v>
      </c>
      <c r="L9" s="956">
        <f>' Enrol &amp; Rev'!L11</f>
        <v>2031</v>
      </c>
      <c r="M9" s="38"/>
      <c r="N9" s="101"/>
      <c r="O9" s="38"/>
      <c r="P9" s="38"/>
      <c r="Q9" s="38"/>
      <c r="R9" s="38"/>
      <c r="S9" s="38"/>
      <c r="T9" s="38"/>
      <c r="U9" s="38"/>
      <c r="V9" s="38"/>
      <c r="W9" s="38"/>
      <c r="X9" s="38"/>
      <c r="Y9" s="170" cm="1">
        <f t="array" aca="1" ref="Y9" ca="1">CELL("protect",A9)</f>
        <v>1</v>
      </c>
      <c r="Z9" s="170" cm="1">
        <f t="array" aca="1" ref="Z9" ca="1">CELL("protect",B9)</f>
        <v>1</v>
      </c>
      <c r="AA9" s="170" cm="1">
        <f t="array" aca="1" ref="AA9" ca="1">CELL("protect",C9)</f>
        <v>1</v>
      </c>
      <c r="AB9" s="170" cm="1">
        <f t="array" aca="1" ref="AB9" ca="1">CELL("protect",D9)</f>
        <v>1</v>
      </c>
      <c r="AC9" s="170" cm="1">
        <f t="array" aca="1" ref="AC9" ca="1">CELL("protect",E9)</f>
        <v>1</v>
      </c>
      <c r="AD9" s="170" cm="1">
        <f t="array" aca="1" ref="AD9" ca="1">CELL("protect",F9)</f>
        <v>1</v>
      </c>
      <c r="AE9" s="170" cm="1">
        <f t="array" aca="1" ref="AE9" ca="1">CELL("protect",G9)</f>
        <v>1</v>
      </c>
      <c r="AF9" s="170" cm="1">
        <f t="array" aca="1" ref="AF9" ca="1">CELL("protect",H9)</f>
        <v>1</v>
      </c>
      <c r="AG9" s="170" cm="1">
        <f t="array" aca="1" ref="AG9" ca="1">CELL("protect",I9)</f>
        <v>1</v>
      </c>
      <c r="AH9" s="170" cm="1">
        <f t="array" aca="1" ref="AH9" ca="1">CELL("protect",J9)</f>
        <v>1</v>
      </c>
      <c r="AI9" s="170" cm="1">
        <f t="array" aca="1" ref="AI9" ca="1">CELL("protect",K9)</f>
        <v>1</v>
      </c>
      <c r="AJ9" s="170" cm="1">
        <f t="array" aca="1" ref="AJ9" ca="1">CELL("protect",L9)</f>
        <v>1</v>
      </c>
      <c r="AK9" s="170"/>
      <c r="AL9" s="170"/>
      <c r="AM9" s="170"/>
      <c r="AN9" s="38"/>
      <c r="AO9" s="38"/>
      <c r="AP9" s="38"/>
      <c r="AQ9" s="38"/>
      <c r="AR9" s="38"/>
      <c r="AS9" s="38"/>
      <c r="AT9" s="38"/>
      <c r="AU9" s="38"/>
      <c r="AV9" s="38"/>
      <c r="AW9" s="38"/>
      <c r="AX9" s="38"/>
      <c r="AY9" s="38"/>
      <c r="AZ9" s="38"/>
      <c r="BA9" s="38"/>
      <c r="BB9" s="38"/>
      <c r="BC9" s="38"/>
    </row>
    <row r="10" spans="1:55" x14ac:dyDescent="0.25">
      <c r="A10" s="985"/>
      <c r="B10" s="986"/>
      <c r="C10" s="987"/>
      <c r="D10" s="987"/>
      <c r="E10" s="124"/>
      <c r="F10" s="988"/>
      <c r="G10" s="988"/>
      <c r="H10" s="989"/>
      <c r="I10" s="989"/>
      <c r="J10" s="989"/>
      <c r="K10" s="989"/>
      <c r="L10" s="989"/>
      <c r="N10" s="104" t="s">
        <v>963</v>
      </c>
      <c r="Y10" s="170" cm="1">
        <f t="array" aca="1" ref="Y10" ca="1">CELL("protect",A10)</f>
        <v>1</v>
      </c>
      <c r="Z10" s="170" cm="1">
        <f t="array" aca="1" ref="Z10" ca="1">CELL("protect",B10)</f>
        <v>0</v>
      </c>
      <c r="AA10" s="170" cm="1">
        <f t="array" aca="1" ref="AA10" ca="1">CELL("protect",C10)</f>
        <v>0</v>
      </c>
      <c r="AB10" s="170" cm="1">
        <f t="array" aca="1" ref="AB10" ca="1">CELL("protect",D10)</f>
        <v>0</v>
      </c>
      <c r="AC10" s="170" cm="1">
        <f t="array" aca="1" ref="AC10" ca="1">CELL("protect",E10)</f>
        <v>1</v>
      </c>
      <c r="AD10" s="170" cm="1">
        <f t="array" aca="1" ref="AD10" ca="1">CELL("protect",F10)</f>
        <v>1</v>
      </c>
      <c r="AE10" s="170" cm="1">
        <f t="array" aca="1" ref="AE10" ca="1">CELL("protect",G10)</f>
        <v>1</v>
      </c>
      <c r="AF10" s="170" cm="1">
        <f t="array" aca="1" ref="AF10" ca="1">CELL("protect",H10)</f>
        <v>1</v>
      </c>
      <c r="AG10" s="170" cm="1">
        <f t="array" aca="1" ref="AG10" ca="1">CELL("protect",I10)</f>
        <v>1</v>
      </c>
      <c r="AH10" s="170" cm="1">
        <f t="array" aca="1" ref="AH10" ca="1">CELL("protect",J10)</f>
        <v>1</v>
      </c>
      <c r="AI10" s="170" cm="1">
        <f t="array" aca="1" ref="AI10" ca="1">CELL("protect",K10)</f>
        <v>1</v>
      </c>
      <c r="AJ10" s="170" cm="1">
        <f t="array" aca="1" ref="AJ10" ca="1">CELL("protect",L10)</f>
        <v>1</v>
      </c>
      <c r="AK10" s="170"/>
      <c r="AL10" s="170"/>
      <c r="AM10" s="170"/>
    </row>
    <row r="11" spans="1:55" x14ac:dyDescent="0.25">
      <c r="A11" s="985">
        <f>ROW()</f>
        <v>11</v>
      </c>
      <c r="B11" s="990" t="s">
        <v>964</v>
      </c>
      <c r="C11" s="991"/>
      <c r="D11" s="992"/>
      <c r="E11" s="332"/>
      <c r="F11" s="993"/>
      <c r="G11" s="993"/>
      <c r="H11" s="994"/>
      <c r="I11" s="994"/>
      <c r="J11" s="994"/>
      <c r="K11" s="994"/>
      <c r="L11" s="994"/>
      <c r="N11" s="104" t="s">
        <v>965</v>
      </c>
      <c r="Y11" s="170" cm="1">
        <f t="array" aca="1" ref="Y11" ca="1">CELL("protect",A11)</f>
        <v>1</v>
      </c>
      <c r="Z11" s="170" cm="1">
        <f t="array" aca="1" ref="Z11" ca="1">CELL("protect",B11)</f>
        <v>1</v>
      </c>
      <c r="AA11" s="170" cm="1">
        <f t="array" aca="1" ref="AA11" ca="1">CELL("protect",C11)</f>
        <v>1</v>
      </c>
      <c r="AB11" s="170" cm="1">
        <f t="array" aca="1" ref="AB11" ca="1">CELL("protect",D11)</f>
        <v>0</v>
      </c>
      <c r="AC11" s="170" cm="1">
        <f t="array" aca="1" ref="AC11" ca="1">CELL("protect",E11)</f>
        <v>1</v>
      </c>
      <c r="AD11" s="170" cm="1">
        <f t="array" aca="1" ref="AD11" ca="1">CELL("protect",F11)</f>
        <v>0</v>
      </c>
      <c r="AE11" s="170" cm="1">
        <f t="array" aca="1" ref="AE11" ca="1">CELL("protect",G11)</f>
        <v>0</v>
      </c>
      <c r="AF11" s="170" cm="1">
        <f t="array" aca="1" ref="AF11" ca="1">CELL("protect",H11)</f>
        <v>0</v>
      </c>
      <c r="AG11" s="170" cm="1">
        <f t="array" aca="1" ref="AG11" ca="1">CELL("protect",I11)</f>
        <v>0</v>
      </c>
      <c r="AH11" s="170" cm="1">
        <f t="array" aca="1" ref="AH11" ca="1">CELL("protect",J11)</f>
        <v>0</v>
      </c>
      <c r="AI11" s="170" cm="1">
        <f t="array" aca="1" ref="AI11" ca="1">CELL("protect",K11)</f>
        <v>0</v>
      </c>
      <c r="AJ11" s="170" cm="1">
        <f t="array" aca="1" ref="AJ11" ca="1">CELL("protect",L11)</f>
        <v>0</v>
      </c>
      <c r="AK11" s="170"/>
      <c r="AL11" s="170"/>
      <c r="AM11" s="170"/>
    </row>
    <row r="12" spans="1:55" x14ac:dyDescent="0.25">
      <c r="A12" s="985">
        <f>ROW()</f>
        <v>12</v>
      </c>
      <c r="B12" s="995" t="s">
        <v>966</v>
      </c>
      <c r="C12" s="996">
        <v>0</v>
      </c>
      <c r="D12" s="997">
        <v>0</v>
      </c>
      <c r="E12" s="998">
        <f t="shared" ref="E12:E20" si="0">SUM(F12:L12)</f>
        <v>0</v>
      </c>
      <c r="F12" s="999">
        <v>0</v>
      </c>
      <c r="G12" s="1000">
        <f t="shared" ref="G12:L20" si="1">+$D12</f>
        <v>0</v>
      </c>
      <c r="H12" s="1001">
        <f t="shared" si="1"/>
        <v>0</v>
      </c>
      <c r="I12" s="1001">
        <f t="shared" si="1"/>
        <v>0</v>
      </c>
      <c r="J12" s="1001">
        <f t="shared" si="1"/>
        <v>0</v>
      </c>
      <c r="K12" s="1001">
        <f t="shared" si="1"/>
        <v>0</v>
      </c>
      <c r="L12" s="1001">
        <f t="shared" si="1"/>
        <v>0</v>
      </c>
      <c r="N12" s="104"/>
      <c r="Y12" s="170" cm="1">
        <f t="array" aca="1" ref="Y12" ca="1">CELL("protect",A12)</f>
        <v>1</v>
      </c>
      <c r="Z12" s="170" cm="1">
        <f t="array" aca="1" ref="Z12" ca="1">CELL("protect",B12)</f>
        <v>1</v>
      </c>
      <c r="AA12" s="170" cm="1">
        <f t="array" aca="1" ref="AA12" ca="1">CELL("protect",C12)</f>
        <v>1</v>
      </c>
      <c r="AB12" s="170" cm="1">
        <f t="array" aca="1" ref="AB12" ca="1">CELL("protect",D12)</f>
        <v>0</v>
      </c>
      <c r="AC12" s="170" cm="1">
        <f t="array" aca="1" ref="AC12" ca="1">CELL("protect",E12)</f>
        <v>0</v>
      </c>
      <c r="AD12" s="170" cm="1">
        <f t="array" aca="1" ref="AD12" ca="1">CELL("protect",F12)</f>
        <v>0</v>
      </c>
      <c r="AE12" s="170" cm="1">
        <f t="array" aca="1" ref="AE12" ca="1">CELL("protect",G12)</f>
        <v>0</v>
      </c>
      <c r="AF12" s="170" cm="1">
        <f t="array" aca="1" ref="AF12" ca="1">CELL("protect",H12)</f>
        <v>0</v>
      </c>
      <c r="AG12" s="170" cm="1">
        <f t="array" aca="1" ref="AG12" ca="1">CELL("protect",I12)</f>
        <v>0</v>
      </c>
      <c r="AH12" s="170" cm="1">
        <f t="array" aca="1" ref="AH12" ca="1">CELL("protect",J12)</f>
        <v>0</v>
      </c>
      <c r="AI12" s="170" cm="1">
        <f t="array" aca="1" ref="AI12" ca="1">CELL("protect",K12)</f>
        <v>0</v>
      </c>
      <c r="AJ12" s="170" cm="1">
        <f t="array" aca="1" ref="AJ12" ca="1">CELL("protect",L12)</f>
        <v>0</v>
      </c>
      <c r="AK12" s="170"/>
      <c r="AL12" s="170"/>
      <c r="AM12" s="170"/>
    </row>
    <row r="13" spans="1:55" ht="45" x14ac:dyDescent="0.25">
      <c r="A13" s="1002">
        <f>ROW()</f>
        <v>13</v>
      </c>
      <c r="B13" s="1003" t="s">
        <v>967</v>
      </c>
      <c r="C13" s="1004">
        <v>1000000</v>
      </c>
      <c r="D13" s="305">
        <v>18546</v>
      </c>
      <c r="E13" s="1005">
        <f t="shared" si="0"/>
        <v>129822</v>
      </c>
      <c r="F13" s="1006">
        <v>18546</v>
      </c>
      <c r="G13" s="1007">
        <f t="shared" si="1"/>
        <v>18546</v>
      </c>
      <c r="H13" s="1008">
        <f t="shared" si="1"/>
        <v>18546</v>
      </c>
      <c r="I13" s="1008">
        <f t="shared" si="1"/>
        <v>18546</v>
      </c>
      <c r="J13" s="1008">
        <f t="shared" si="1"/>
        <v>18546</v>
      </c>
      <c r="K13" s="1008">
        <f t="shared" si="1"/>
        <v>18546</v>
      </c>
      <c r="L13" s="1008">
        <f t="shared" si="1"/>
        <v>18546</v>
      </c>
      <c r="N13" s="104"/>
      <c r="Y13" s="170" cm="1">
        <f t="array" aca="1" ref="Y13" ca="1">CELL("protect",A13)</f>
        <v>1</v>
      </c>
      <c r="Z13" s="170" cm="1">
        <f t="array" aca="1" ref="Z13" ca="1">CELL("protect",B13)</f>
        <v>1</v>
      </c>
      <c r="AA13" s="170" cm="1">
        <f t="array" aca="1" ref="AA13" ca="1">CELL("protect",C13)</f>
        <v>1</v>
      </c>
      <c r="AB13" s="170" cm="1">
        <f t="array" aca="1" ref="AB13" ca="1">CELL("protect",D13)</f>
        <v>0</v>
      </c>
      <c r="AC13" s="170" cm="1">
        <f t="array" aca="1" ref="AC13" ca="1">CELL("protect",E13)</f>
        <v>0</v>
      </c>
      <c r="AD13" s="170" cm="1">
        <f t="array" aca="1" ref="AD13" ca="1">CELL("protect",F13)</f>
        <v>0</v>
      </c>
      <c r="AE13" s="170" cm="1">
        <f t="array" aca="1" ref="AE13" ca="1">CELL("protect",G13)</f>
        <v>0</v>
      </c>
      <c r="AF13" s="170" cm="1">
        <f t="array" aca="1" ref="AF13" ca="1">CELL("protect",H13)</f>
        <v>0</v>
      </c>
      <c r="AG13" s="170" cm="1">
        <f t="array" aca="1" ref="AG13" ca="1">CELL("protect",I13)</f>
        <v>0</v>
      </c>
      <c r="AH13" s="170" cm="1">
        <f t="array" aca="1" ref="AH13" ca="1">CELL("protect",J13)</f>
        <v>0</v>
      </c>
      <c r="AI13" s="170" cm="1">
        <f t="array" aca="1" ref="AI13" ca="1">CELL("protect",K13)</f>
        <v>0</v>
      </c>
      <c r="AJ13" s="170" cm="1">
        <f t="array" aca="1" ref="AJ13" ca="1">CELL("protect",L13)</f>
        <v>0</v>
      </c>
      <c r="AK13" s="170"/>
      <c r="AL13" s="170"/>
      <c r="AM13" s="170"/>
    </row>
    <row r="14" spans="1:55" x14ac:dyDescent="0.25">
      <c r="A14" s="985">
        <f>ROW()</f>
        <v>14</v>
      </c>
      <c r="B14" s="1009" t="s">
        <v>968</v>
      </c>
      <c r="C14" s="1010">
        <v>3000000</v>
      </c>
      <c r="D14" s="305">
        <v>9252</v>
      </c>
      <c r="E14" s="1005">
        <f t="shared" si="0"/>
        <v>64764</v>
      </c>
      <c r="F14" s="1006">
        <v>9252</v>
      </c>
      <c r="G14" s="1007">
        <f t="shared" si="1"/>
        <v>9252</v>
      </c>
      <c r="H14" s="1008">
        <f t="shared" si="1"/>
        <v>9252</v>
      </c>
      <c r="I14" s="1008">
        <f t="shared" si="1"/>
        <v>9252</v>
      </c>
      <c r="J14" s="1008">
        <f t="shared" si="1"/>
        <v>9252</v>
      </c>
      <c r="K14" s="1008">
        <f t="shared" si="1"/>
        <v>9252</v>
      </c>
      <c r="L14" s="1008">
        <f t="shared" si="1"/>
        <v>9252</v>
      </c>
      <c r="N14" s="104"/>
      <c r="Y14" s="170" cm="1">
        <f t="array" aca="1" ref="Y14" ca="1">CELL("protect",A14)</f>
        <v>1</v>
      </c>
      <c r="Z14" s="170" cm="1">
        <f t="array" aca="1" ref="Z14" ca="1">CELL("protect",B14)</f>
        <v>1</v>
      </c>
      <c r="AA14" s="170" cm="1">
        <f t="array" aca="1" ref="AA14" ca="1">CELL("protect",C14)</f>
        <v>1</v>
      </c>
      <c r="AB14" s="170" cm="1">
        <f t="array" aca="1" ref="AB14" ca="1">CELL("protect",D14)</f>
        <v>0</v>
      </c>
      <c r="AC14" s="170" cm="1">
        <f t="array" aca="1" ref="AC14" ca="1">CELL("protect",E14)</f>
        <v>0</v>
      </c>
      <c r="AD14" s="170" cm="1">
        <f t="array" aca="1" ref="AD14" ca="1">CELL("protect",F14)</f>
        <v>0</v>
      </c>
      <c r="AE14" s="170" cm="1">
        <f t="array" aca="1" ref="AE14" ca="1">CELL("protect",G14)</f>
        <v>0</v>
      </c>
      <c r="AF14" s="170" cm="1">
        <f t="array" aca="1" ref="AF14" ca="1">CELL("protect",H14)</f>
        <v>0</v>
      </c>
      <c r="AG14" s="170" cm="1">
        <f t="array" aca="1" ref="AG14" ca="1">CELL("protect",I14)</f>
        <v>0</v>
      </c>
      <c r="AH14" s="170" cm="1">
        <f t="array" aca="1" ref="AH14" ca="1">CELL("protect",J14)</f>
        <v>0</v>
      </c>
      <c r="AI14" s="170" cm="1">
        <f t="array" aca="1" ref="AI14" ca="1">CELL("protect",K14)</f>
        <v>0</v>
      </c>
      <c r="AJ14" s="170" cm="1">
        <f t="array" aca="1" ref="AJ14" ca="1">CELL("protect",L14)</f>
        <v>0</v>
      </c>
      <c r="AK14" s="170"/>
      <c r="AL14" s="170"/>
      <c r="AM14" s="170"/>
    </row>
    <row r="15" spans="1:55" x14ac:dyDescent="0.25">
      <c r="A15" s="985">
        <f>ROW()</f>
        <v>15</v>
      </c>
      <c r="B15" s="1009" t="s">
        <v>969</v>
      </c>
      <c r="C15" s="1010">
        <v>1000000</v>
      </c>
      <c r="D15" s="305">
        <v>15272</v>
      </c>
      <c r="E15" s="1005">
        <f t="shared" si="0"/>
        <v>106904</v>
      </c>
      <c r="F15" s="1006">
        <v>15272</v>
      </c>
      <c r="G15" s="1007">
        <f t="shared" si="1"/>
        <v>15272</v>
      </c>
      <c r="H15" s="1008">
        <f t="shared" si="1"/>
        <v>15272</v>
      </c>
      <c r="I15" s="1008">
        <f t="shared" si="1"/>
        <v>15272</v>
      </c>
      <c r="J15" s="1008">
        <f t="shared" si="1"/>
        <v>15272</v>
      </c>
      <c r="K15" s="1008">
        <f t="shared" si="1"/>
        <v>15272</v>
      </c>
      <c r="L15" s="1008">
        <f t="shared" si="1"/>
        <v>15272</v>
      </c>
      <c r="N15" s="104" t="s">
        <v>970</v>
      </c>
      <c r="Y15" s="170" cm="1">
        <f t="array" aca="1" ref="Y15" ca="1">CELL("protect",A15)</f>
        <v>1</v>
      </c>
      <c r="Z15" s="170" cm="1">
        <f t="array" aca="1" ref="Z15" ca="1">CELL("protect",B15)</f>
        <v>1</v>
      </c>
      <c r="AA15" s="170" cm="1">
        <f t="array" aca="1" ref="AA15" ca="1">CELL("protect",C15)</f>
        <v>1</v>
      </c>
      <c r="AB15" s="170" cm="1">
        <f t="array" aca="1" ref="AB15" ca="1">CELL("protect",D15)</f>
        <v>0</v>
      </c>
      <c r="AC15" s="170" cm="1">
        <f t="array" aca="1" ref="AC15" ca="1">CELL("protect",E15)</f>
        <v>0</v>
      </c>
      <c r="AD15" s="170" cm="1">
        <f t="array" aca="1" ref="AD15" ca="1">CELL("protect",F15)</f>
        <v>0</v>
      </c>
      <c r="AE15" s="170" cm="1">
        <f t="array" aca="1" ref="AE15" ca="1">CELL("protect",G15)</f>
        <v>0</v>
      </c>
      <c r="AF15" s="170" cm="1">
        <f t="array" aca="1" ref="AF15" ca="1">CELL("protect",H15)</f>
        <v>0</v>
      </c>
      <c r="AG15" s="170" cm="1">
        <f t="array" aca="1" ref="AG15" ca="1">CELL("protect",I15)</f>
        <v>0</v>
      </c>
      <c r="AH15" s="170" cm="1">
        <f t="array" aca="1" ref="AH15" ca="1">CELL("protect",J15)</f>
        <v>0</v>
      </c>
      <c r="AI15" s="170" cm="1">
        <f t="array" aca="1" ref="AI15" ca="1">CELL("protect",K15)</f>
        <v>0</v>
      </c>
      <c r="AJ15" s="170" cm="1">
        <f t="array" aca="1" ref="AJ15" ca="1">CELL("protect",L15)</f>
        <v>0</v>
      </c>
      <c r="AK15" s="170"/>
      <c r="AL15" s="170"/>
      <c r="AM15" s="170"/>
    </row>
    <row r="16" spans="1:55" x14ac:dyDescent="0.25">
      <c r="A16" s="985">
        <f>ROW()</f>
        <v>16</v>
      </c>
      <c r="B16" s="1009" t="s">
        <v>971</v>
      </c>
      <c r="C16" s="1010">
        <v>1000000</v>
      </c>
      <c r="D16" s="305">
        <v>0</v>
      </c>
      <c r="E16" s="1005">
        <f t="shared" si="0"/>
        <v>0</v>
      </c>
      <c r="F16" s="1006">
        <v>0</v>
      </c>
      <c r="G16" s="1007">
        <f t="shared" si="1"/>
        <v>0</v>
      </c>
      <c r="H16" s="1008">
        <f t="shared" si="1"/>
        <v>0</v>
      </c>
      <c r="I16" s="1008">
        <f t="shared" si="1"/>
        <v>0</v>
      </c>
      <c r="J16" s="1008">
        <f t="shared" si="1"/>
        <v>0</v>
      </c>
      <c r="K16" s="1008">
        <f t="shared" si="1"/>
        <v>0</v>
      </c>
      <c r="L16" s="1008">
        <f t="shared" si="1"/>
        <v>0</v>
      </c>
      <c r="N16" s="104" t="s">
        <v>972</v>
      </c>
      <c r="Y16" s="170" cm="1">
        <f t="array" aca="1" ref="Y16" ca="1">CELL("protect",A16)</f>
        <v>1</v>
      </c>
      <c r="Z16" s="170" cm="1">
        <f t="array" aca="1" ref="Z16" ca="1">CELL("protect",B16)</f>
        <v>1</v>
      </c>
      <c r="AA16" s="170" cm="1">
        <f t="array" aca="1" ref="AA16" ca="1">CELL("protect",C16)</f>
        <v>1</v>
      </c>
      <c r="AB16" s="170" cm="1">
        <f t="array" aca="1" ref="AB16" ca="1">CELL("protect",D16)</f>
        <v>0</v>
      </c>
      <c r="AC16" s="170" cm="1">
        <f t="array" aca="1" ref="AC16" ca="1">CELL("protect",E16)</f>
        <v>0</v>
      </c>
      <c r="AD16" s="170" cm="1">
        <f t="array" aca="1" ref="AD16" ca="1">CELL("protect",F16)</f>
        <v>0</v>
      </c>
      <c r="AE16" s="170" cm="1">
        <f t="array" aca="1" ref="AE16" ca="1">CELL("protect",G16)</f>
        <v>0</v>
      </c>
      <c r="AF16" s="170" cm="1">
        <f t="array" aca="1" ref="AF16" ca="1">CELL("protect",H16)</f>
        <v>0</v>
      </c>
      <c r="AG16" s="170" cm="1">
        <f t="array" aca="1" ref="AG16" ca="1">CELL("protect",I16)</f>
        <v>0</v>
      </c>
      <c r="AH16" s="170" cm="1">
        <f t="array" aca="1" ref="AH16" ca="1">CELL("protect",J16)</f>
        <v>0</v>
      </c>
      <c r="AI16" s="170" cm="1">
        <f t="array" aca="1" ref="AI16" ca="1">CELL("protect",K16)</f>
        <v>0</v>
      </c>
      <c r="AJ16" s="170" cm="1">
        <f t="array" aca="1" ref="AJ16" ca="1">CELL("protect",L16)</f>
        <v>0</v>
      </c>
      <c r="AK16" s="170"/>
      <c r="AL16" s="170"/>
      <c r="AM16" s="170"/>
    </row>
    <row r="17" spans="1:39" x14ac:dyDescent="0.25">
      <c r="A17" s="985">
        <f>ROW()</f>
        <v>17</v>
      </c>
      <c r="B17" s="1011" t="s">
        <v>973</v>
      </c>
      <c r="C17" s="1010">
        <v>1000000</v>
      </c>
      <c r="D17" s="305">
        <v>306</v>
      </c>
      <c r="E17" s="1005">
        <f t="shared" si="0"/>
        <v>2142</v>
      </c>
      <c r="F17" s="1006">
        <v>306</v>
      </c>
      <c r="G17" s="1007">
        <f t="shared" si="1"/>
        <v>306</v>
      </c>
      <c r="H17" s="1008">
        <f t="shared" si="1"/>
        <v>306</v>
      </c>
      <c r="I17" s="1008">
        <f t="shared" si="1"/>
        <v>306</v>
      </c>
      <c r="J17" s="1008">
        <f t="shared" si="1"/>
        <v>306</v>
      </c>
      <c r="K17" s="1008">
        <f t="shared" si="1"/>
        <v>306</v>
      </c>
      <c r="L17" s="1008">
        <f t="shared" si="1"/>
        <v>306</v>
      </c>
      <c r="N17" s="104"/>
      <c r="Y17" s="170" cm="1">
        <f t="array" aca="1" ref="Y17" ca="1">CELL("protect",A17)</f>
        <v>1</v>
      </c>
      <c r="Z17" s="170" cm="1">
        <f t="array" aca="1" ref="Z17" ca="1">CELL("protect",B17)</f>
        <v>1</v>
      </c>
      <c r="AA17" s="170" cm="1">
        <f t="array" aca="1" ref="AA17" ca="1">CELL("protect",C17)</f>
        <v>1</v>
      </c>
      <c r="AB17" s="170" cm="1">
        <f t="array" aca="1" ref="AB17" ca="1">CELL("protect",D17)</f>
        <v>0</v>
      </c>
      <c r="AC17" s="170" cm="1">
        <f t="array" aca="1" ref="AC17" ca="1">CELL("protect",E17)</f>
        <v>0</v>
      </c>
      <c r="AD17" s="170" cm="1">
        <f t="array" aca="1" ref="AD17" ca="1">CELL("protect",F17)</f>
        <v>0</v>
      </c>
      <c r="AE17" s="170" cm="1">
        <f t="array" aca="1" ref="AE17" ca="1">CELL("protect",G17)</f>
        <v>0</v>
      </c>
      <c r="AF17" s="170" cm="1">
        <f t="array" aca="1" ref="AF17" ca="1">CELL("protect",H17)</f>
        <v>0</v>
      </c>
      <c r="AG17" s="170" cm="1">
        <f t="array" aca="1" ref="AG17" ca="1">CELL("protect",I17)</f>
        <v>0</v>
      </c>
      <c r="AH17" s="170" cm="1">
        <f t="array" aca="1" ref="AH17" ca="1">CELL("protect",J17)</f>
        <v>0</v>
      </c>
      <c r="AI17" s="170" cm="1">
        <f t="array" aca="1" ref="AI17" ca="1">CELL("protect",K17)</f>
        <v>0</v>
      </c>
      <c r="AJ17" s="170" cm="1">
        <f t="array" aca="1" ref="AJ17" ca="1">CELL("protect",L17)</f>
        <v>0</v>
      </c>
      <c r="AK17" s="170"/>
      <c r="AL17" s="170"/>
      <c r="AM17" s="170"/>
    </row>
    <row r="18" spans="1:39" ht="30" x14ac:dyDescent="0.25">
      <c r="A18" s="1002">
        <f>ROW()</f>
        <v>18</v>
      </c>
      <c r="B18" s="1003" t="s">
        <v>974</v>
      </c>
      <c r="C18" s="1010">
        <v>1000000</v>
      </c>
      <c r="D18" s="305">
        <v>0</v>
      </c>
      <c r="E18" s="1005">
        <f t="shared" si="0"/>
        <v>0</v>
      </c>
      <c r="F18" s="1006">
        <v>0</v>
      </c>
      <c r="G18" s="1007">
        <f t="shared" si="1"/>
        <v>0</v>
      </c>
      <c r="H18" s="1008">
        <f t="shared" si="1"/>
        <v>0</v>
      </c>
      <c r="I18" s="1008">
        <f t="shared" si="1"/>
        <v>0</v>
      </c>
      <c r="J18" s="1008">
        <f t="shared" si="1"/>
        <v>0</v>
      </c>
      <c r="K18" s="1008">
        <f t="shared" si="1"/>
        <v>0</v>
      </c>
      <c r="L18" s="1008">
        <f t="shared" si="1"/>
        <v>0</v>
      </c>
      <c r="N18" s="104"/>
      <c r="Y18" s="170" cm="1">
        <f t="array" aca="1" ref="Y18" ca="1">CELL("protect",A18)</f>
        <v>1</v>
      </c>
      <c r="Z18" s="170" cm="1">
        <f t="array" aca="1" ref="Z18" ca="1">CELL("protect",B18)</f>
        <v>1</v>
      </c>
      <c r="AA18" s="170" cm="1">
        <f t="array" aca="1" ref="AA18" ca="1">CELL("protect",C18)</f>
        <v>1</v>
      </c>
      <c r="AB18" s="170" cm="1">
        <f t="array" aca="1" ref="AB18" ca="1">CELL("protect",D18)</f>
        <v>0</v>
      </c>
      <c r="AC18" s="170" cm="1">
        <f t="array" aca="1" ref="AC18" ca="1">CELL("protect",E18)</f>
        <v>0</v>
      </c>
      <c r="AD18" s="170" cm="1">
        <f t="array" aca="1" ref="AD18" ca="1">CELL("protect",F18)</f>
        <v>0</v>
      </c>
      <c r="AE18" s="170" cm="1">
        <f t="array" aca="1" ref="AE18" ca="1">CELL("protect",G18)</f>
        <v>0</v>
      </c>
      <c r="AF18" s="170" cm="1">
        <f t="array" aca="1" ref="AF18" ca="1">CELL("protect",H18)</f>
        <v>0</v>
      </c>
      <c r="AG18" s="170" cm="1">
        <f t="array" aca="1" ref="AG18" ca="1">CELL("protect",I18)</f>
        <v>0</v>
      </c>
      <c r="AH18" s="170" cm="1">
        <f t="array" aca="1" ref="AH18" ca="1">CELL("protect",J18)</f>
        <v>0</v>
      </c>
      <c r="AI18" s="170" cm="1">
        <f t="array" aca="1" ref="AI18" ca="1">CELL("protect",K18)</f>
        <v>0</v>
      </c>
      <c r="AJ18" s="170" cm="1">
        <f t="array" aca="1" ref="AJ18" ca="1">CELL("protect",L18)</f>
        <v>0</v>
      </c>
      <c r="AK18" s="170"/>
      <c r="AL18" s="170"/>
      <c r="AM18" s="170"/>
    </row>
    <row r="19" spans="1:39" x14ac:dyDescent="0.25">
      <c r="A19" s="985">
        <f>ROW()</f>
        <v>19</v>
      </c>
      <c r="B19" s="1009" t="s">
        <v>975</v>
      </c>
      <c r="C19" s="1010">
        <v>1000000</v>
      </c>
      <c r="D19" s="305">
        <v>336</v>
      </c>
      <c r="E19" s="1005">
        <f t="shared" si="0"/>
        <v>2352</v>
      </c>
      <c r="F19" s="1006">
        <v>336</v>
      </c>
      <c r="G19" s="1007">
        <f t="shared" si="1"/>
        <v>336</v>
      </c>
      <c r="H19" s="1008">
        <f t="shared" si="1"/>
        <v>336</v>
      </c>
      <c r="I19" s="1008">
        <f t="shared" si="1"/>
        <v>336</v>
      </c>
      <c r="J19" s="1008">
        <f t="shared" si="1"/>
        <v>336</v>
      </c>
      <c r="K19" s="1008">
        <f t="shared" si="1"/>
        <v>336</v>
      </c>
      <c r="L19" s="1008">
        <f t="shared" si="1"/>
        <v>336</v>
      </c>
      <c r="N19" s="104"/>
      <c r="Y19" s="170" cm="1">
        <f t="array" aca="1" ref="Y19" ca="1">CELL("protect",A19)</f>
        <v>1</v>
      </c>
      <c r="Z19" s="170" cm="1">
        <f t="array" aca="1" ref="Z19" ca="1">CELL("protect",B19)</f>
        <v>1</v>
      </c>
      <c r="AA19" s="170" cm="1">
        <f t="array" aca="1" ref="AA19" ca="1">CELL("protect",C19)</f>
        <v>1</v>
      </c>
      <c r="AB19" s="170" cm="1">
        <f t="array" aca="1" ref="AB19" ca="1">CELL("protect",D19)</f>
        <v>0</v>
      </c>
      <c r="AC19" s="170" cm="1">
        <f t="array" aca="1" ref="AC19" ca="1">CELL("protect",E19)</f>
        <v>0</v>
      </c>
      <c r="AD19" s="170" cm="1">
        <f t="array" aca="1" ref="AD19" ca="1">CELL("protect",F19)</f>
        <v>0</v>
      </c>
      <c r="AE19" s="170" cm="1">
        <f t="array" aca="1" ref="AE19" ca="1">CELL("protect",G19)</f>
        <v>0</v>
      </c>
      <c r="AF19" s="170" cm="1">
        <f t="array" aca="1" ref="AF19" ca="1">CELL("protect",H19)</f>
        <v>0</v>
      </c>
      <c r="AG19" s="170" cm="1">
        <f t="array" aca="1" ref="AG19" ca="1">CELL("protect",I19)</f>
        <v>0</v>
      </c>
      <c r="AH19" s="170" cm="1">
        <f t="array" aca="1" ref="AH19" ca="1">CELL("protect",J19)</f>
        <v>0</v>
      </c>
      <c r="AI19" s="170" cm="1">
        <f t="array" aca="1" ref="AI19" ca="1">CELL("protect",K19)</f>
        <v>0</v>
      </c>
      <c r="AJ19" s="170" cm="1">
        <f t="array" aca="1" ref="AJ19" ca="1">CELL("protect",L19)</f>
        <v>0</v>
      </c>
      <c r="AK19" s="170"/>
      <c r="AL19" s="170"/>
      <c r="AM19" s="170"/>
    </row>
    <row r="20" spans="1:39" x14ac:dyDescent="0.25">
      <c r="A20" s="985">
        <f>ROW()</f>
        <v>20</v>
      </c>
      <c r="B20" s="1009" t="s">
        <v>976</v>
      </c>
      <c r="C20" s="1010">
        <v>1000000</v>
      </c>
      <c r="D20" s="305">
        <v>0</v>
      </c>
      <c r="E20" s="1005">
        <f t="shared" si="0"/>
        <v>0</v>
      </c>
      <c r="F20" s="1006">
        <v>0</v>
      </c>
      <c r="G20" s="1007">
        <f t="shared" si="1"/>
        <v>0</v>
      </c>
      <c r="H20" s="1008">
        <f t="shared" si="1"/>
        <v>0</v>
      </c>
      <c r="I20" s="1008">
        <f t="shared" si="1"/>
        <v>0</v>
      </c>
      <c r="J20" s="1008">
        <f t="shared" si="1"/>
        <v>0</v>
      </c>
      <c r="K20" s="1008">
        <f t="shared" si="1"/>
        <v>0</v>
      </c>
      <c r="L20" s="1008">
        <f t="shared" si="1"/>
        <v>0</v>
      </c>
      <c r="N20" s="104"/>
      <c r="Y20" s="170" cm="1">
        <f t="array" aca="1" ref="Y20" ca="1">CELL("protect",A20)</f>
        <v>1</v>
      </c>
      <c r="Z20" s="170" cm="1">
        <f t="array" aca="1" ref="Z20" ca="1">CELL("protect",B20)</f>
        <v>1</v>
      </c>
      <c r="AA20" s="170" cm="1">
        <f t="array" aca="1" ref="AA20" ca="1">CELL("protect",C20)</f>
        <v>1</v>
      </c>
      <c r="AB20" s="170" cm="1">
        <f t="array" aca="1" ref="AB20" ca="1">CELL("protect",D20)</f>
        <v>0</v>
      </c>
      <c r="AC20" s="170" cm="1">
        <f t="array" aca="1" ref="AC20" ca="1">CELL("protect",E20)</f>
        <v>0</v>
      </c>
      <c r="AD20" s="170" cm="1">
        <f t="array" aca="1" ref="AD20" ca="1">CELL("protect",F20)</f>
        <v>0</v>
      </c>
      <c r="AE20" s="170" cm="1">
        <f t="array" aca="1" ref="AE20" ca="1">CELL("protect",G20)</f>
        <v>0</v>
      </c>
      <c r="AF20" s="170" cm="1">
        <f t="array" aca="1" ref="AF20" ca="1">CELL("protect",H20)</f>
        <v>0</v>
      </c>
      <c r="AG20" s="170" cm="1">
        <f t="array" aca="1" ref="AG20" ca="1">CELL("protect",I20)</f>
        <v>0</v>
      </c>
      <c r="AH20" s="170" cm="1">
        <f t="array" aca="1" ref="AH20" ca="1">CELL("protect",J20)</f>
        <v>0</v>
      </c>
      <c r="AI20" s="170" cm="1">
        <f t="array" aca="1" ref="AI20" ca="1">CELL("protect",K20)</f>
        <v>0</v>
      </c>
      <c r="AJ20" s="170" cm="1">
        <f t="array" aca="1" ref="AJ20" ca="1">CELL("protect",L20)</f>
        <v>0</v>
      </c>
      <c r="AK20" s="170"/>
      <c r="AL20" s="170"/>
      <c r="AM20" s="170"/>
    </row>
    <row r="21" spans="1:39" x14ac:dyDescent="0.25">
      <c r="A21" s="985">
        <f>ROW()</f>
        <v>21</v>
      </c>
      <c r="B21" s="1012"/>
      <c r="C21" s="1013"/>
      <c r="D21" s="1013"/>
      <c r="E21" s="1005"/>
      <c r="F21" s="1014"/>
      <c r="G21" s="1015"/>
      <c r="H21" s="1016"/>
      <c r="I21" s="1016"/>
      <c r="J21" s="1016"/>
      <c r="K21" s="1016"/>
      <c r="L21" s="1016"/>
      <c r="N21" s="104"/>
      <c r="Y21" s="170" cm="1">
        <f t="array" aca="1" ref="Y21" ca="1">CELL("protect",A21)</f>
        <v>1</v>
      </c>
      <c r="Z21" s="170" cm="1">
        <f t="array" aca="1" ref="Z21" ca="1">CELL("protect",B21)</f>
        <v>0</v>
      </c>
      <c r="AA21" s="170" cm="1">
        <f t="array" aca="1" ref="AA21" ca="1">CELL("protect",C21)</f>
        <v>0</v>
      </c>
      <c r="AB21" s="170" cm="1">
        <f t="array" aca="1" ref="AB21" ca="1">CELL("protect",D21)</f>
        <v>0</v>
      </c>
      <c r="AC21" s="170" cm="1">
        <f t="array" aca="1" ref="AC21" ca="1">CELL("protect",E21)</f>
        <v>0</v>
      </c>
      <c r="AD21" s="170" cm="1">
        <f t="array" aca="1" ref="AD21" ca="1">CELL("protect",F21)</f>
        <v>0</v>
      </c>
      <c r="AE21" s="170" cm="1">
        <f t="array" aca="1" ref="AE21" ca="1">CELL("protect",G21)</f>
        <v>0</v>
      </c>
      <c r="AF21" s="170" cm="1">
        <f t="array" aca="1" ref="AF21" ca="1">CELL("protect",H21)</f>
        <v>0</v>
      </c>
      <c r="AG21" s="170" cm="1">
        <f t="array" aca="1" ref="AG21" ca="1">CELL("protect",I21)</f>
        <v>0</v>
      </c>
      <c r="AH21" s="170" cm="1">
        <f t="array" aca="1" ref="AH21" ca="1">CELL("protect",J21)</f>
        <v>0</v>
      </c>
      <c r="AI21" s="170" cm="1">
        <f t="array" aca="1" ref="AI21" ca="1">CELL("protect",K21)</f>
        <v>0</v>
      </c>
      <c r="AJ21" s="170" cm="1">
        <f t="array" aca="1" ref="AJ21" ca="1">CELL("protect",L21)</f>
        <v>0</v>
      </c>
      <c r="AK21" s="170"/>
      <c r="AL21" s="170"/>
      <c r="AM21" s="170"/>
    </row>
    <row r="22" spans="1:39" x14ac:dyDescent="0.25">
      <c r="A22" s="985">
        <f>ROW()</f>
        <v>22</v>
      </c>
      <c r="B22" s="990" t="s">
        <v>977</v>
      </c>
      <c r="C22" s="1017"/>
      <c r="D22" s="1017"/>
      <c r="E22" s="1018"/>
      <c r="F22" s="1019"/>
      <c r="G22" s="1020"/>
      <c r="H22" s="1021"/>
      <c r="I22" s="1021"/>
      <c r="J22" s="1021"/>
      <c r="K22" s="1021"/>
      <c r="L22" s="1021"/>
      <c r="N22" s="104"/>
      <c r="Y22" s="170"/>
      <c r="Z22" s="170"/>
      <c r="AA22" s="170"/>
      <c r="AB22" s="170"/>
      <c r="AC22" s="170"/>
      <c r="AD22" s="170"/>
      <c r="AE22" s="170"/>
      <c r="AF22" s="170"/>
      <c r="AG22" s="170"/>
      <c r="AH22" s="170"/>
      <c r="AI22" s="170"/>
      <c r="AJ22" s="170"/>
      <c r="AK22" s="170"/>
      <c r="AL22" s="170"/>
      <c r="AM22" s="170"/>
    </row>
    <row r="23" spans="1:39" x14ac:dyDescent="0.25">
      <c r="A23" s="985">
        <f>ROW()</f>
        <v>23</v>
      </c>
      <c r="B23" s="1022" t="s">
        <v>978</v>
      </c>
      <c r="C23" s="1010" t="s">
        <v>979</v>
      </c>
      <c r="D23" s="305">
        <v>0</v>
      </c>
      <c r="E23" s="1023">
        <f t="shared" ref="E23" si="2">SUM(F23:L23)</f>
        <v>0</v>
      </c>
      <c r="F23" s="1006">
        <v>0</v>
      </c>
      <c r="G23" s="1007">
        <v>0</v>
      </c>
      <c r="H23" s="1008">
        <v>0</v>
      </c>
      <c r="I23" s="1008">
        <v>0</v>
      </c>
      <c r="J23" s="1008">
        <v>0</v>
      </c>
      <c r="K23" s="1008">
        <v>0</v>
      </c>
      <c r="L23" s="1008">
        <v>0</v>
      </c>
      <c r="N23" s="104"/>
      <c r="Y23" s="170"/>
      <c r="Z23" s="170"/>
      <c r="AA23" s="170"/>
      <c r="AB23" s="170"/>
      <c r="AC23" s="170"/>
      <c r="AD23" s="170"/>
      <c r="AE23" s="170"/>
      <c r="AF23" s="170"/>
      <c r="AG23" s="170"/>
      <c r="AH23" s="170"/>
      <c r="AI23" s="170"/>
      <c r="AJ23" s="170"/>
      <c r="AK23" s="170"/>
      <c r="AL23" s="170"/>
      <c r="AM23" s="170"/>
    </row>
    <row r="24" spans="1:39" x14ac:dyDescent="0.25">
      <c r="A24" s="985">
        <f>ROW()</f>
        <v>24</v>
      </c>
      <c r="B24" s="1022" t="s">
        <v>980</v>
      </c>
      <c r="C24" s="1017"/>
      <c r="D24" s="1017"/>
      <c r="E24" s="1024"/>
      <c r="F24" s="1019"/>
      <c r="G24" s="1020"/>
      <c r="H24" s="1021"/>
      <c r="I24" s="1021"/>
      <c r="J24" s="1021"/>
      <c r="K24" s="1021"/>
      <c r="L24" s="1021"/>
      <c r="N24" s="104"/>
      <c r="Y24" s="170"/>
      <c r="Z24" s="170"/>
      <c r="AA24" s="170"/>
      <c r="AB24" s="170"/>
      <c r="AC24" s="170"/>
      <c r="AD24" s="170"/>
      <c r="AE24" s="170"/>
      <c r="AF24" s="170"/>
      <c r="AG24" s="170"/>
      <c r="AH24" s="170"/>
      <c r="AI24" s="170"/>
      <c r="AJ24" s="170"/>
      <c r="AK24" s="170"/>
      <c r="AL24" s="170"/>
      <c r="AM24" s="170"/>
    </row>
    <row r="25" spans="1:39" x14ac:dyDescent="0.25">
      <c r="A25" s="985">
        <f>ROW()</f>
        <v>25</v>
      </c>
      <c r="B25" s="1025"/>
      <c r="C25" s="1017"/>
      <c r="D25" s="1017"/>
      <c r="E25" s="1024"/>
      <c r="F25" s="1019"/>
      <c r="G25" s="1020"/>
      <c r="H25" s="1021"/>
      <c r="I25" s="1021"/>
      <c r="J25" s="1021"/>
      <c r="K25" s="1021"/>
      <c r="L25" s="1021"/>
      <c r="N25" s="104"/>
      <c r="Y25" s="170"/>
      <c r="Z25" s="170"/>
      <c r="AA25" s="170"/>
      <c r="AB25" s="170"/>
      <c r="AC25" s="170"/>
      <c r="AD25" s="170"/>
      <c r="AE25" s="170"/>
      <c r="AF25" s="170"/>
      <c r="AG25" s="170"/>
      <c r="AH25" s="170"/>
      <c r="AI25" s="170"/>
      <c r="AJ25" s="170"/>
      <c r="AK25" s="170"/>
      <c r="AL25" s="170"/>
      <c r="AM25" s="170"/>
    </row>
    <row r="26" spans="1:39" x14ac:dyDescent="0.25">
      <c r="A26" s="985">
        <f>ROW()</f>
        <v>26</v>
      </c>
      <c r="B26" s="1026" t="s">
        <v>981</v>
      </c>
      <c r="C26" s="992"/>
      <c r="D26" s="992"/>
      <c r="E26" s="1024"/>
      <c r="F26" s="1019"/>
      <c r="G26" s="1020"/>
      <c r="H26" s="1021"/>
      <c r="I26" s="1021"/>
      <c r="J26" s="1021"/>
      <c r="K26" s="1021"/>
      <c r="L26" s="1021"/>
      <c r="N26" s="104"/>
      <c r="Y26" s="170" cm="1">
        <f t="array" aca="1" ref="Y26" ca="1">CELL("protect",A26)</f>
        <v>1</v>
      </c>
      <c r="Z26" s="170" cm="1">
        <f t="array" aca="1" ref="Z26" ca="1">CELL("protect",B26)</f>
        <v>0</v>
      </c>
      <c r="AA26" s="170" cm="1">
        <f t="array" aca="1" ref="AA26" ca="1">CELL("protect",C26)</f>
        <v>0</v>
      </c>
      <c r="AB26" s="170" cm="1">
        <f t="array" aca="1" ref="AB26" ca="1">CELL("protect",D26)</f>
        <v>0</v>
      </c>
      <c r="AC26" s="170" cm="1">
        <f t="array" aca="1" ref="AC26" ca="1">CELL("protect",E26)</f>
        <v>1</v>
      </c>
      <c r="AD26" s="170" cm="1">
        <f t="array" aca="1" ref="AD26" ca="1">CELL("protect",F26)</f>
        <v>0</v>
      </c>
      <c r="AE26" s="170" cm="1">
        <f t="array" aca="1" ref="AE26" ca="1">CELL("protect",G26)</f>
        <v>0</v>
      </c>
      <c r="AF26" s="170" cm="1">
        <f t="array" aca="1" ref="AF26" ca="1">CELL("protect",H26)</f>
        <v>0</v>
      </c>
      <c r="AG26" s="170" cm="1">
        <f t="array" aca="1" ref="AG26" ca="1">CELL("protect",I26)</f>
        <v>0</v>
      </c>
      <c r="AH26" s="170" cm="1">
        <f t="array" aca="1" ref="AH26" ca="1">CELL("protect",J26)</f>
        <v>0</v>
      </c>
      <c r="AI26" s="170" cm="1">
        <f t="array" aca="1" ref="AI26" ca="1">CELL("protect",K26)</f>
        <v>0</v>
      </c>
      <c r="AJ26" s="170" cm="1">
        <f t="array" aca="1" ref="AJ26" ca="1">CELL("protect",L26)</f>
        <v>0</v>
      </c>
      <c r="AK26" s="170"/>
      <c r="AL26" s="170"/>
      <c r="AM26" s="170"/>
    </row>
    <row r="27" spans="1:39" x14ac:dyDescent="0.25">
      <c r="A27" s="985">
        <f>ROW()</f>
        <v>27</v>
      </c>
      <c r="B27" s="932" t="s">
        <v>982</v>
      </c>
      <c r="C27" s="1027"/>
      <c r="D27" s="1027">
        <v>3849</v>
      </c>
      <c r="E27" s="1028">
        <f t="shared" ref="E27:E48" si="3">SUM(F27:L27)</f>
        <v>26943</v>
      </c>
      <c r="F27" s="1029">
        <v>3849</v>
      </c>
      <c r="G27" s="1030">
        <f t="shared" ref="G27:L45" si="4">+$D27</f>
        <v>3849</v>
      </c>
      <c r="H27" s="1031">
        <f t="shared" si="4"/>
        <v>3849</v>
      </c>
      <c r="I27" s="1031">
        <f t="shared" si="4"/>
        <v>3849</v>
      </c>
      <c r="J27" s="1031">
        <f t="shared" si="4"/>
        <v>3849</v>
      </c>
      <c r="K27" s="1031">
        <f t="shared" si="4"/>
        <v>3849</v>
      </c>
      <c r="L27" s="1031">
        <f t="shared" si="4"/>
        <v>3849</v>
      </c>
      <c r="N27" s="104"/>
      <c r="Y27" s="170" cm="1">
        <f t="array" aca="1" ref="Y27" ca="1">CELL("protect",A27)</f>
        <v>1</v>
      </c>
      <c r="Z27" s="170" cm="1">
        <f t="array" aca="1" ref="Z27" ca="1">CELL("protect",B27)</f>
        <v>0</v>
      </c>
      <c r="AA27" s="170" cm="1">
        <f t="array" aca="1" ref="AA27" ca="1">CELL("protect",C27)</f>
        <v>0</v>
      </c>
      <c r="AB27" s="170" cm="1">
        <f t="array" aca="1" ref="AB27" ca="1">CELL("protect",D27)</f>
        <v>0</v>
      </c>
      <c r="AC27" s="170" cm="1">
        <f t="array" aca="1" ref="AC27" ca="1">CELL("protect",E27)</f>
        <v>0</v>
      </c>
      <c r="AD27" s="170" cm="1">
        <f t="array" aca="1" ref="AD27" ca="1">CELL("protect",F27)</f>
        <v>0</v>
      </c>
      <c r="AE27" s="170" cm="1">
        <f t="array" aca="1" ref="AE27" ca="1">CELL("protect",G27)</f>
        <v>0</v>
      </c>
      <c r="AF27" s="170" cm="1">
        <f t="array" aca="1" ref="AF27" ca="1">CELL("protect",H27)</f>
        <v>0</v>
      </c>
      <c r="AG27" s="170" cm="1">
        <f t="array" aca="1" ref="AG27" ca="1">CELL("protect",I27)</f>
        <v>0</v>
      </c>
      <c r="AH27" s="170" cm="1">
        <f t="array" aca="1" ref="AH27" ca="1">CELL("protect",J27)</f>
        <v>0</v>
      </c>
      <c r="AI27" s="170" cm="1">
        <f t="array" aca="1" ref="AI27" ca="1">CELL("protect",K27)</f>
        <v>0</v>
      </c>
      <c r="AJ27" s="170" cm="1">
        <f t="array" aca="1" ref="AJ27" ca="1">CELL("protect",L27)</f>
        <v>0</v>
      </c>
      <c r="AK27" s="170"/>
      <c r="AL27" s="170"/>
      <c r="AM27" s="170"/>
    </row>
    <row r="28" spans="1:39" x14ac:dyDescent="0.25">
      <c r="A28" s="985">
        <f>ROW()</f>
        <v>28</v>
      </c>
      <c r="B28" s="1032" t="s">
        <v>983</v>
      </c>
      <c r="C28" s="305">
        <v>0</v>
      </c>
      <c r="D28" s="305"/>
      <c r="E28" s="1005">
        <f t="shared" si="3"/>
        <v>0</v>
      </c>
      <c r="F28" s="1006">
        <v>0</v>
      </c>
      <c r="G28" s="1007">
        <f t="shared" si="4"/>
        <v>0</v>
      </c>
      <c r="H28" s="1008">
        <f t="shared" si="4"/>
        <v>0</v>
      </c>
      <c r="I28" s="1008">
        <f t="shared" si="4"/>
        <v>0</v>
      </c>
      <c r="J28" s="1008">
        <f t="shared" si="4"/>
        <v>0</v>
      </c>
      <c r="K28" s="1008">
        <f t="shared" si="4"/>
        <v>0</v>
      </c>
      <c r="L28" s="1008">
        <f t="shared" si="4"/>
        <v>0</v>
      </c>
      <c r="N28" s="104" t="s">
        <v>984</v>
      </c>
      <c r="Y28" s="170" cm="1">
        <f t="array" aca="1" ref="Y28" ca="1">CELL("protect",A28)</f>
        <v>1</v>
      </c>
      <c r="Z28" s="170" cm="1">
        <f t="array" aca="1" ref="Z28" ca="1">CELL("protect",B28)</f>
        <v>0</v>
      </c>
      <c r="AA28" s="170" cm="1">
        <f t="array" aca="1" ref="AA28" ca="1">CELL("protect",C28)</f>
        <v>0</v>
      </c>
      <c r="AB28" s="170" cm="1">
        <f t="array" aca="1" ref="AB28" ca="1">CELL("protect",D28)</f>
        <v>0</v>
      </c>
      <c r="AC28" s="170" cm="1">
        <f t="array" aca="1" ref="AC28" ca="1">CELL("protect",E28)</f>
        <v>0</v>
      </c>
      <c r="AD28" s="170" cm="1">
        <f t="array" aca="1" ref="AD28" ca="1">CELL("protect",F28)</f>
        <v>0</v>
      </c>
      <c r="AE28" s="170" cm="1">
        <f t="array" aca="1" ref="AE28" ca="1">CELL("protect",G28)</f>
        <v>0</v>
      </c>
      <c r="AF28" s="170" cm="1">
        <f t="array" aca="1" ref="AF28" ca="1">CELL("protect",H28)</f>
        <v>0</v>
      </c>
      <c r="AG28" s="170" cm="1">
        <f t="array" aca="1" ref="AG28" ca="1">CELL("protect",I28)</f>
        <v>0</v>
      </c>
      <c r="AH28" s="170" cm="1">
        <f t="array" aca="1" ref="AH28" ca="1">CELL("protect",J28)</f>
        <v>0</v>
      </c>
      <c r="AI28" s="170" cm="1">
        <f t="array" aca="1" ref="AI28" ca="1">CELL("protect",K28)</f>
        <v>0</v>
      </c>
      <c r="AJ28" s="170" cm="1">
        <f t="array" aca="1" ref="AJ28" ca="1">CELL("protect",L28)</f>
        <v>0</v>
      </c>
      <c r="AK28" s="170"/>
      <c r="AL28" s="170"/>
      <c r="AM28" s="170"/>
    </row>
    <row r="29" spans="1:39" x14ac:dyDescent="0.25">
      <c r="A29" s="985">
        <f>ROW()</f>
        <v>29</v>
      </c>
      <c r="B29" s="302" t="s">
        <v>985</v>
      </c>
      <c r="C29" s="305">
        <v>0</v>
      </c>
      <c r="D29" s="305">
        <v>14386</v>
      </c>
      <c r="E29" s="1005">
        <f t="shared" si="3"/>
        <v>100702</v>
      </c>
      <c r="F29" s="1006">
        <v>14386</v>
      </c>
      <c r="G29" s="1007">
        <f t="shared" si="4"/>
        <v>14386</v>
      </c>
      <c r="H29" s="1008">
        <f t="shared" si="4"/>
        <v>14386</v>
      </c>
      <c r="I29" s="1008">
        <f t="shared" si="4"/>
        <v>14386</v>
      </c>
      <c r="J29" s="1008">
        <f t="shared" si="4"/>
        <v>14386</v>
      </c>
      <c r="K29" s="1008">
        <f t="shared" si="4"/>
        <v>14386</v>
      </c>
      <c r="L29" s="1008">
        <f t="shared" si="4"/>
        <v>14386</v>
      </c>
      <c r="N29" s="104"/>
      <c r="Y29" s="170" cm="1">
        <f t="array" aca="1" ref="Y29" ca="1">CELL("protect",A29)</f>
        <v>1</v>
      </c>
      <c r="Z29" s="170" cm="1">
        <f t="array" aca="1" ref="Z29" ca="1">CELL("protect",B29)</f>
        <v>0</v>
      </c>
      <c r="AA29" s="170" cm="1">
        <f t="array" aca="1" ref="AA29" ca="1">CELL("protect",C29)</f>
        <v>0</v>
      </c>
      <c r="AB29" s="170" cm="1">
        <f t="array" aca="1" ref="AB29" ca="1">CELL("protect",D29)</f>
        <v>0</v>
      </c>
      <c r="AC29" s="170" cm="1">
        <f t="array" aca="1" ref="AC29" ca="1">CELL("protect",E29)</f>
        <v>0</v>
      </c>
      <c r="AD29" s="170" cm="1">
        <f t="array" aca="1" ref="AD29" ca="1">CELL("protect",F29)</f>
        <v>0</v>
      </c>
      <c r="AE29" s="170" cm="1">
        <f t="array" aca="1" ref="AE29" ca="1">CELL("protect",G29)</f>
        <v>0</v>
      </c>
      <c r="AF29" s="170" cm="1">
        <f t="array" aca="1" ref="AF29" ca="1">CELL("protect",H29)</f>
        <v>0</v>
      </c>
      <c r="AG29" s="170" cm="1">
        <f t="array" aca="1" ref="AG29" ca="1">CELL("protect",I29)</f>
        <v>0</v>
      </c>
      <c r="AH29" s="170" cm="1">
        <f t="array" aca="1" ref="AH29" ca="1">CELL("protect",J29)</f>
        <v>0</v>
      </c>
      <c r="AI29" s="170" cm="1">
        <f t="array" aca="1" ref="AI29" ca="1">CELL("protect",K29)</f>
        <v>0</v>
      </c>
      <c r="AJ29" s="170" cm="1">
        <f t="array" aca="1" ref="AJ29" ca="1">CELL("protect",L29)</f>
        <v>0</v>
      </c>
      <c r="AK29" s="170"/>
      <c r="AL29" s="170"/>
      <c r="AM29" s="170"/>
    </row>
    <row r="30" spans="1:39" x14ac:dyDescent="0.25">
      <c r="A30" s="985">
        <f>ROW()</f>
        <v>30</v>
      </c>
      <c r="B30" s="302" t="s">
        <v>986</v>
      </c>
      <c r="C30" s="305">
        <v>0</v>
      </c>
      <c r="D30" s="305"/>
      <c r="E30" s="1005">
        <f t="shared" si="3"/>
        <v>0</v>
      </c>
      <c r="F30" s="1006">
        <v>0</v>
      </c>
      <c r="G30" s="1007">
        <f t="shared" si="4"/>
        <v>0</v>
      </c>
      <c r="H30" s="1008">
        <f t="shared" si="4"/>
        <v>0</v>
      </c>
      <c r="I30" s="1008">
        <f t="shared" si="4"/>
        <v>0</v>
      </c>
      <c r="J30" s="1008">
        <f t="shared" si="4"/>
        <v>0</v>
      </c>
      <c r="K30" s="1008">
        <f t="shared" si="4"/>
        <v>0</v>
      </c>
      <c r="L30" s="1008">
        <f t="shared" si="4"/>
        <v>0</v>
      </c>
      <c r="N30" s="104"/>
      <c r="Y30" s="170" cm="1">
        <f t="array" aca="1" ref="Y30" ca="1">CELL("protect",A30)</f>
        <v>1</v>
      </c>
      <c r="Z30" s="170" cm="1">
        <f t="array" aca="1" ref="Z30" ca="1">CELL("protect",B30)</f>
        <v>0</v>
      </c>
      <c r="AA30" s="170" cm="1">
        <f t="array" aca="1" ref="AA30" ca="1">CELL("protect",C30)</f>
        <v>0</v>
      </c>
      <c r="AB30" s="170" cm="1">
        <f t="array" aca="1" ref="AB30" ca="1">CELL("protect",D30)</f>
        <v>0</v>
      </c>
      <c r="AC30" s="170" cm="1">
        <f t="array" aca="1" ref="AC30" ca="1">CELL("protect",E30)</f>
        <v>0</v>
      </c>
      <c r="AD30" s="170" cm="1">
        <f t="array" aca="1" ref="AD30" ca="1">CELL("protect",F30)</f>
        <v>0</v>
      </c>
      <c r="AE30" s="170" cm="1">
        <f t="array" aca="1" ref="AE30" ca="1">CELL("protect",G30)</f>
        <v>0</v>
      </c>
      <c r="AF30" s="170" cm="1">
        <f t="array" aca="1" ref="AF30" ca="1">CELL("protect",H30)</f>
        <v>0</v>
      </c>
      <c r="AG30" s="170" cm="1">
        <f t="array" aca="1" ref="AG30" ca="1">CELL("protect",I30)</f>
        <v>0</v>
      </c>
      <c r="AH30" s="170" cm="1">
        <f t="array" aca="1" ref="AH30" ca="1">CELL("protect",J30)</f>
        <v>0</v>
      </c>
      <c r="AI30" s="170" cm="1">
        <f t="array" aca="1" ref="AI30" ca="1">CELL("protect",K30)</f>
        <v>0</v>
      </c>
      <c r="AJ30" s="170" cm="1">
        <f t="array" aca="1" ref="AJ30" ca="1">CELL("protect",L30)</f>
        <v>0</v>
      </c>
      <c r="AK30" s="170"/>
      <c r="AL30" s="170"/>
      <c r="AM30" s="170"/>
    </row>
    <row r="31" spans="1:39" x14ac:dyDescent="0.25">
      <c r="A31" s="985">
        <f>ROW()</f>
        <v>31</v>
      </c>
      <c r="B31" s="302" t="s">
        <v>987</v>
      </c>
      <c r="C31" s="305">
        <v>0</v>
      </c>
      <c r="D31" s="305">
        <v>15377</v>
      </c>
      <c r="E31" s="1005">
        <f t="shared" si="3"/>
        <v>107639</v>
      </c>
      <c r="F31" s="1006">
        <v>15377</v>
      </c>
      <c r="G31" s="1007">
        <f t="shared" si="4"/>
        <v>15377</v>
      </c>
      <c r="H31" s="1008">
        <f t="shared" si="4"/>
        <v>15377</v>
      </c>
      <c r="I31" s="1008">
        <f t="shared" si="4"/>
        <v>15377</v>
      </c>
      <c r="J31" s="1008">
        <f t="shared" si="4"/>
        <v>15377</v>
      </c>
      <c r="K31" s="1008">
        <f t="shared" si="4"/>
        <v>15377</v>
      </c>
      <c r="L31" s="1008">
        <f t="shared" si="4"/>
        <v>15377</v>
      </c>
      <c r="N31" s="104"/>
      <c r="Y31" s="170" cm="1">
        <f t="array" aca="1" ref="Y31" ca="1">CELL("protect",A31)</f>
        <v>1</v>
      </c>
      <c r="Z31" s="170" cm="1">
        <f t="array" aca="1" ref="Z31" ca="1">CELL("protect",B31)</f>
        <v>0</v>
      </c>
      <c r="AA31" s="170" cm="1">
        <f t="array" aca="1" ref="AA31" ca="1">CELL("protect",C31)</f>
        <v>0</v>
      </c>
      <c r="AB31" s="170" cm="1">
        <f t="array" aca="1" ref="AB31" ca="1">CELL("protect",D31)</f>
        <v>0</v>
      </c>
      <c r="AC31" s="170" cm="1">
        <f t="array" aca="1" ref="AC31" ca="1">CELL("protect",E31)</f>
        <v>0</v>
      </c>
      <c r="AD31" s="170" cm="1">
        <f t="array" aca="1" ref="AD31" ca="1">CELL("protect",F31)</f>
        <v>0</v>
      </c>
      <c r="AE31" s="170" cm="1">
        <f t="array" aca="1" ref="AE31" ca="1">CELL("protect",G31)</f>
        <v>0</v>
      </c>
      <c r="AF31" s="170" cm="1">
        <f t="array" aca="1" ref="AF31" ca="1">CELL("protect",H31)</f>
        <v>0</v>
      </c>
      <c r="AG31" s="170" cm="1">
        <f t="array" aca="1" ref="AG31" ca="1">CELL("protect",I31)</f>
        <v>0</v>
      </c>
      <c r="AH31" s="170" cm="1">
        <f t="array" aca="1" ref="AH31" ca="1">CELL("protect",J31)</f>
        <v>0</v>
      </c>
      <c r="AI31" s="170" cm="1">
        <f t="array" aca="1" ref="AI31" ca="1">CELL("protect",K31)</f>
        <v>0</v>
      </c>
      <c r="AJ31" s="170" cm="1">
        <f t="array" aca="1" ref="AJ31" ca="1">CELL("protect",L31)</f>
        <v>0</v>
      </c>
      <c r="AK31" s="170"/>
      <c r="AL31" s="170"/>
      <c r="AM31" s="170"/>
    </row>
    <row r="32" spans="1:39" x14ac:dyDescent="0.25">
      <c r="A32" s="985">
        <f>ROW()</f>
        <v>32</v>
      </c>
      <c r="B32" s="302" t="s">
        <v>988</v>
      </c>
      <c r="C32" s="305">
        <v>0</v>
      </c>
      <c r="D32" s="305"/>
      <c r="E32" s="1005">
        <f t="shared" si="3"/>
        <v>0</v>
      </c>
      <c r="F32" s="1006">
        <v>0</v>
      </c>
      <c r="G32" s="1007">
        <f t="shared" si="4"/>
        <v>0</v>
      </c>
      <c r="H32" s="1008">
        <f t="shared" si="4"/>
        <v>0</v>
      </c>
      <c r="I32" s="1008">
        <f t="shared" si="4"/>
        <v>0</v>
      </c>
      <c r="J32" s="1008">
        <f t="shared" si="4"/>
        <v>0</v>
      </c>
      <c r="K32" s="1008">
        <f t="shared" si="4"/>
        <v>0</v>
      </c>
      <c r="L32" s="1008">
        <f t="shared" si="4"/>
        <v>0</v>
      </c>
      <c r="N32" s="104" t="s">
        <v>989</v>
      </c>
      <c r="Y32" s="170" cm="1">
        <f t="array" aca="1" ref="Y32" ca="1">CELL("protect",A32)</f>
        <v>1</v>
      </c>
      <c r="Z32" s="170" cm="1">
        <f t="array" aca="1" ref="Z32" ca="1">CELL("protect",B32)</f>
        <v>0</v>
      </c>
      <c r="AA32" s="170" cm="1">
        <f t="array" aca="1" ref="AA32" ca="1">CELL("protect",C32)</f>
        <v>0</v>
      </c>
      <c r="AB32" s="170" cm="1">
        <f t="array" aca="1" ref="AB32" ca="1">CELL("protect",D32)</f>
        <v>0</v>
      </c>
      <c r="AC32" s="170" cm="1">
        <f t="array" aca="1" ref="AC32" ca="1">CELL("protect",E32)</f>
        <v>0</v>
      </c>
      <c r="AD32" s="170" cm="1">
        <f t="array" aca="1" ref="AD32" ca="1">CELL("protect",F32)</f>
        <v>0</v>
      </c>
      <c r="AE32" s="170" cm="1">
        <f t="array" aca="1" ref="AE32" ca="1">CELL("protect",G32)</f>
        <v>0</v>
      </c>
      <c r="AF32" s="170" cm="1">
        <f t="array" aca="1" ref="AF32" ca="1">CELL("protect",H32)</f>
        <v>0</v>
      </c>
      <c r="AG32" s="170" cm="1">
        <f t="array" aca="1" ref="AG32" ca="1">CELL("protect",I32)</f>
        <v>0</v>
      </c>
      <c r="AH32" s="170" cm="1">
        <f t="array" aca="1" ref="AH32" ca="1">CELL("protect",J32)</f>
        <v>0</v>
      </c>
      <c r="AI32" s="170" cm="1">
        <f t="array" aca="1" ref="AI32" ca="1">CELL("protect",K32)</f>
        <v>0</v>
      </c>
      <c r="AJ32" s="170" cm="1">
        <f t="array" aca="1" ref="AJ32" ca="1">CELL("protect",L32)</f>
        <v>0</v>
      </c>
      <c r="AK32" s="170"/>
      <c r="AL32" s="170"/>
      <c r="AM32" s="170"/>
    </row>
    <row r="33" spans="1:39" x14ac:dyDescent="0.25">
      <c r="A33" s="985">
        <f>ROW()</f>
        <v>33</v>
      </c>
      <c r="B33" s="302" t="s">
        <v>990</v>
      </c>
      <c r="C33" s="305">
        <v>0</v>
      </c>
      <c r="D33" s="305">
        <v>0</v>
      </c>
      <c r="E33" s="1005">
        <f t="shared" si="3"/>
        <v>0</v>
      </c>
      <c r="F33" s="1006">
        <v>0</v>
      </c>
      <c r="G33" s="1007">
        <f t="shared" si="4"/>
        <v>0</v>
      </c>
      <c r="H33" s="1008">
        <f t="shared" si="4"/>
        <v>0</v>
      </c>
      <c r="I33" s="1008">
        <f t="shared" si="4"/>
        <v>0</v>
      </c>
      <c r="J33" s="1008">
        <f t="shared" si="4"/>
        <v>0</v>
      </c>
      <c r="K33" s="1008">
        <f t="shared" si="4"/>
        <v>0</v>
      </c>
      <c r="L33" s="1008">
        <f t="shared" si="4"/>
        <v>0</v>
      </c>
      <c r="N33" s="104" t="s">
        <v>991</v>
      </c>
      <c r="Y33" s="170" cm="1">
        <f t="array" aca="1" ref="Y33" ca="1">CELL("protect",A33)</f>
        <v>1</v>
      </c>
      <c r="Z33" s="170" cm="1">
        <f t="array" aca="1" ref="Z33" ca="1">CELL("protect",B33)</f>
        <v>0</v>
      </c>
      <c r="AA33" s="170" cm="1">
        <f t="array" aca="1" ref="AA33" ca="1">CELL("protect",C33)</f>
        <v>0</v>
      </c>
      <c r="AB33" s="170" cm="1">
        <f t="array" aca="1" ref="AB33" ca="1">CELL("protect",D33)</f>
        <v>0</v>
      </c>
      <c r="AC33" s="170" cm="1">
        <f t="array" aca="1" ref="AC33" ca="1">CELL("protect",E33)</f>
        <v>0</v>
      </c>
      <c r="AD33" s="170" cm="1">
        <f t="array" aca="1" ref="AD33" ca="1">CELL("protect",F33)</f>
        <v>0</v>
      </c>
      <c r="AE33" s="170" cm="1">
        <f t="array" aca="1" ref="AE33" ca="1">CELL("protect",G33)</f>
        <v>0</v>
      </c>
      <c r="AF33" s="170" cm="1">
        <f t="array" aca="1" ref="AF33" ca="1">CELL("protect",H33)</f>
        <v>0</v>
      </c>
      <c r="AG33" s="170" cm="1">
        <f t="array" aca="1" ref="AG33" ca="1">CELL("protect",I33)</f>
        <v>0</v>
      </c>
      <c r="AH33" s="170" cm="1">
        <f t="array" aca="1" ref="AH33" ca="1">CELL("protect",J33)</f>
        <v>0</v>
      </c>
      <c r="AI33" s="170" cm="1">
        <f t="array" aca="1" ref="AI33" ca="1">CELL("protect",K33)</f>
        <v>0</v>
      </c>
      <c r="AJ33" s="170" cm="1">
        <f t="array" aca="1" ref="AJ33" ca="1">CELL("protect",L33)</f>
        <v>0</v>
      </c>
      <c r="AK33" s="170"/>
      <c r="AL33" s="170"/>
      <c r="AM33" s="170"/>
    </row>
    <row r="34" spans="1:39" x14ac:dyDescent="0.25">
      <c r="A34" s="985">
        <f>ROW()</f>
        <v>34</v>
      </c>
      <c r="B34" s="302" t="s">
        <v>992</v>
      </c>
      <c r="C34" s="305">
        <v>0</v>
      </c>
      <c r="D34" s="305">
        <v>0</v>
      </c>
      <c r="E34" s="1005">
        <f t="shared" si="3"/>
        <v>0</v>
      </c>
      <c r="F34" s="1006">
        <v>0</v>
      </c>
      <c r="G34" s="1007">
        <f t="shared" si="4"/>
        <v>0</v>
      </c>
      <c r="H34" s="1008">
        <f t="shared" si="4"/>
        <v>0</v>
      </c>
      <c r="I34" s="1008">
        <f t="shared" si="4"/>
        <v>0</v>
      </c>
      <c r="J34" s="1008">
        <f t="shared" si="4"/>
        <v>0</v>
      </c>
      <c r="K34" s="1008">
        <f t="shared" si="4"/>
        <v>0</v>
      </c>
      <c r="L34" s="1008">
        <f t="shared" si="4"/>
        <v>0</v>
      </c>
      <c r="N34" s="104" t="s">
        <v>993</v>
      </c>
      <c r="Y34" s="170" cm="1">
        <f t="array" aca="1" ref="Y34" ca="1">CELL("protect",A34)</f>
        <v>1</v>
      </c>
      <c r="Z34" s="170" cm="1">
        <f t="array" aca="1" ref="Z34" ca="1">CELL("protect",B34)</f>
        <v>0</v>
      </c>
      <c r="AA34" s="170" cm="1">
        <f t="array" aca="1" ref="AA34" ca="1">CELL("protect",C34)</f>
        <v>0</v>
      </c>
      <c r="AB34" s="170" cm="1">
        <f t="array" aca="1" ref="AB34" ca="1">CELL("protect",D34)</f>
        <v>0</v>
      </c>
      <c r="AC34" s="170" cm="1">
        <f t="array" aca="1" ref="AC34" ca="1">CELL("protect",E34)</f>
        <v>0</v>
      </c>
      <c r="AD34" s="170" cm="1">
        <f t="array" aca="1" ref="AD34" ca="1">CELL("protect",F34)</f>
        <v>0</v>
      </c>
      <c r="AE34" s="170" cm="1">
        <f t="array" aca="1" ref="AE34" ca="1">CELL("protect",G34)</f>
        <v>0</v>
      </c>
      <c r="AF34" s="170" cm="1">
        <f t="array" aca="1" ref="AF34" ca="1">CELL("protect",H34)</f>
        <v>0</v>
      </c>
      <c r="AG34" s="170" cm="1">
        <f t="array" aca="1" ref="AG34" ca="1">CELL("protect",I34)</f>
        <v>0</v>
      </c>
      <c r="AH34" s="170" cm="1">
        <f t="array" aca="1" ref="AH34" ca="1">CELL("protect",J34)</f>
        <v>0</v>
      </c>
      <c r="AI34" s="170" cm="1">
        <f t="array" aca="1" ref="AI34" ca="1">CELL("protect",K34)</f>
        <v>0</v>
      </c>
      <c r="AJ34" s="170" cm="1">
        <f t="array" aca="1" ref="AJ34" ca="1">CELL("protect",L34)</f>
        <v>0</v>
      </c>
      <c r="AK34" s="170"/>
      <c r="AL34" s="170"/>
      <c r="AM34" s="170"/>
    </row>
    <row r="35" spans="1:39" x14ac:dyDescent="0.25">
      <c r="A35" s="985">
        <f>ROW()</f>
        <v>35</v>
      </c>
      <c r="B35" s="302" t="s">
        <v>994</v>
      </c>
      <c r="C35" s="305">
        <v>0</v>
      </c>
      <c r="D35" s="305">
        <v>0</v>
      </c>
      <c r="E35" s="1005">
        <f t="shared" si="3"/>
        <v>0</v>
      </c>
      <c r="F35" s="1006">
        <v>0</v>
      </c>
      <c r="G35" s="1007">
        <f t="shared" si="4"/>
        <v>0</v>
      </c>
      <c r="H35" s="1008">
        <f t="shared" si="4"/>
        <v>0</v>
      </c>
      <c r="I35" s="1008">
        <f t="shared" si="4"/>
        <v>0</v>
      </c>
      <c r="J35" s="1008">
        <f t="shared" si="4"/>
        <v>0</v>
      </c>
      <c r="K35" s="1008">
        <f t="shared" si="4"/>
        <v>0</v>
      </c>
      <c r="L35" s="1008">
        <f t="shared" si="4"/>
        <v>0</v>
      </c>
      <c r="N35" s="104"/>
      <c r="Y35" s="170" cm="1">
        <f t="array" aca="1" ref="Y35" ca="1">CELL("protect",A35)</f>
        <v>1</v>
      </c>
      <c r="Z35" s="170" cm="1">
        <f t="array" aca="1" ref="Z35" ca="1">CELL("protect",B35)</f>
        <v>0</v>
      </c>
      <c r="AA35" s="170" cm="1">
        <f t="array" aca="1" ref="AA35" ca="1">CELL("protect",C35)</f>
        <v>0</v>
      </c>
      <c r="AB35" s="170" cm="1">
        <f t="array" aca="1" ref="AB35" ca="1">CELL("protect",D35)</f>
        <v>0</v>
      </c>
      <c r="AC35" s="170" cm="1">
        <f t="array" aca="1" ref="AC35" ca="1">CELL("protect",E35)</f>
        <v>0</v>
      </c>
      <c r="AD35" s="170" cm="1">
        <f t="array" aca="1" ref="AD35" ca="1">CELL("protect",F35)</f>
        <v>0</v>
      </c>
      <c r="AE35" s="170" cm="1">
        <f t="array" aca="1" ref="AE35" ca="1">CELL("protect",G35)</f>
        <v>0</v>
      </c>
      <c r="AF35" s="170" cm="1">
        <f t="array" aca="1" ref="AF35" ca="1">CELL("protect",H35)</f>
        <v>0</v>
      </c>
      <c r="AG35" s="170" cm="1">
        <f t="array" aca="1" ref="AG35" ca="1">CELL("protect",I35)</f>
        <v>0</v>
      </c>
      <c r="AH35" s="170" cm="1">
        <f t="array" aca="1" ref="AH35" ca="1">CELL("protect",J35)</f>
        <v>0</v>
      </c>
      <c r="AI35" s="170" cm="1">
        <f t="array" aca="1" ref="AI35" ca="1">CELL("protect",K35)</f>
        <v>0</v>
      </c>
      <c r="AJ35" s="170" cm="1">
        <f t="array" aca="1" ref="AJ35" ca="1">CELL("protect",L35)</f>
        <v>0</v>
      </c>
      <c r="AK35" s="170"/>
      <c r="AL35" s="170"/>
      <c r="AM35" s="170"/>
    </row>
    <row r="36" spans="1:39" x14ac:dyDescent="0.25">
      <c r="A36" s="985">
        <f>ROW()</f>
        <v>36</v>
      </c>
      <c r="B36" s="302" t="s">
        <v>995</v>
      </c>
      <c r="C36" s="305">
        <v>0</v>
      </c>
      <c r="D36" s="305">
        <v>0</v>
      </c>
      <c r="E36" s="1005">
        <f t="shared" si="3"/>
        <v>0</v>
      </c>
      <c r="F36" s="1006">
        <v>0</v>
      </c>
      <c r="G36" s="1007">
        <f t="shared" si="4"/>
        <v>0</v>
      </c>
      <c r="H36" s="1008">
        <f t="shared" si="4"/>
        <v>0</v>
      </c>
      <c r="I36" s="1008">
        <f t="shared" si="4"/>
        <v>0</v>
      </c>
      <c r="J36" s="1008">
        <f t="shared" si="4"/>
        <v>0</v>
      </c>
      <c r="K36" s="1008">
        <f t="shared" si="4"/>
        <v>0</v>
      </c>
      <c r="L36" s="1008">
        <f t="shared" si="4"/>
        <v>0</v>
      </c>
      <c r="N36" s="104"/>
      <c r="Y36" s="170" cm="1">
        <f t="array" aca="1" ref="Y36" ca="1">CELL("protect",A36)</f>
        <v>1</v>
      </c>
      <c r="Z36" s="170" cm="1">
        <f t="array" aca="1" ref="Z36" ca="1">CELL("protect",B36)</f>
        <v>0</v>
      </c>
      <c r="AA36" s="170" cm="1">
        <f t="array" aca="1" ref="AA36" ca="1">CELL("protect",C36)</f>
        <v>0</v>
      </c>
      <c r="AB36" s="170" cm="1">
        <f t="array" aca="1" ref="AB36" ca="1">CELL("protect",D36)</f>
        <v>0</v>
      </c>
      <c r="AC36" s="170" cm="1">
        <f t="array" aca="1" ref="AC36" ca="1">CELL("protect",E36)</f>
        <v>0</v>
      </c>
      <c r="AD36" s="170" cm="1">
        <f t="array" aca="1" ref="AD36" ca="1">CELL("protect",F36)</f>
        <v>0</v>
      </c>
      <c r="AE36" s="170" cm="1">
        <f t="array" aca="1" ref="AE36" ca="1">CELL("protect",G36)</f>
        <v>0</v>
      </c>
      <c r="AF36" s="170" cm="1">
        <f t="array" aca="1" ref="AF36" ca="1">CELL("protect",H36)</f>
        <v>0</v>
      </c>
      <c r="AG36" s="170" cm="1">
        <f t="array" aca="1" ref="AG36" ca="1">CELL("protect",I36)</f>
        <v>0</v>
      </c>
      <c r="AH36" s="170" cm="1">
        <f t="array" aca="1" ref="AH36" ca="1">CELL("protect",J36)</f>
        <v>0</v>
      </c>
      <c r="AI36" s="170" cm="1">
        <f t="array" aca="1" ref="AI36" ca="1">CELL("protect",K36)</f>
        <v>0</v>
      </c>
      <c r="AJ36" s="170" cm="1">
        <f t="array" aca="1" ref="AJ36" ca="1">CELL("protect",L36)</f>
        <v>0</v>
      </c>
      <c r="AK36" s="170"/>
      <c r="AL36" s="170"/>
      <c r="AM36" s="170"/>
    </row>
    <row r="37" spans="1:39" x14ac:dyDescent="0.25">
      <c r="A37" s="985">
        <f>ROW()</f>
        <v>37</v>
      </c>
      <c r="B37" s="1033" t="s">
        <v>996</v>
      </c>
      <c r="C37" s="305">
        <v>0</v>
      </c>
      <c r="D37" s="305">
        <v>0</v>
      </c>
      <c r="E37" s="1005">
        <f t="shared" si="3"/>
        <v>0</v>
      </c>
      <c r="F37" s="1006">
        <v>0</v>
      </c>
      <c r="G37" s="1007">
        <f t="shared" si="4"/>
        <v>0</v>
      </c>
      <c r="H37" s="1008">
        <f t="shared" si="4"/>
        <v>0</v>
      </c>
      <c r="I37" s="1008">
        <f t="shared" si="4"/>
        <v>0</v>
      </c>
      <c r="J37" s="1008">
        <f t="shared" si="4"/>
        <v>0</v>
      </c>
      <c r="K37" s="1008">
        <f t="shared" si="4"/>
        <v>0</v>
      </c>
      <c r="L37" s="1008">
        <f t="shared" si="4"/>
        <v>0</v>
      </c>
      <c r="N37" s="104"/>
      <c r="Y37" s="170" cm="1">
        <f t="array" aca="1" ref="Y37" ca="1">CELL("protect",A37)</f>
        <v>1</v>
      </c>
      <c r="Z37" s="170" cm="1">
        <f t="array" aca="1" ref="Z37" ca="1">CELL("protect",B37)</f>
        <v>0</v>
      </c>
      <c r="AA37" s="170" cm="1">
        <f t="array" aca="1" ref="AA37" ca="1">CELL("protect",C37)</f>
        <v>0</v>
      </c>
      <c r="AB37" s="170" cm="1">
        <f t="array" aca="1" ref="AB37" ca="1">CELL("protect",D37)</f>
        <v>0</v>
      </c>
      <c r="AC37" s="170" cm="1">
        <f t="array" aca="1" ref="AC37" ca="1">CELL("protect",E37)</f>
        <v>0</v>
      </c>
      <c r="AD37" s="170" cm="1">
        <f t="array" aca="1" ref="AD37" ca="1">CELL("protect",F37)</f>
        <v>0</v>
      </c>
      <c r="AE37" s="170" cm="1">
        <f t="array" aca="1" ref="AE37" ca="1">CELL("protect",G37)</f>
        <v>0</v>
      </c>
      <c r="AF37" s="170" cm="1">
        <f t="array" aca="1" ref="AF37" ca="1">CELL("protect",H37)</f>
        <v>0</v>
      </c>
      <c r="AG37" s="170" cm="1">
        <f t="array" aca="1" ref="AG37" ca="1">CELL("protect",I37)</f>
        <v>0</v>
      </c>
      <c r="AH37" s="170" cm="1">
        <f t="array" aca="1" ref="AH37" ca="1">CELL("protect",J37)</f>
        <v>0</v>
      </c>
      <c r="AI37" s="170" cm="1">
        <f t="array" aca="1" ref="AI37" ca="1">CELL("protect",K37)</f>
        <v>0</v>
      </c>
      <c r="AJ37" s="170" cm="1">
        <f t="array" aca="1" ref="AJ37" ca="1">CELL("protect",L37)</f>
        <v>0</v>
      </c>
      <c r="AK37" s="170"/>
      <c r="AL37" s="170"/>
      <c r="AM37" s="170"/>
    </row>
    <row r="38" spans="1:39" x14ac:dyDescent="0.25">
      <c r="A38" s="985">
        <f>ROW()</f>
        <v>38</v>
      </c>
      <c r="B38" s="1033" t="s">
        <v>997</v>
      </c>
      <c r="C38" s="305">
        <v>0</v>
      </c>
      <c r="D38" s="305">
        <v>0</v>
      </c>
      <c r="E38" s="1005">
        <f t="shared" si="3"/>
        <v>0</v>
      </c>
      <c r="F38" s="1006">
        <v>0</v>
      </c>
      <c r="G38" s="1007">
        <f t="shared" si="4"/>
        <v>0</v>
      </c>
      <c r="H38" s="1008">
        <f t="shared" si="4"/>
        <v>0</v>
      </c>
      <c r="I38" s="1008">
        <f t="shared" si="4"/>
        <v>0</v>
      </c>
      <c r="J38" s="1008">
        <f t="shared" si="4"/>
        <v>0</v>
      </c>
      <c r="K38" s="1008">
        <f t="shared" si="4"/>
        <v>0</v>
      </c>
      <c r="L38" s="1008">
        <f t="shared" si="4"/>
        <v>0</v>
      </c>
      <c r="N38" s="104"/>
      <c r="Y38" s="170" cm="1">
        <f t="array" aca="1" ref="Y38" ca="1">CELL("protect",A38)</f>
        <v>1</v>
      </c>
      <c r="Z38" s="170" cm="1">
        <f t="array" aca="1" ref="Z38" ca="1">CELL("protect",B38)</f>
        <v>0</v>
      </c>
      <c r="AA38" s="170" cm="1">
        <f t="array" aca="1" ref="AA38" ca="1">CELL("protect",C38)</f>
        <v>0</v>
      </c>
      <c r="AB38" s="170" cm="1">
        <f t="array" aca="1" ref="AB38" ca="1">CELL("protect",D38)</f>
        <v>0</v>
      </c>
      <c r="AC38" s="170" cm="1">
        <f t="array" aca="1" ref="AC38" ca="1">CELL("protect",E38)</f>
        <v>0</v>
      </c>
      <c r="AD38" s="170" cm="1">
        <f t="array" aca="1" ref="AD38" ca="1">CELL("protect",F38)</f>
        <v>0</v>
      </c>
      <c r="AE38" s="170" cm="1">
        <f t="array" aca="1" ref="AE38" ca="1">CELL("protect",G38)</f>
        <v>0</v>
      </c>
      <c r="AF38" s="170" cm="1">
        <f t="array" aca="1" ref="AF38" ca="1">CELL("protect",H38)</f>
        <v>0</v>
      </c>
      <c r="AG38" s="170" cm="1">
        <f t="array" aca="1" ref="AG38" ca="1">CELL("protect",I38)</f>
        <v>0</v>
      </c>
      <c r="AH38" s="170" cm="1">
        <f t="array" aca="1" ref="AH38" ca="1">CELL("protect",J38)</f>
        <v>0</v>
      </c>
      <c r="AI38" s="170" cm="1">
        <f t="array" aca="1" ref="AI38" ca="1">CELL("protect",K38)</f>
        <v>0</v>
      </c>
      <c r="AJ38" s="170" cm="1">
        <f t="array" aca="1" ref="AJ38" ca="1">CELL("protect",L38)</f>
        <v>0</v>
      </c>
      <c r="AK38" s="170"/>
      <c r="AL38" s="170"/>
      <c r="AM38" s="170"/>
    </row>
    <row r="39" spans="1:39" x14ac:dyDescent="0.25">
      <c r="A39" s="985">
        <f>ROW()</f>
        <v>39</v>
      </c>
      <c r="B39" s="302" t="s">
        <v>998</v>
      </c>
      <c r="C39" s="305">
        <v>0</v>
      </c>
      <c r="D39" s="305">
        <v>0</v>
      </c>
      <c r="E39" s="1005">
        <f t="shared" si="3"/>
        <v>0</v>
      </c>
      <c r="F39" s="1006">
        <v>0</v>
      </c>
      <c r="G39" s="1007">
        <f t="shared" si="4"/>
        <v>0</v>
      </c>
      <c r="H39" s="1008">
        <f t="shared" si="4"/>
        <v>0</v>
      </c>
      <c r="I39" s="1008">
        <f t="shared" si="4"/>
        <v>0</v>
      </c>
      <c r="J39" s="1008">
        <f t="shared" si="4"/>
        <v>0</v>
      </c>
      <c r="K39" s="1008">
        <f t="shared" si="4"/>
        <v>0</v>
      </c>
      <c r="L39" s="1008">
        <f t="shared" si="4"/>
        <v>0</v>
      </c>
      <c r="N39" s="104" t="s">
        <v>991</v>
      </c>
      <c r="Y39" s="170" cm="1">
        <f t="array" aca="1" ref="Y39" ca="1">CELL("protect",A39)</f>
        <v>1</v>
      </c>
      <c r="Z39" s="170" cm="1">
        <f t="array" aca="1" ref="Z39" ca="1">CELL("protect",B39)</f>
        <v>0</v>
      </c>
      <c r="AA39" s="170" cm="1">
        <f t="array" aca="1" ref="AA39" ca="1">CELL("protect",C39)</f>
        <v>0</v>
      </c>
      <c r="AB39" s="170" cm="1">
        <f t="array" aca="1" ref="AB39" ca="1">CELL("protect",D39)</f>
        <v>0</v>
      </c>
      <c r="AC39" s="170" cm="1">
        <f t="array" aca="1" ref="AC39" ca="1">CELL("protect",E39)</f>
        <v>0</v>
      </c>
      <c r="AD39" s="170" cm="1">
        <f t="array" aca="1" ref="AD39" ca="1">CELL("protect",F39)</f>
        <v>0</v>
      </c>
      <c r="AE39" s="170" cm="1">
        <f t="array" aca="1" ref="AE39" ca="1">CELL("protect",G39)</f>
        <v>0</v>
      </c>
      <c r="AF39" s="170" cm="1">
        <f t="array" aca="1" ref="AF39" ca="1">CELL("protect",H39)</f>
        <v>0</v>
      </c>
      <c r="AG39" s="170" cm="1">
        <f t="array" aca="1" ref="AG39" ca="1">CELL("protect",I39)</f>
        <v>0</v>
      </c>
      <c r="AH39" s="170" cm="1">
        <f t="array" aca="1" ref="AH39" ca="1">CELL("protect",J39)</f>
        <v>0</v>
      </c>
      <c r="AI39" s="170" cm="1">
        <f t="array" aca="1" ref="AI39" ca="1">CELL("protect",K39)</f>
        <v>0</v>
      </c>
      <c r="AJ39" s="170" cm="1">
        <f t="array" aca="1" ref="AJ39" ca="1">CELL("protect",L39)</f>
        <v>0</v>
      </c>
      <c r="AK39" s="170"/>
      <c r="AL39" s="170"/>
      <c r="AM39" s="170"/>
    </row>
    <row r="40" spans="1:39" x14ac:dyDescent="0.25">
      <c r="A40" s="985">
        <f>ROW()</f>
        <v>40</v>
      </c>
      <c r="B40" s="302" t="s">
        <v>999</v>
      </c>
      <c r="C40" s="305"/>
      <c r="D40" s="305">
        <v>3268</v>
      </c>
      <c r="E40" s="1005">
        <f t="shared" si="3"/>
        <v>22876</v>
      </c>
      <c r="F40" s="1006">
        <v>3268</v>
      </c>
      <c r="G40" s="1007">
        <f t="shared" si="4"/>
        <v>3268</v>
      </c>
      <c r="H40" s="1008">
        <f t="shared" si="4"/>
        <v>3268</v>
      </c>
      <c r="I40" s="1008">
        <f t="shared" si="4"/>
        <v>3268</v>
      </c>
      <c r="J40" s="1008">
        <f t="shared" si="4"/>
        <v>3268</v>
      </c>
      <c r="K40" s="1008">
        <f t="shared" si="4"/>
        <v>3268</v>
      </c>
      <c r="L40" s="1008">
        <f t="shared" si="4"/>
        <v>3268</v>
      </c>
      <c r="N40" s="104"/>
      <c r="Y40" s="170" cm="1">
        <f t="array" aca="1" ref="Y40" ca="1">CELL("protect",A40)</f>
        <v>1</v>
      </c>
      <c r="Z40" s="170" cm="1">
        <f t="array" aca="1" ref="Z40" ca="1">CELL("protect",B40)</f>
        <v>0</v>
      </c>
      <c r="AA40" s="170" cm="1">
        <f t="array" aca="1" ref="AA40" ca="1">CELL("protect",C40)</f>
        <v>0</v>
      </c>
      <c r="AB40" s="170" cm="1">
        <f t="array" aca="1" ref="AB40" ca="1">CELL("protect",D40)</f>
        <v>0</v>
      </c>
      <c r="AC40" s="170" cm="1">
        <f t="array" aca="1" ref="AC40" ca="1">CELL("protect",E40)</f>
        <v>0</v>
      </c>
      <c r="AD40" s="170" cm="1">
        <f t="array" aca="1" ref="AD40" ca="1">CELL("protect",F40)</f>
        <v>0</v>
      </c>
      <c r="AE40" s="170" cm="1">
        <f t="array" aca="1" ref="AE40" ca="1">CELL("protect",G40)</f>
        <v>0</v>
      </c>
      <c r="AF40" s="170" cm="1">
        <f t="array" aca="1" ref="AF40" ca="1">CELL("protect",H40)</f>
        <v>0</v>
      </c>
      <c r="AG40" s="170" cm="1">
        <f t="array" aca="1" ref="AG40" ca="1">CELL("protect",I40)</f>
        <v>0</v>
      </c>
      <c r="AH40" s="170" cm="1">
        <f t="array" aca="1" ref="AH40" ca="1">CELL("protect",J40)</f>
        <v>0</v>
      </c>
      <c r="AI40" s="170" cm="1">
        <f t="array" aca="1" ref="AI40" ca="1">CELL("protect",K40)</f>
        <v>0</v>
      </c>
      <c r="AJ40" s="170" cm="1">
        <f t="array" aca="1" ref="AJ40" ca="1">CELL("protect",L40)</f>
        <v>0</v>
      </c>
      <c r="AK40" s="170"/>
      <c r="AL40" s="170"/>
      <c r="AM40" s="170"/>
    </row>
    <row r="41" spans="1:39" x14ac:dyDescent="0.25">
      <c r="A41" s="985">
        <f>ROW()</f>
        <v>41</v>
      </c>
      <c r="B41" s="302" t="s">
        <v>1000</v>
      </c>
      <c r="C41" s="317"/>
      <c r="D41" s="317"/>
      <c r="E41" s="1005">
        <f t="shared" si="3"/>
        <v>0</v>
      </c>
      <c r="F41" s="1006">
        <v>0</v>
      </c>
      <c r="G41" s="1007">
        <f t="shared" si="4"/>
        <v>0</v>
      </c>
      <c r="H41" s="1008">
        <f t="shared" si="4"/>
        <v>0</v>
      </c>
      <c r="I41" s="1008">
        <f t="shared" si="4"/>
        <v>0</v>
      </c>
      <c r="J41" s="1008">
        <f t="shared" si="4"/>
        <v>0</v>
      </c>
      <c r="K41" s="1008">
        <f t="shared" si="4"/>
        <v>0</v>
      </c>
      <c r="L41" s="1008">
        <f t="shared" si="4"/>
        <v>0</v>
      </c>
      <c r="N41" s="104" t="s">
        <v>991</v>
      </c>
      <c r="Y41" s="170" cm="1">
        <f t="array" aca="1" ref="Y41" ca="1">CELL("protect",A41)</f>
        <v>1</v>
      </c>
      <c r="Z41" s="170" cm="1">
        <f t="array" aca="1" ref="Z41" ca="1">CELL("protect",B41)</f>
        <v>0</v>
      </c>
      <c r="AA41" s="170" cm="1">
        <f t="array" aca="1" ref="AA41" ca="1">CELL("protect",C41)</f>
        <v>0</v>
      </c>
      <c r="AB41" s="170" cm="1">
        <f t="array" aca="1" ref="AB41" ca="1">CELL("protect",D41)</f>
        <v>0</v>
      </c>
      <c r="AC41" s="170" cm="1">
        <f t="array" aca="1" ref="AC41" ca="1">CELL("protect",E41)</f>
        <v>0</v>
      </c>
      <c r="AD41" s="170" cm="1">
        <f t="array" aca="1" ref="AD41" ca="1">CELL("protect",F41)</f>
        <v>0</v>
      </c>
      <c r="AE41" s="170" cm="1">
        <f t="array" aca="1" ref="AE41" ca="1">CELL("protect",G41)</f>
        <v>0</v>
      </c>
      <c r="AF41" s="170" cm="1">
        <f t="array" aca="1" ref="AF41" ca="1">CELL("protect",H41)</f>
        <v>0</v>
      </c>
      <c r="AG41" s="170" cm="1">
        <f t="array" aca="1" ref="AG41" ca="1">CELL("protect",I41)</f>
        <v>0</v>
      </c>
      <c r="AH41" s="170" cm="1">
        <f t="array" aca="1" ref="AH41" ca="1">CELL("protect",J41)</f>
        <v>0</v>
      </c>
      <c r="AI41" s="170" cm="1">
        <f t="array" aca="1" ref="AI41" ca="1">CELL("protect",K41)</f>
        <v>0</v>
      </c>
      <c r="AJ41" s="170" cm="1">
        <f t="array" aca="1" ref="AJ41" ca="1">CELL("protect",L41)</f>
        <v>0</v>
      </c>
      <c r="AK41" s="170"/>
      <c r="AL41" s="170"/>
      <c r="AM41" s="170"/>
    </row>
    <row r="42" spans="1:39" x14ac:dyDescent="0.25">
      <c r="A42" s="985">
        <f>ROW()</f>
        <v>42</v>
      </c>
      <c r="B42" s="302"/>
      <c r="C42" s="317"/>
      <c r="D42" s="317"/>
      <c r="E42" s="1005">
        <f t="shared" si="3"/>
        <v>0</v>
      </c>
      <c r="F42" s="1006">
        <v>0</v>
      </c>
      <c r="G42" s="1007">
        <f t="shared" si="4"/>
        <v>0</v>
      </c>
      <c r="H42" s="1008">
        <f t="shared" si="4"/>
        <v>0</v>
      </c>
      <c r="I42" s="1008">
        <f t="shared" si="4"/>
        <v>0</v>
      </c>
      <c r="J42" s="1008">
        <f t="shared" si="4"/>
        <v>0</v>
      </c>
      <c r="K42" s="1008">
        <f t="shared" si="4"/>
        <v>0</v>
      </c>
      <c r="L42" s="1008">
        <f t="shared" si="4"/>
        <v>0</v>
      </c>
      <c r="N42" s="104"/>
      <c r="Y42" s="170" cm="1">
        <f t="array" aca="1" ref="Y42" ca="1">CELL("protect",A42)</f>
        <v>1</v>
      </c>
      <c r="Z42" s="170" cm="1">
        <f t="array" aca="1" ref="Z42" ca="1">CELL("protect",B42)</f>
        <v>0</v>
      </c>
      <c r="AA42" s="170" cm="1">
        <f t="array" aca="1" ref="AA42" ca="1">CELL("protect",C42)</f>
        <v>0</v>
      </c>
      <c r="AB42" s="170" cm="1">
        <f t="array" aca="1" ref="AB42" ca="1">CELL("protect",D42)</f>
        <v>0</v>
      </c>
      <c r="AC42" s="170" cm="1">
        <f t="array" aca="1" ref="AC42" ca="1">CELL("protect",E42)</f>
        <v>0</v>
      </c>
      <c r="AD42" s="170" cm="1">
        <f t="array" aca="1" ref="AD42" ca="1">CELL("protect",F42)</f>
        <v>0</v>
      </c>
      <c r="AE42" s="170" cm="1">
        <f t="array" aca="1" ref="AE42" ca="1">CELL("protect",G42)</f>
        <v>0</v>
      </c>
      <c r="AF42" s="170" cm="1">
        <f t="array" aca="1" ref="AF42" ca="1">CELL("protect",H42)</f>
        <v>0</v>
      </c>
      <c r="AG42" s="170" cm="1">
        <f t="array" aca="1" ref="AG42" ca="1">CELL("protect",I42)</f>
        <v>0</v>
      </c>
      <c r="AH42" s="170" cm="1">
        <f t="array" aca="1" ref="AH42" ca="1">CELL("protect",J42)</f>
        <v>0</v>
      </c>
      <c r="AI42" s="170" cm="1">
        <f t="array" aca="1" ref="AI42" ca="1">CELL("protect",K42)</f>
        <v>0</v>
      </c>
      <c r="AJ42" s="170" cm="1">
        <f t="array" aca="1" ref="AJ42" ca="1">CELL("protect",L42)</f>
        <v>0</v>
      </c>
      <c r="AK42" s="170"/>
      <c r="AL42" s="170"/>
      <c r="AM42" s="170"/>
    </row>
    <row r="43" spans="1:39" x14ac:dyDescent="0.25">
      <c r="A43" s="985">
        <f>ROW()</f>
        <v>43</v>
      </c>
      <c r="B43" s="302"/>
      <c r="C43" s="317"/>
      <c r="D43" s="317"/>
      <c r="E43" s="1005">
        <f t="shared" si="3"/>
        <v>0</v>
      </c>
      <c r="F43" s="1006">
        <v>0</v>
      </c>
      <c r="G43" s="1007">
        <f t="shared" si="4"/>
        <v>0</v>
      </c>
      <c r="H43" s="1008">
        <f t="shared" si="4"/>
        <v>0</v>
      </c>
      <c r="I43" s="1008">
        <f t="shared" si="4"/>
        <v>0</v>
      </c>
      <c r="J43" s="1008">
        <f t="shared" si="4"/>
        <v>0</v>
      </c>
      <c r="K43" s="1008">
        <f t="shared" si="4"/>
        <v>0</v>
      </c>
      <c r="L43" s="1008">
        <f t="shared" si="4"/>
        <v>0</v>
      </c>
      <c r="N43" s="104"/>
      <c r="Y43" s="170" cm="1">
        <f t="array" aca="1" ref="Y43" ca="1">CELL("protect",A43)</f>
        <v>1</v>
      </c>
      <c r="Z43" s="170" cm="1">
        <f t="array" aca="1" ref="Z43" ca="1">CELL("protect",B43)</f>
        <v>0</v>
      </c>
      <c r="AA43" s="170" cm="1">
        <f t="array" aca="1" ref="AA43" ca="1">CELL("protect",C43)</f>
        <v>0</v>
      </c>
      <c r="AB43" s="170" cm="1">
        <f t="array" aca="1" ref="AB43" ca="1">CELL("protect",D43)</f>
        <v>0</v>
      </c>
      <c r="AC43" s="170" cm="1">
        <f t="array" aca="1" ref="AC43" ca="1">CELL("protect",E43)</f>
        <v>0</v>
      </c>
      <c r="AD43" s="170" cm="1">
        <f t="array" aca="1" ref="AD43" ca="1">CELL("protect",F43)</f>
        <v>0</v>
      </c>
      <c r="AE43" s="170" cm="1">
        <f t="array" aca="1" ref="AE43" ca="1">CELL("protect",G43)</f>
        <v>0</v>
      </c>
      <c r="AF43" s="170" cm="1">
        <f t="array" aca="1" ref="AF43" ca="1">CELL("protect",H43)</f>
        <v>0</v>
      </c>
      <c r="AG43" s="170" cm="1">
        <f t="array" aca="1" ref="AG43" ca="1">CELL("protect",I43)</f>
        <v>0</v>
      </c>
      <c r="AH43" s="170" cm="1">
        <f t="array" aca="1" ref="AH43" ca="1">CELL("protect",J43)</f>
        <v>0</v>
      </c>
      <c r="AI43" s="170" cm="1">
        <f t="array" aca="1" ref="AI43" ca="1">CELL("protect",K43)</f>
        <v>0</v>
      </c>
      <c r="AJ43" s="170" cm="1">
        <f t="array" aca="1" ref="AJ43" ca="1">CELL("protect",L43)</f>
        <v>0</v>
      </c>
      <c r="AK43" s="170"/>
      <c r="AL43" s="170"/>
      <c r="AM43" s="170"/>
    </row>
    <row r="44" spans="1:39" x14ac:dyDescent="0.25">
      <c r="A44" s="985">
        <f>ROW()</f>
        <v>44</v>
      </c>
      <c r="B44" s="302"/>
      <c r="C44" s="317"/>
      <c r="D44" s="317"/>
      <c r="E44" s="1005">
        <f t="shared" si="3"/>
        <v>0</v>
      </c>
      <c r="F44" s="1006">
        <v>0</v>
      </c>
      <c r="G44" s="1007">
        <f t="shared" si="4"/>
        <v>0</v>
      </c>
      <c r="H44" s="1008">
        <f t="shared" si="4"/>
        <v>0</v>
      </c>
      <c r="I44" s="1008">
        <f t="shared" si="4"/>
        <v>0</v>
      </c>
      <c r="J44" s="1008">
        <f t="shared" si="4"/>
        <v>0</v>
      </c>
      <c r="K44" s="1008">
        <f t="shared" si="4"/>
        <v>0</v>
      </c>
      <c r="L44" s="1008">
        <f t="shared" si="4"/>
        <v>0</v>
      </c>
      <c r="N44" s="104"/>
      <c r="Y44" s="170" cm="1">
        <f t="array" aca="1" ref="Y44" ca="1">CELL("protect",A44)</f>
        <v>1</v>
      </c>
      <c r="Z44" s="170" cm="1">
        <f t="array" aca="1" ref="Z44" ca="1">CELL("protect",B44)</f>
        <v>0</v>
      </c>
      <c r="AA44" s="170" cm="1">
        <f t="array" aca="1" ref="AA44" ca="1">CELL("protect",C44)</f>
        <v>0</v>
      </c>
      <c r="AB44" s="170" cm="1">
        <f t="array" aca="1" ref="AB44" ca="1">CELL("protect",D44)</f>
        <v>0</v>
      </c>
      <c r="AC44" s="170" cm="1">
        <f t="array" aca="1" ref="AC44" ca="1">CELL("protect",E44)</f>
        <v>0</v>
      </c>
      <c r="AD44" s="170" cm="1">
        <f t="array" aca="1" ref="AD44" ca="1">CELL("protect",F44)</f>
        <v>0</v>
      </c>
      <c r="AE44" s="170" cm="1">
        <f t="array" aca="1" ref="AE44" ca="1">CELL("protect",G44)</f>
        <v>0</v>
      </c>
      <c r="AF44" s="170" cm="1">
        <f t="array" aca="1" ref="AF44" ca="1">CELL("protect",H44)</f>
        <v>0</v>
      </c>
      <c r="AG44" s="170" cm="1">
        <f t="array" aca="1" ref="AG44" ca="1">CELL("protect",I44)</f>
        <v>0</v>
      </c>
      <c r="AH44" s="170" cm="1">
        <f t="array" aca="1" ref="AH44" ca="1">CELL("protect",J44)</f>
        <v>0</v>
      </c>
      <c r="AI44" s="170" cm="1">
        <f t="array" aca="1" ref="AI44" ca="1">CELL("protect",K44)</f>
        <v>0</v>
      </c>
      <c r="AJ44" s="170" cm="1">
        <f t="array" aca="1" ref="AJ44" ca="1">CELL("protect",L44)</f>
        <v>0</v>
      </c>
      <c r="AK44" s="170"/>
      <c r="AL44" s="170"/>
      <c r="AM44" s="170"/>
    </row>
    <row r="45" spans="1:39" x14ac:dyDescent="0.25">
      <c r="A45" s="985">
        <f>ROW()</f>
        <v>45</v>
      </c>
      <c r="B45" s="302"/>
      <c r="C45" s="317"/>
      <c r="D45" s="317"/>
      <c r="E45" s="1005">
        <f t="shared" si="3"/>
        <v>0</v>
      </c>
      <c r="F45" s="1006">
        <v>0</v>
      </c>
      <c r="G45" s="1007">
        <f t="shared" si="4"/>
        <v>0</v>
      </c>
      <c r="H45" s="1008">
        <f t="shared" si="4"/>
        <v>0</v>
      </c>
      <c r="I45" s="1008">
        <f t="shared" si="4"/>
        <v>0</v>
      </c>
      <c r="J45" s="1008">
        <f t="shared" si="4"/>
        <v>0</v>
      </c>
      <c r="K45" s="1008">
        <f t="shared" si="4"/>
        <v>0</v>
      </c>
      <c r="L45" s="1008">
        <f t="shared" si="4"/>
        <v>0</v>
      </c>
      <c r="N45" s="104"/>
      <c r="Y45" s="170" cm="1">
        <f t="array" aca="1" ref="Y45" ca="1">CELL("protect",A45)</f>
        <v>1</v>
      </c>
      <c r="Z45" s="170" cm="1">
        <f t="array" aca="1" ref="Z45" ca="1">CELL("protect",B45)</f>
        <v>0</v>
      </c>
      <c r="AA45" s="170" cm="1">
        <f t="array" aca="1" ref="AA45" ca="1">CELL("protect",C45)</f>
        <v>0</v>
      </c>
      <c r="AB45" s="170" cm="1">
        <f t="array" aca="1" ref="AB45" ca="1">CELL("protect",D45)</f>
        <v>0</v>
      </c>
      <c r="AC45" s="170" cm="1">
        <f t="array" aca="1" ref="AC45" ca="1">CELL("protect",E45)</f>
        <v>0</v>
      </c>
      <c r="AD45" s="170" cm="1">
        <f t="array" aca="1" ref="AD45" ca="1">CELL("protect",F45)</f>
        <v>0</v>
      </c>
      <c r="AE45" s="170" cm="1">
        <f t="array" aca="1" ref="AE45" ca="1">CELL("protect",G45)</f>
        <v>0</v>
      </c>
      <c r="AF45" s="170" cm="1">
        <f t="array" aca="1" ref="AF45" ca="1">CELL("protect",H45)</f>
        <v>0</v>
      </c>
      <c r="AG45" s="170" cm="1">
        <f t="array" aca="1" ref="AG45" ca="1">CELL("protect",I45)</f>
        <v>0</v>
      </c>
      <c r="AH45" s="170" cm="1">
        <f t="array" aca="1" ref="AH45" ca="1">CELL("protect",J45)</f>
        <v>0</v>
      </c>
      <c r="AI45" s="170" cm="1">
        <f t="array" aca="1" ref="AI45" ca="1">CELL("protect",K45)</f>
        <v>0</v>
      </c>
      <c r="AJ45" s="170" cm="1">
        <f t="array" aca="1" ref="AJ45" ca="1">CELL("protect",L45)</f>
        <v>0</v>
      </c>
      <c r="AK45" s="170"/>
      <c r="AL45" s="170"/>
      <c r="AM45" s="170"/>
    </row>
    <row r="46" spans="1:39" x14ac:dyDescent="0.25">
      <c r="A46" s="985">
        <f>ROW()</f>
        <v>46</v>
      </c>
      <c r="B46" s="302"/>
      <c r="C46" s="317"/>
      <c r="D46" s="317"/>
      <c r="E46" s="1005">
        <f t="shared" si="3"/>
        <v>7000</v>
      </c>
      <c r="F46" s="1006">
        <v>1000</v>
      </c>
      <c r="G46" s="1007">
        <v>1000</v>
      </c>
      <c r="H46" s="1008">
        <v>1000</v>
      </c>
      <c r="I46" s="1008">
        <v>1000</v>
      </c>
      <c r="J46" s="1008">
        <v>1000</v>
      </c>
      <c r="K46" s="1008">
        <v>1000</v>
      </c>
      <c r="L46" s="1008">
        <v>1000</v>
      </c>
      <c r="N46" s="104"/>
      <c r="Y46" s="170" cm="1">
        <f t="array" aca="1" ref="Y46" ca="1">CELL("protect",A46)</f>
        <v>1</v>
      </c>
      <c r="Z46" s="170" cm="1">
        <f t="array" aca="1" ref="Z46" ca="1">CELL("protect",B46)</f>
        <v>0</v>
      </c>
      <c r="AA46" s="170" cm="1">
        <f t="array" aca="1" ref="AA46" ca="1">CELL("protect",C46)</f>
        <v>0</v>
      </c>
      <c r="AB46" s="170" cm="1">
        <f t="array" aca="1" ref="AB46" ca="1">CELL("protect",D46)</f>
        <v>0</v>
      </c>
      <c r="AC46" s="170" cm="1">
        <f t="array" aca="1" ref="AC46" ca="1">CELL("protect",E46)</f>
        <v>0</v>
      </c>
      <c r="AD46" s="170" cm="1">
        <f t="array" aca="1" ref="AD46" ca="1">CELL("protect",F46)</f>
        <v>0</v>
      </c>
      <c r="AE46" s="170" cm="1">
        <f t="array" aca="1" ref="AE46" ca="1">CELL("protect",G46)</f>
        <v>0</v>
      </c>
      <c r="AF46" s="170" cm="1">
        <f t="array" aca="1" ref="AF46" ca="1">CELL("protect",H46)</f>
        <v>0</v>
      </c>
      <c r="AG46" s="170" cm="1">
        <f t="array" aca="1" ref="AG46" ca="1">CELL("protect",I46)</f>
        <v>0</v>
      </c>
      <c r="AH46" s="170" cm="1">
        <f t="array" aca="1" ref="AH46" ca="1">CELL("protect",J46)</f>
        <v>0</v>
      </c>
      <c r="AI46" s="170" cm="1">
        <f t="array" aca="1" ref="AI46" ca="1">CELL("protect",K46)</f>
        <v>0</v>
      </c>
      <c r="AJ46" s="170" cm="1">
        <f t="array" aca="1" ref="AJ46" ca="1">CELL("protect",L46)</f>
        <v>0</v>
      </c>
      <c r="AK46" s="170"/>
      <c r="AL46" s="170"/>
      <c r="AM46" s="170"/>
    </row>
    <row r="47" spans="1:39" x14ac:dyDescent="0.25">
      <c r="A47" s="985">
        <f>ROW()</f>
        <v>47</v>
      </c>
      <c r="B47" s="1034" t="s">
        <v>1001</v>
      </c>
      <c r="C47" s="1035"/>
      <c r="D47" s="1035"/>
      <c r="E47" s="1005">
        <f t="shared" si="3"/>
        <v>0</v>
      </c>
      <c r="F47" s="1036" t="s">
        <v>35</v>
      </c>
      <c r="G47" s="1037" t="s">
        <v>35</v>
      </c>
      <c r="H47" s="1038" t="s">
        <v>35</v>
      </c>
      <c r="I47" s="1038" t="s">
        <v>35</v>
      </c>
      <c r="J47" s="1038" t="s">
        <v>35</v>
      </c>
      <c r="K47" s="1038" t="s">
        <v>35</v>
      </c>
      <c r="L47" s="1038" t="s">
        <v>35</v>
      </c>
      <c r="N47" s="104"/>
      <c r="Y47" s="170" cm="1">
        <f t="array" aca="1" ref="Y47" ca="1">CELL("protect",A47)</f>
        <v>1</v>
      </c>
      <c r="Z47" s="170" cm="1">
        <f t="array" aca="1" ref="Z47" ca="1">CELL("protect",B47)</f>
        <v>0</v>
      </c>
      <c r="AA47" s="170" cm="1">
        <f t="array" aca="1" ref="AA47" ca="1">CELL("protect",C47)</f>
        <v>0</v>
      </c>
      <c r="AB47" s="170" cm="1">
        <f t="array" aca="1" ref="AB47" ca="1">CELL("protect",D47)</f>
        <v>0</v>
      </c>
      <c r="AC47" s="170" cm="1">
        <f t="array" aca="1" ref="AC47" ca="1">CELL("protect",E47)</f>
        <v>0</v>
      </c>
      <c r="AD47" s="170" cm="1">
        <f t="array" aca="1" ref="AD47" ca="1">CELL("protect",F47)</f>
        <v>0</v>
      </c>
      <c r="AE47" s="170" cm="1">
        <f t="array" aca="1" ref="AE47" ca="1">CELL("protect",G47)</f>
        <v>0</v>
      </c>
      <c r="AF47" s="170" cm="1">
        <f t="array" aca="1" ref="AF47" ca="1">CELL("protect",H47)</f>
        <v>0</v>
      </c>
      <c r="AG47" s="170" cm="1">
        <f t="array" aca="1" ref="AG47" ca="1">CELL("protect",I47)</f>
        <v>0</v>
      </c>
      <c r="AH47" s="170" cm="1">
        <f t="array" aca="1" ref="AH47" ca="1">CELL("protect",J47)</f>
        <v>0</v>
      </c>
      <c r="AI47" s="170" cm="1">
        <f t="array" aca="1" ref="AI47" ca="1">CELL("protect",K47)</f>
        <v>0</v>
      </c>
      <c r="AJ47" s="170" cm="1">
        <f t="array" aca="1" ref="AJ47" ca="1">CELL("protect",L47)</f>
        <v>0</v>
      </c>
      <c r="AK47" s="170"/>
      <c r="AL47" s="170"/>
      <c r="AM47" s="170"/>
    </row>
    <row r="48" spans="1:39" x14ac:dyDescent="0.25">
      <c r="A48" s="985">
        <f>ROW()</f>
        <v>48</v>
      </c>
      <c r="B48" s="1039" t="s">
        <v>1002</v>
      </c>
      <c r="C48" s="1035"/>
      <c r="D48" s="1035"/>
      <c r="E48" s="329">
        <f t="shared" si="3"/>
        <v>0</v>
      </c>
      <c r="F48" s="1040" t="s">
        <v>35</v>
      </c>
      <c r="G48" s="1041" t="s">
        <v>35</v>
      </c>
      <c r="H48" s="1042" t="s">
        <v>35</v>
      </c>
      <c r="I48" s="1042" t="s">
        <v>35</v>
      </c>
      <c r="J48" s="1042" t="s">
        <v>35</v>
      </c>
      <c r="K48" s="1042" t="s">
        <v>35</v>
      </c>
      <c r="L48" s="1042" t="s">
        <v>35</v>
      </c>
      <c r="N48" s="104"/>
      <c r="Y48" s="170" cm="1">
        <f t="array" aca="1" ref="Y48" ca="1">CELL("protect",A48)</f>
        <v>1</v>
      </c>
      <c r="Z48" s="170" cm="1">
        <f t="array" aca="1" ref="Z48" ca="1">CELL("protect",B48)</f>
        <v>0</v>
      </c>
      <c r="AA48" s="170" cm="1">
        <f t="array" aca="1" ref="AA48" ca="1">CELL("protect",C48)</f>
        <v>0</v>
      </c>
      <c r="AB48" s="170" cm="1">
        <f t="array" aca="1" ref="AB48" ca="1">CELL("protect",D48)</f>
        <v>0</v>
      </c>
      <c r="AC48" s="170" cm="1">
        <f t="array" aca="1" ref="AC48" ca="1">CELL("protect",E48)</f>
        <v>0</v>
      </c>
      <c r="AD48" s="170" cm="1">
        <f t="array" aca="1" ref="AD48" ca="1">CELL("protect",F48)</f>
        <v>0</v>
      </c>
      <c r="AE48" s="170" cm="1">
        <f t="array" aca="1" ref="AE48" ca="1">CELL("protect",G48)</f>
        <v>0</v>
      </c>
      <c r="AF48" s="170" cm="1">
        <f t="array" aca="1" ref="AF48" ca="1">CELL("protect",H48)</f>
        <v>0</v>
      </c>
      <c r="AG48" s="170" cm="1">
        <f t="array" aca="1" ref="AG48" ca="1">CELL("protect",I48)</f>
        <v>0</v>
      </c>
      <c r="AH48" s="170" cm="1">
        <f t="array" aca="1" ref="AH48" ca="1">CELL("protect",J48)</f>
        <v>0</v>
      </c>
      <c r="AI48" s="170" cm="1">
        <f t="array" aca="1" ref="AI48" ca="1">CELL("protect",K48)</f>
        <v>0</v>
      </c>
      <c r="AJ48" s="170" cm="1">
        <f t="array" aca="1" ref="AJ48" ca="1">CELL("protect",L48)</f>
        <v>0</v>
      </c>
      <c r="AK48" s="170"/>
      <c r="AL48" s="170"/>
      <c r="AM48" s="170"/>
    </row>
    <row r="49" spans="1:39" x14ac:dyDescent="0.25">
      <c r="A49" s="985">
        <f>ROW()</f>
        <v>49</v>
      </c>
      <c r="B49" s="1043" t="s">
        <v>1003</v>
      </c>
      <c r="C49" s="1044"/>
      <c r="D49" s="1044"/>
      <c r="E49" s="162"/>
      <c r="F49" s="1045">
        <f t="shared" ref="F49:L49" si="5">SUM(F10:F48)</f>
        <v>81592</v>
      </c>
      <c r="G49" s="1045">
        <f t="shared" si="5"/>
        <v>81592</v>
      </c>
      <c r="H49" s="1046">
        <f t="shared" si="5"/>
        <v>81592</v>
      </c>
      <c r="I49" s="1046">
        <f t="shared" si="5"/>
        <v>81592</v>
      </c>
      <c r="J49" s="1046">
        <f t="shared" si="5"/>
        <v>81592</v>
      </c>
      <c r="K49" s="1046">
        <f t="shared" si="5"/>
        <v>81592</v>
      </c>
      <c r="L49" s="1046">
        <f t="shared" si="5"/>
        <v>81592</v>
      </c>
      <c r="N49" s="104"/>
      <c r="Y49" s="170" cm="1">
        <f t="array" aca="1" ref="Y49" ca="1">CELL("protect",A49)</f>
        <v>1</v>
      </c>
      <c r="Z49" s="170" cm="1">
        <f t="array" aca="1" ref="Z49" ca="1">CELL("protect",B49)</f>
        <v>0</v>
      </c>
      <c r="AA49" s="170" cm="1">
        <f t="array" aca="1" ref="AA49" ca="1">CELL("protect",C49)</f>
        <v>0</v>
      </c>
      <c r="AB49" s="170" cm="1">
        <f t="array" aca="1" ref="AB49" ca="1">CELL("protect",D49)</f>
        <v>0</v>
      </c>
      <c r="AC49" s="170" cm="1">
        <f t="array" aca="1" ref="AC49" ca="1">CELL("protect",E49)</f>
        <v>1</v>
      </c>
      <c r="AD49" s="170" cm="1">
        <f t="array" aca="1" ref="AD49" ca="1">CELL("protect",F49)</f>
        <v>1</v>
      </c>
      <c r="AE49" s="170" cm="1">
        <f t="array" aca="1" ref="AE49" ca="1">CELL("protect",G49)</f>
        <v>1</v>
      </c>
      <c r="AF49" s="170" cm="1">
        <f t="array" aca="1" ref="AF49" ca="1">CELL("protect",H49)</f>
        <v>1</v>
      </c>
      <c r="AG49" s="170" cm="1">
        <f t="array" aca="1" ref="AG49" ca="1">CELL("protect",I49)</f>
        <v>1</v>
      </c>
      <c r="AH49" s="170" cm="1">
        <f t="array" aca="1" ref="AH49" ca="1">CELL("protect",J49)</f>
        <v>1</v>
      </c>
      <c r="AI49" s="170" cm="1">
        <f t="array" aca="1" ref="AI49" ca="1">CELL("protect",K49)</f>
        <v>1</v>
      </c>
      <c r="AJ49" s="170" cm="1">
        <f t="array" aca="1" ref="AJ49" ca="1">CELL("protect",L49)</f>
        <v>1</v>
      </c>
      <c r="AK49" s="170"/>
      <c r="AL49" s="170"/>
      <c r="AM49" s="170"/>
    </row>
    <row r="50" spans="1:39" x14ac:dyDescent="0.25">
      <c r="A50" s="985">
        <f>ROW()</f>
        <v>50</v>
      </c>
      <c r="B50" s="1047" t="s">
        <v>1004</v>
      </c>
      <c r="C50" s="1048"/>
      <c r="D50" s="1049">
        <v>0.02</v>
      </c>
      <c r="E50" s="1050"/>
      <c r="F50" s="1051">
        <f t="shared" ref="F50:L50" si="6">+F49*((1+$D$50)^F7-1)</f>
        <v>0</v>
      </c>
      <c r="G50" s="1051">
        <f t="shared" si="6"/>
        <v>1631.8400000000015</v>
      </c>
      <c r="H50" s="1052">
        <f t="shared" si="6"/>
        <v>3296.3167999999991</v>
      </c>
      <c r="I50" s="1052">
        <f t="shared" si="6"/>
        <v>4994.0831359999938</v>
      </c>
      <c r="J50" s="1052">
        <f t="shared" si="6"/>
        <v>6725.804798719998</v>
      </c>
      <c r="K50" s="1052">
        <f t="shared" si="6"/>
        <v>8492.1608946944016</v>
      </c>
      <c r="L50" s="1052">
        <f t="shared" si="6"/>
        <v>10293.844112588295</v>
      </c>
      <c r="N50" s="104"/>
      <c r="Y50" s="170" cm="1">
        <f t="array" aca="1" ref="Y50" ca="1">CELL("protect",A50)</f>
        <v>1</v>
      </c>
      <c r="Z50" s="170" cm="1">
        <f t="array" aca="1" ref="Z50" ca="1">CELL("protect",B50)</f>
        <v>0</v>
      </c>
      <c r="AA50" s="170" cm="1">
        <f t="array" aca="1" ref="AA50" ca="1">CELL("protect",C50)</f>
        <v>0</v>
      </c>
      <c r="AB50" s="170" cm="1">
        <f t="array" aca="1" ref="AB50" ca="1">CELL("protect",D50)</f>
        <v>0</v>
      </c>
      <c r="AC50" s="170" cm="1">
        <f t="array" aca="1" ref="AC50" ca="1">CELL("protect",E50)</f>
        <v>1</v>
      </c>
      <c r="AD50" s="170" cm="1">
        <f t="array" aca="1" ref="AD50" ca="1">CELL("protect",F50)</f>
        <v>1</v>
      </c>
      <c r="AE50" s="170" cm="1">
        <f t="array" aca="1" ref="AE50" ca="1">CELL("protect",G50)</f>
        <v>1</v>
      </c>
      <c r="AF50" s="170" cm="1">
        <f t="array" aca="1" ref="AF50" ca="1">CELL("protect",H50)</f>
        <v>1</v>
      </c>
      <c r="AG50" s="170" cm="1">
        <f t="array" aca="1" ref="AG50" ca="1">CELL("protect",I50)</f>
        <v>1</v>
      </c>
      <c r="AH50" s="170" cm="1">
        <f t="array" aca="1" ref="AH50" ca="1">CELL("protect",J50)</f>
        <v>1</v>
      </c>
      <c r="AI50" s="170" cm="1">
        <f t="array" aca="1" ref="AI50" ca="1">CELL("protect",K50)</f>
        <v>1</v>
      </c>
      <c r="AJ50" s="170" cm="1">
        <f t="array" aca="1" ref="AJ50" ca="1">CELL("protect",L50)</f>
        <v>1</v>
      </c>
      <c r="AK50" s="170"/>
      <c r="AL50" s="170"/>
      <c r="AM50" s="170"/>
    </row>
    <row r="51" spans="1:39" ht="15.75" x14ac:dyDescent="0.25">
      <c r="A51" s="985">
        <f>ROW()</f>
        <v>51</v>
      </c>
      <c r="D51" s="499">
        <f>SUM(D10:D48)</f>
        <v>80592</v>
      </c>
      <c r="E51" s="1053">
        <f>SUM(E10:E48)</f>
        <v>571144</v>
      </c>
      <c r="F51" s="1053">
        <f>SUM(F10:F48)</f>
        <v>81592</v>
      </c>
      <c r="G51" s="1053">
        <f t="shared" ref="G51:L51" si="7">SUM(G10:G48)+G50</f>
        <v>83223.839999999997</v>
      </c>
      <c r="H51" s="1053">
        <f t="shared" si="7"/>
        <v>84888.316800000001</v>
      </c>
      <c r="I51" s="1053">
        <f t="shared" si="7"/>
        <v>86586.083136000001</v>
      </c>
      <c r="J51" s="1053">
        <f t="shared" si="7"/>
        <v>88317.804798719997</v>
      </c>
      <c r="K51" s="1053">
        <f t="shared" si="7"/>
        <v>90084.160894694403</v>
      </c>
      <c r="L51" s="1053">
        <f t="shared" si="7"/>
        <v>91885.844112588296</v>
      </c>
      <c r="N51" s="104"/>
      <c r="Y51" s="170" cm="1">
        <f t="array" aca="1" ref="Y51" ca="1">CELL("protect",A51)</f>
        <v>1</v>
      </c>
      <c r="Z51" s="170" cm="1">
        <f t="array" aca="1" ref="Z51" ca="1">CELL("protect",B51)</f>
        <v>1</v>
      </c>
      <c r="AA51" s="170" cm="1">
        <f t="array" aca="1" ref="AA51" ca="1">CELL("protect",C51)</f>
        <v>1</v>
      </c>
      <c r="AB51" s="170" cm="1">
        <f t="array" aca="1" ref="AB51" ca="1">CELL("protect",D51)</f>
        <v>1</v>
      </c>
      <c r="AC51" s="170" cm="1">
        <f t="array" aca="1" ref="AC51" ca="1">CELL("protect",E51)</f>
        <v>1</v>
      </c>
      <c r="AD51" s="170" cm="1">
        <f t="array" aca="1" ref="AD51" ca="1">CELL("protect",F51)</f>
        <v>1</v>
      </c>
      <c r="AE51" s="170" cm="1">
        <f t="array" aca="1" ref="AE51" ca="1">CELL("protect",G51)</f>
        <v>1</v>
      </c>
      <c r="AF51" s="170" cm="1">
        <f t="array" aca="1" ref="AF51" ca="1">CELL("protect",H51)</f>
        <v>1</v>
      </c>
      <c r="AG51" s="170" cm="1">
        <f t="array" aca="1" ref="AG51" ca="1">CELL("protect",I51)</f>
        <v>1</v>
      </c>
      <c r="AH51" s="170" cm="1">
        <f t="array" aca="1" ref="AH51" ca="1">CELL("protect",J51)</f>
        <v>1</v>
      </c>
      <c r="AI51" s="170" cm="1">
        <f t="array" aca="1" ref="AI51" ca="1">CELL("protect",K51)</f>
        <v>1</v>
      </c>
      <c r="AJ51" s="170" cm="1">
        <f t="array" aca="1" ref="AJ51" ca="1">CELL("protect",L51)</f>
        <v>1</v>
      </c>
      <c r="AK51" s="170"/>
      <c r="AL51" s="170"/>
      <c r="AM51" s="170"/>
    </row>
    <row r="52" spans="1:39" x14ac:dyDescent="0.25">
      <c r="A52" s="985">
        <f>ROW()</f>
        <v>52</v>
      </c>
      <c r="B52" s="141" t="s">
        <v>1005</v>
      </c>
      <c r="Y52" s="170" cm="1">
        <f t="array" aca="1" ref="Y52" ca="1">CELL("protect",A52)</f>
        <v>1</v>
      </c>
      <c r="Z52" s="170" cm="1">
        <f t="array" aca="1" ref="Z52" ca="1">CELL("protect",B52)</f>
        <v>1</v>
      </c>
      <c r="AA52" s="170" cm="1">
        <f t="array" aca="1" ref="AA52" ca="1">CELL("protect",C52)</f>
        <v>1</v>
      </c>
      <c r="AB52" s="170" cm="1">
        <f t="array" aca="1" ref="AB52" ca="1">CELL("protect",D52)</f>
        <v>1</v>
      </c>
      <c r="AC52" s="170" cm="1">
        <f t="array" aca="1" ref="AC52" ca="1">CELL("protect",E52)</f>
        <v>1</v>
      </c>
      <c r="AD52" s="170" cm="1">
        <f t="array" aca="1" ref="AD52" ca="1">CELL("protect",F52)</f>
        <v>1</v>
      </c>
      <c r="AE52" s="170" cm="1">
        <f t="array" aca="1" ref="AE52" ca="1">CELL("protect",G52)</f>
        <v>1</v>
      </c>
      <c r="AF52" s="170" cm="1">
        <f t="array" aca="1" ref="AF52" ca="1">CELL("protect",H52)</f>
        <v>1</v>
      </c>
      <c r="AG52" s="170" cm="1">
        <f t="array" aca="1" ref="AG52" ca="1">CELL("protect",I52)</f>
        <v>1</v>
      </c>
      <c r="AH52" s="170" cm="1">
        <f t="array" aca="1" ref="AH52" ca="1">CELL("protect",J52)</f>
        <v>1</v>
      </c>
      <c r="AI52" s="170" cm="1">
        <f t="array" aca="1" ref="AI52" ca="1">CELL("protect",K52)</f>
        <v>1</v>
      </c>
      <c r="AJ52" s="170" cm="1">
        <f t="array" aca="1" ref="AJ52" ca="1">CELL("protect",L52)</f>
        <v>1</v>
      </c>
      <c r="AK52" s="170"/>
      <c r="AL52" s="170"/>
      <c r="AM52" s="170"/>
    </row>
    <row r="53" spans="1:39" x14ac:dyDescent="0.25">
      <c r="A53" s="985">
        <f>ROW()</f>
        <v>53</v>
      </c>
      <c r="B53" s="141" t="s">
        <v>1006</v>
      </c>
      <c r="Y53" s="170" cm="1">
        <f t="array" aca="1" ref="Y53" ca="1">CELL("protect",A53)</f>
        <v>1</v>
      </c>
      <c r="Z53" s="170" cm="1">
        <f t="array" aca="1" ref="Z53" ca="1">CELL("protect",B53)</f>
        <v>1</v>
      </c>
      <c r="AA53" s="170" cm="1">
        <f t="array" aca="1" ref="AA53" ca="1">CELL("protect",C53)</f>
        <v>1</v>
      </c>
      <c r="AB53" s="170" cm="1">
        <f t="array" aca="1" ref="AB53" ca="1">CELL("protect",D53)</f>
        <v>1</v>
      </c>
      <c r="AC53" s="170" cm="1">
        <f t="array" aca="1" ref="AC53" ca="1">CELL("protect",E53)</f>
        <v>1</v>
      </c>
      <c r="AD53" s="170" cm="1">
        <f t="array" aca="1" ref="AD53" ca="1">CELL("protect",F53)</f>
        <v>1</v>
      </c>
      <c r="AE53" s="170" cm="1">
        <f t="array" aca="1" ref="AE53" ca="1">CELL("protect",G53)</f>
        <v>1</v>
      </c>
      <c r="AF53" s="170" cm="1">
        <f t="array" aca="1" ref="AF53" ca="1">CELL("protect",H53)</f>
        <v>1</v>
      </c>
      <c r="AG53" s="170" cm="1">
        <f t="array" aca="1" ref="AG53" ca="1">CELL("protect",I53)</f>
        <v>1</v>
      </c>
      <c r="AH53" s="170" cm="1">
        <f t="array" aca="1" ref="AH53" ca="1">CELL("protect",J53)</f>
        <v>1</v>
      </c>
      <c r="AI53" s="170" cm="1">
        <f t="array" aca="1" ref="AI53" ca="1">CELL("protect",K53)</f>
        <v>1</v>
      </c>
      <c r="AJ53" s="170" cm="1">
        <f t="array" aca="1" ref="AJ53" ca="1">CELL("protect",L53)</f>
        <v>1</v>
      </c>
      <c r="AK53" s="170"/>
      <c r="AL53" s="170"/>
      <c r="AM53" s="170"/>
    </row>
    <row r="54" spans="1:39" x14ac:dyDescent="0.25">
      <c r="A54" s="985">
        <f>ROW()</f>
        <v>54</v>
      </c>
      <c r="B54" s="141" t="s">
        <v>1007</v>
      </c>
      <c r="G54" s="490"/>
      <c r="H54" s="490"/>
      <c r="I54" s="490"/>
      <c r="J54" s="490"/>
      <c r="K54" s="490"/>
      <c r="L54" s="490"/>
      <c r="Y54" s="170" cm="1">
        <f t="array" aca="1" ref="Y54" ca="1">CELL("protect",A54)</f>
        <v>1</v>
      </c>
      <c r="Z54" s="170" cm="1">
        <f t="array" aca="1" ref="Z54" ca="1">CELL("protect",B54)</f>
        <v>1</v>
      </c>
      <c r="AA54" s="170" cm="1">
        <f t="array" aca="1" ref="AA54" ca="1">CELL("protect",C54)</f>
        <v>1</v>
      </c>
      <c r="AB54" s="170" cm="1">
        <f t="array" aca="1" ref="AB54" ca="1">CELL("protect",D54)</f>
        <v>1</v>
      </c>
      <c r="AC54" s="170" cm="1">
        <f t="array" aca="1" ref="AC54" ca="1">CELL("protect",E54)</f>
        <v>1</v>
      </c>
      <c r="AD54" s="170" cm="1">
        <f t="array" aca="1" ref="AD54" ca="1">CELL("protect",F54)</f>
        <v>1</v>
      </c>
      <c r="AE54" s="170" cm="1">
        <f t="array" aca="1" ref="AE54" ca="1">CELL("protect",G54)</f>
        <v>1</v>
      </c>
      <c r="AF54" s="170" cm="1">
        <f t="array" aca="1" ref="AF54" ca="1">CELL("protect",H54)</f>
        <v>1</v>
      </c>
      <c r="AG54" s="170" cm="1">
        <f t="array" aca="1" ref="AG54" ca="1">CELL("protect",I54)</f>
        <v>1</v>
      </c>
      <c r="AH54" s="170" cm="1">
        <f t="array" aca="1" ref="AH54" ca="1">CELL("protect",J54)</f>
        <v>1</v>
      </c>
      <c r="AI54" s="170" cm="1">
        <f t="array" aca="1" ref="AI54" ca="1">CELL("protect",K54)</f>
        <v>1</v>
      </c>
      <c r="AJ54" s="170" cm="1">
        <f t="array" aca="1" ref="AJ54" ca="1">CELL("protect",L54)</f>
        <v>1</v>
      </c>
      <c r="AK54" s="170"/>
      <c r="AL54" s="170"/>
      <c r="AM54" s="170"/>
    </row>
    <row r="55" spans="1:39" x14ac:dyDescent="0.25">
      <c r="A55" s="985">
        <f>ROW()</f>
        <v>55</v>
      </c>
      <c r="Y55" s="170" cm="1">
        <f t="array" aca="1" ref="Y55" ca="1">CELL("protect",A55)</f>
        <v>1</v>
      </c>
      <c r="Z55" s="170" cm="1">
        <f t="array" aca="1" ref="Z55" ca="1">CELL("protect",B55)</f>
        <v>1</v>
      </c>
      <c r="AA55" s="170" cm="1">
        <f t="array" aca="1" ref="AA55" ca="1">CELL("protect",C55)</f>
        <v>1</v>
      </c>
      <c r="AB55" s="170" cm="1">
        <f t="array" aca="1" ref="AB55" ca="1">CELL("protect",D55)</f>
        <v>1</v>
      </c>
      <c r="AC55" s="170" cm="1">
        <f t="array" aca="1" ref="AC55" ca="1">CELL("protect",E55)</f>
        <v>1</v>
      </c>
      <c r="AD55" s="170" cm="1">
        <f t="array" aca="1" ref="AD55" ca="1">CELL("protect",F55)</f>
        <v>1</v>
      </c>
      <c r="AE55" s="170" cm="1">
        <f t="array" aca="1" ref="AE55" ca="1">CELL("protect",G55)</f>
        <v>1</v>
      </c>
      <c r="AF55" s="170" cm="1">
        <f t="array" aca="1" ref="AF55" ca="1">CELL("protect",H55)</f>
        <v>1</v>
      </c>
      <c r="AG55" s="170" cm="1">
        <f t="array" aca="1" ref="AG55" ca="1">CELL("protect",I55)</f>
        <v>1</v>
      </c>
      <c r="AH55" s="170" cm="1">
        <f t="array" aca="1" ref="AH55" ca="1">CELL("protect",J55)</f>
        <v>1</v>
      </c>
      <c r="AI55" s="170" cm="1">
        <f t="array" aca="1" ref="AI55" ca="1">CELL("protect",K55)</f>
        <v>1</v>
      </c>
      <c r="AJ55" s="170" cm="1">
        <f t="array" aca="1" ref="AJ55" ca="1">CELL("protect",L55)</f>
        <v>1</v>
      </c>
      <c r="AK55" s="170"/>
      <c r="AL55" s="170"/>
      <c r="AM55" s="170"/>
    </row>
    <row r="56" spans="1:39" x14ac:dyDescent="0.25">
      <c r="A56" s="985">
        <f>ROW()</f>
        <v>56</v>
      </c>
    </row>
    <row r="57" spans="1:39" x14ac:dyDescent="0.25">
      <c r="A57" s="985">
        <f>ROW()</f>
        <v>57</v>
      </c>
    </row>
    <row r="58" spans="1:39" x14ac:dyDescent="0.25">
      <c r="A58" s="985">
        <f>ROW()</f>
        <v>58</v>
      </c>
    </row>
    <row r="59" spans="1:39" x14ac:dyDescent="0.25">
      <c r="A59" s="985">
        <f>ROW()</f>
        <v>59</v>
      </c>
    </row>
    <row r="60" spans="1:39" x14ac:dyDescent="0.25">
      <c r="A60" s="985">
        <f>ROW()</f>
        <v>60</v>
      </c>
    </row>
    <row r="61" spans="1:39" x14ac:dyDescent="0.25">
      <c r="A61" s="985">
        <f>ROW()</f>
        <v>61</v>
      </c>
    </row>
    <row r="62" spans="1:39" x14ac:dyDescent="0.25">
      <c r="A62" s="985">
        <f>ROW()</f>
        <v>62</v>
      </c>
    </row>
    <row r="63" spans="1:39" x14ac:dyDescent="0.25">
      <c r="A63" s="985">
        <f>ROW()</f>
        <v>63</v>
      </c>
    </row>
    <row r="64" spans="1:39" x14ac:dyDescent="0.25">
      <c r="A64" s="985">
        <f>ROW()</f>
        <v>64</v>
      </c>
    </row>
    <row r="65" spans="1:1" x14ac:dyDescent="0.25">
      <c r="A65" s="985">
        <f>ROW()</f>
        <v>65</v>
      </c>
    </row>
    <row r="66" spans="1:1" x14ac:dyDescent="0.25">
      <c r="A66" s="985">
        <f>ROW()</f>
        <v>66</v>
      </c>
    </row>
    <row r="67" spans="1:1" x14ac:dyDescent="0.25">
      <c r="A67" s="985">
        <f>ROW()</f>
        <v>67</v>
      </c>
    </row>
    <row r="68" spans="1:1" x14ac:dyDescent="0.25">
      <c r="A68" s="985">
        <f>ROW()</f>
        <v>68</v>
      </c>
    </row>
    <row r="69" spans="1:1" x14ac:dyDescent="0.25">
      <c r="A69" s="985">
        <f>ROW()</f>
        <v>69</v>
      </c>
    </row>
    <row r="70" spans="1:1" x14ac:dyDescent="0.25">
      <c r="A70" s="985">
        <f>ROW()</f>
        <v>70</v>
      </c>
    </row>
    <row r="71" spans="1:1" x14ac:dyDescent="0.25">
      <c r="A71" s="985">
        <f>ROW()</f>
        <v>71</v>
      </c>
    </row>
    <row r="72" spans="1:1" x14ac:dyDescent="0.25">
      <c r="A72" s="985">
        <f>ROW()</f>
        <v>72</v>
      </c>
    </row>
    <row r="73" spans="1:1" x14ac:dyDescent="0.25">
      <c r="A73" s="985">
        <f>ROW()</f>
        <v>73</v>
      </c>
    </row>
    <row r="74" spans="1:1" x14ac:dyDescent="0.25">
      <c r="A74" s="985">
        <f>ROW()</f>
        <v>74</v>
      </c>
    </row>
    <row r="75" spans="1:1" x14ac:dyDescent="0.25">
      <c r="A75" s="985">
        <f>ROW()</f>
        <v>75</v>
      </c>
    </row>
    <row r="76" spans="1:1" x14ac:dyDescent="0.25">
      <c r="A76" s="985">
        <f>ROW()</f>
        <v>76</v>
      </c>
    </row>
    <row r="77" spans="1:1" x14ac:dyDescent="0.25">
      <c r="A77" s="985">
        <f>ROW()</f>
        <v>77</v>
      </c>
    </row>
    <row r="78" spans="1:1" x14ac:dyDescent="0.25">
      <c r="A78" s="985">
        <f>ROW()</f>
        <v>78</v>
      </c>
    </row>
    <row r="79" spans="1:1" x14ac:dyDescent="0.25">
      <c r="A79" s="985">
        <f>ROW()</f>
        <v>79</v>
      </c>
    </row>
    <row r="80" spans="1:1" x14ac:dyDescent="0.25">
      <c r="A80" s="985">
        <f>ROW()</f>
        <v>80</v>
      </c>
    </row>
    <row r="81" spans="1:1" x14ac:dyDescent="0.25">
      <c r="A81" s="985">
        <f>ROW()</f>
        <v>81</v>
      </c>
    </row>
    <row r="82" spans="1:1" x14ac:dyDescent="0.25">
      <c r="A82" s="985">
        <f>ROW()</f>
        <v>82</v>
      </c>
    </row>
    <row r="83" spans="1:1" x14ac:dyDescent="0.25">
      <c r="A83" s="985">
        <f>ROW()</f>
        <v>83</v>
      </c>
    </row>
    <row r="84" spans="1:1" x14ac:dyDescent="0.25">
      <c r="A84" s="985">
        <f>ROW()</f>
        <v>84</v>
      </c>
    </row>
    <row r="85" spans="1:1" x14ac:dyDescent="0.25">
      <c r="A85" s="985">
        <f>ROW()</f>
        <v>85</v>
      </c>
    </row>
    <row r="86" spans="1:1" x14ac:dyDescent="0.25">
      <c r="A86" s="985">
        <f>ROW()</f>
        <v>86</v>
      </c>
    </row>
    <row r="87" spans="1:1" x14ac:dyDescent="0.25">
      <c r="A87" s="985">
        <f>ROW()</f>
        <v>87</v>
      </c>
    </row>
    <row r="88" spans="1:1" x14ac:dyDescent="0.25">
      <c r="A88" s="985">
        <f>ROW()</f>
        <v>88</v>
      </c>
    </row>
    <row r="89" spans="1:1" x14ac:dyDescent="0.25">
      <c r="A89" s="985">
        <f>ROW()</f>
        <v>89</v>
      </c>
    </row>
    <row r="90" spans="1:1" x14ac:dyDescent="0.25">
      <c r="A90" s="985">
        <f>ROW()</f>
        <v>90</v>
      </c>
    </row>
    <row r="91" spans="1:1" x14ac:dyDescent="0.25">
      <c r="A91" s="985">
        <f>ROW()</f>
        <v>91</v>
      </c>
    </row>
    <row r="92" spans="1:1" x14ac:dyDescent="0.25">
      <c r="A92" s="985">
        <f>ROW()</f>
        <v>92</v>
      </c>
    </row>
    <row r="93" spans="1:1" x14ac:dyDescent="0.25">
      <c r="A93" s="985">
        <f>ROW()</f>
        <v>93</v>
      </c>
    </row>
    <row r="94" spans="1:1" x14ac:dyDescent="0.25">
      <c r="A94" s="985">
        <f>ROW()</f>
        <v>94</v>
      </c>
    </row>
    <row r="95" spans="1:1" x14ac:dyDescent="0.25">
      <c r="A95" s="985">
        <f>ROW()</f>
        <v>95</v>
      </c>
    </row>
    <row r="96" spans="1:1" x14ac:dyDescent="0.25">
      <c r="A96" s="985">
        <f>ROW()</f>
        <v>96</v>
      </c>
    </row>
    <row r="97" spans="1:1" x14ac:dyDescent="0.25">
      <c r="A97" s="985">
        <f>ROW()</f>
        <v>97</v>
      </c>
    </row>
    <row r="98" spans="1:1" x14ac:dyDescent="0.25">
      <c r="A98" s="985">
        <f>ROW()</f>
        <v>98</v>
      </c>
    </row>
    <row r="99" spans="1:1" x14ac:dyDescent="0.25">
      <c r="A99" s="985">
        <f>ROW()</f>
        <v>99</v>
      </c>
    </row>
    <row r="100" spans="1:1" x14ac:dyDescent="0.25">
      <c r="A100" s="985">
        <f>ROW()</f>
        <v>100</v>
      </c>
    </row>
  </sheetData>
  <conditionalFormatting sqref="C1">
    <cfRule type="expression" dxfId="13" priority="2" stopIfTrue="1">
      <formula>MOD(ROW(),2)=0</formula>
    </cfRule>
  </conditionalFormatting>
  <conditionalFormatting sqref="Y1:AM55">
    <cfRule type="cellIs" dxfId="12" priority="1" stopIfTrue="1" operator="equal">
      <formula>0</formula>
    </cfRule>
  </conditionalFormatting>
  <hyperlinks>
    <hyperlink ref="C1" location="HypLink1" display="HypLink1" xr:uid="{D83DE9AD-E408-4F38-A740-B78543A49FEC}"/>
  </hyperlinks>
  <pageMargins left="0.7" right="0.7" top="0.75" bottom="0.75" header="0.3" footer="0.3"/>
  <pageSetup paperSize="119" scale="78"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735BA-05A4-4428-BDE4-148F0075E66C}">
  <sheetPr>
    <pageSetUpPr fitToPage="1"/>
  </sheetPr>
  <dimension ref="A1:V47"/>
  <sheetViews>
    <sheetView workbookViewId="0">
      <selection activeCell="L45" sqref="L45"/>
    </sheetView>
  </sheetViews>
  <sheetFormatPr defaultRowHeight="15" x14ac:dyDescent="0.25"/>
  <cols>
    <col min="1" max="1" width="6.7109375" style="42" bestFit="1" customWidth="1"/>
    <col min="2" max="2" width="29.28515625" style="42" customWidth="1"/>
    <col min="3" max="3" width="12.5703125" style="42" customWidth="1"/>
    <col min="4" max="4" width="9.42578125" style="42" customWidth="1"/>
    <col min="5" max="5" width="7.28515625" style="42" customWidth="1"/>
    <col min="6" max="6" width="10.42578125" style="42" customWidth="1"/>
    <col min="7" max="7" width="12.7109375" style="42" bestFit="1" customWidth="1"/>
    <col min="8" max="14" width="14.7109375" style="42" customWidth="1"/>
    <col min="15" max="15" width="3.42578125" style="42" customWidth="1"/>
    <col min="16" max="16" width="76.5703125" style="78" customWidth="1"/>
    <col min="17" max="18" width="10.5703125" style="42" bestFit="1" customWidth="1"/>
    <col min="19" max="19" width="20.28515625" style="42" customWidth="1"/>
    <col min="20" max="22" width="9.140625" style="42"/>
  </cols>
  <sheetData>
    <row r="1" spans="1:16" ht="18" x14ac:dyDescent="0.25">
      <c r="A1" s="1621" t="s">
        <v>1008</v>
      </c>
      <c r="B1" s="1621"/>
      <c r="C1" s="1621"/>
      <c r="D1" s="1621"/>
      <c r="E1" s="346"/>
      <c r="F1" s="347"/>
      <c r="G1" s="242" t="s">
        <v>3</v>
      </c>
    </row>
    <row r="2" spans="1:16" ht="15.75" x14ac:dyDescent="0.25">
      <c r="A2" s="80" t="str">
        <f>SchoolName</f>
        <v>Odyssey Charter School</v>
      </c>
      <c r="B2" s="948"/>
      <c r="C2" s="80"/>
      <c r="D2" s="948"/>
      <c r="E2" s="346"/>
      <c r="F2" s="84"/>
    </row>
    <row r="3" spans="1:16" x14ac:dyDescent="0.25">
      <c r="A3" s="82" t="s">
        <v>80</v>
      </c>
    </row>
    <row r="4" spans="1:16" x14ac:dyDescent="0.25">
      <c r="A4" s="248" t="s">
        <v>81</v>
      </c>
    </row>
    <row r="5" spans="1:16" x14ac:dyDescent="0.25">
      <c r="A5" s="83" t="str">
        <f ca="1">CELL("filename")</f>
        <v>\\lvraiders\users\sguthrie\Documents\Charter\Change of Sponsorship\[240126-SPCSA-Odyssey Charter School Application Workbook-Modified-Version (1).xlsx]Instructions</v>
      </c>
    </row>
    <row r="7" spans="1:16" x14ac:dyDescent="0.25">
      <c r="A7" s="249"/>
      <c r="B7" s="38"/>
    </row>
    <row r="8" spans="1:16" x14ac:dyDescent="0.25">
      <c r="A8" s="249"/>
      <c r="B8" s="38"/>
    </row>
    <row r="9" spans="1:16" x14ac:dyDescent="0.25">
      <c r="A9" s="249"/>
      <c r="B9" s="38"/>
    </row>
    <row r="10" spans="1:16" x14ac:dyDescent="0.25">
      <c r="A10" s="249"/>
      <c r="H10" s="1055"/>
      <c r="I10" s="1055" t="s">
        <v>1009</v>
      </c>
      <c r="J10" s="1056"/>
      <c r="K10" s="1056"/>
      <c r="L10" s="1056"/>
      <c r="M10" s="1056"/>
      <c r="N10" s="1057"/>
      <c r="P10" s="50" t="s">
        <v>103</v>
      </c>
    </row>
    <row r="11" spans="1:16" x14ac:dyDescent="0.25">
      <c r="A11" s="249"/>
      <c r="H11" s="348">
        <v>0</v>
      </c>
      <c r="I11" s="1058" t="s">
        <v>736</v>
      </c>
      <c r="J11" s="1059" t="s">
        <v>737</v>
      </c>
      <c r="K11" s="1059" t="s">
        <v>738</v>
      </c>
      <c r="L11" s="1059" t="s">
        <v>739</v>
      </c>
      <c r="M11" s="1059" t="s">
        <v>740</v>
      </c>
      <c r="N11" s="1060" t="s">
        <v>741</v>
      </c>
      <c r="P11" s="101"/>
    </row>
    <row r="12" spans="1:16" ht="15.75" x14ac:dyDescent="0.25">
      <c r="A12" s="527"/>
      <c r="F12" s="349"/>
      <c r="G12" s="349"/>
      <c r="H12" s="1061">
        <f>+I12-1</f>
        <v>2024</v>
      </c>
      <c r="I12" s="1062">
        <f>Cover!E11</f>
        <v>2025</v>
      </c>
      <c r="J12" s="1063">
        <f>+I13</f>
        <v>2026</v>
      </c>
      <c r="K12" s="1063">
        <f>+J13</f>
        <v>2027</v>
      </c>
      <c r="L12" s="1063">
        <f>+K13</f>
        <v>2028</v>
      </c>
      <c r="M12" s="1063">
        <f>+L13</f>
        <v>2029</v>
      </c>
      <c r="N12" s="1064">
        <f>+M13</f>
        <v>2030</v>
      </c>
      <c r="P12" s="104"/>
    </row>
    <row r="13" spans="1:16" ht="15.75" x14ac:dyDescent="0.25">
      <c r="A13" s="527"/>
      <c r="F13" s="833"/>
      <c r="G13" s="833"/>
      <c r="H13" s="1065">
        <f>+I13-1</f>
        <v>2025</v>
      </c>
      <c r="I13" s="1065">
        <f t="shared" ref="I13:N13" si="0">+I12+1</f>
        <v>2026</v>
      </c>
      <c r="J13" s="1066">
        <f t="shared" si="0"/>
        <v>2027</v>
      </c>
      <c r="K13" s="1066">
        <f t="shared" si="0"/>
        <v>2028</v>
      </c>
      <c r="L13" s="1066">
        <f t="shared" si="0"/>
        <v>2029</v>
      </c>
      <c r="M13" s="1066">
        <f t="shared" si="0"/>
        <v>2030</v>
      </c>
      <c r="N13" s="1067">
        <f t="shared" si="0"/>
        <v>2031</v>
      </c>
      <c r="P13" s="104"/>
    </row>
    <row r="14" spans="1:16" ht="18.75" x14ac:dyDescent="0.3">
      <c r="A14" s="527">
        <f>ROW()</f>
        <v>14</v>
      </c>
      <c r="B14" s="521" t="s">
        <v>272</v>
      </c>
      <c r="C14" s="1068"/>
      <c r="F14" s="349"/>
      <c r="G14" s="349"/>
      <c r="H14" s="352"/>
      <c r="I14" s="255"/>
      <c r="J14" s="255"/>
      <c r="K14" s="255"/>
      <c r="L14" s="255"/>
      <c r="M14" s="255"/>
      <c r="N14" s="255"/>
      <c r="P14" s="104"/>
    </row>
    <row r="15" spans="1:16" x14ac:dyDescent="0.25">
      <c r="A15" s="527">
        <f>ROW()</f>
        <v>15</v>
      </c>
      <c r="B15" s="42" t="s">
        <v>273</v>
      </c>
      <c r="C15" s="109"/>
      <c r="H15" s="1069">
        <v>0</v>
      </c>
      <c r="I15" s="1070">
        <f t="shared" ref="I15:N15" si="1">COUNTIF(I18:I30,"&gt;0")</f>
        <v>13</v>
      </c>
      <c r="J15" s="1070">
        <f t="shared" si="1"/>
        <v>13</v>
      </c>
      <c r="K15" s="1070">
        <f t="shared" si="1"/>
        <v>13</v>
      </c>
      <c r="L15" s="1070">
        <f t="shared" si="1"/>
        <v>13</v>
      </c>
      <c r="M15" s="1070">
        <f t="shared" si="1"/>
        <v>13</v>
      </c>
      <c r="N15" s="1070">
        <f t="shared" si="1"/>
        <v>13</v>
      </c>
      <c r="P15" s="104"/>
    </row>
    <row r="16" spans="1:16" x14ac:dyDescent="0.25">
      <c r="A16" s="527">
        <f>ROW()</f>
        <v>16</v>
      </c>
      <c r="B16" s="29" t="s">
        <v>274</v>
      </c>
      <c r="C16" s="1071"/>
      <c r="D16" s="29"/>
      <c r="E16" s="29"/>
      <c r="F16" s="29"/>
      <c r="G16" s="29"/>
      <c r="H16" s="1072">
        <v>0</v>
      </c>
      <c r="I16" s="1070">
        <f>+' Enrol &amp; Rev'!G19</f>
        <v>23.200199999999999</v>
      </c>
      <c r="J16" s="1070">
        <f>+' Enrol &amp; Rev'!H19</f>
        <v>23.200199999999999</v>
      </c>
      <c r="K16" s="1070">
        <f>+' Enrol &amp; Rev'!I19</f>
        <v>23.200199999999999</v>
      </c>
      <c r="L16" s="1070">
        <f>+' Enrol &amp; Rev'!J19</f>
        <v>23.200199999999999</v>
      </c>
      <c r="M16" s="1070">
        <f>+' Enrol &amp; Rev'!K19</f>
        <v>23.200199999999999</v>
      </c>
      <c r="N16" s="1070">
        <f>+' Enrol &amp; Rev'!L19</f>
        <v>23.200199999999999</v>
      </c>
      <c r="P16" s="104"/>
    </row>
    <row r="17" spans="1:16" x14ac:dyDescent="0.25">
      <c r="A17" s="527">
        <f>ROW()</f>
        <v>17</v>
      </c>
      <c r="B17" s="266"/>
      <c r="C17" s="1073"/>
      <c r="D17" s="845"/>
      <c r="E17" s="845"/>
      <c r="F17" s="1074"/>
      <c r="G17" s="1074"/>
      <c r="H17" s="1074"/>
      <c r="I17" s="1074"/>
      <c r="J17" s="1074"/>
      <c r="K17" s="1074"/>
      <c r="L17" s="1074"/>
      <c r="M17" s="1074"/>
      <c r="N17" s="1074"/>
      <c r="P17" s="104"/>
    </row>
    <row r="18" spans="1:16" x14ac:dyDescent="0.25">
      <c r="A18" s="527">
        <f>ROW()</f>
        <v>18</v>
      </c>
      <c r="B18" s="343" t="s">
        <v>275</v>
      </c>
      <c r="C18" s="1075"/>
      <c r="D18" s="266"/>
      <c r="E18" s="266"/>
      <c r="H18" s="1076"/>
      <c r="I18" s="271">
        <f>+'Mkt Res'!E14</f>
        <v>48.12</v>
      </c>
      <c r="J18" s="271">
        <f>+'Mkt Res'!F14</f>
        <v>48.12</v>
      </c>
      <c r="K18" s="271">
        <f>+'Mkt Res'!G14</f>
        <v>48.12</v>
      </c>
      <c r="L18" s="271">
        <f>+'Mkt Res'!H14</f>
        <v>48.12</v>
      </c>
      <c r="M18" s="271">
        <f>+'Mkt Res'!I14</f>
        <v>48.12</v>
      </c>
      <c r="N18" s="271">
        <f>+'Mkt Res'!J14</f>
        <v>48.12</v>
      </c>
      <c r="P18" s="104"/>
    </row>
    <row r="19" spans="1:16" x14ac:dyDescent="0.25">
      <c r="A19" s="527">
        <f>ROW()</f>
        <v>19</v>
      </c>
      <c r="B19" s="272" t="s">
        <v>276</v>
      </c>
      <c r="C19" s="1077"/>
      <c r="D19" s="272"/>
      <c r="E19" s="272"/>
      <c r="F19" s="64"/>
      <c r="G19" s="64"/>
      <c r="H19" s="1078"/>
      <c r="I19" s="274">
        <f>+'Mkt Res'!E15</f>
        <v>43.88</v>
      </c>
      <c r="J19" s="274">
        <f>+'Mkt Res'!F15</f>
        <v>43.88</v>
      </c>
      <c r="K19" s="274">
        <f>+'Mkt Res'!G15</f>
        <v>43.88</v>
      </c>
      <c r="L19" s="274">
        <f>+'Mkt Res'!H15</f>
        <v>43.88</v>
      </c>
      <c r="M19" s="274">
        <f>+'Mkt Res'!I15</f>
        <v>43.88</v>
      </c>
      <c r="N19" s="274">
        <f>+'Mkt Res'!J15</f>
        <v>43.88</v>
      </c>
      <c r="P19" s="104"/>
    </row>
    <row r="20" spans="1:16" x14ac:dyDescent="0.25">
      <c r="A20" s="527">
        <f>ROW()</f>
        <v>20</v>
      </c>
      <c r="B20" s="272" t="s">
        <v>277</v>
      </c>
      <c r="C20" s="1077"/>
      <c r="D20" s="272"/>
      <c r="E20" s="272"/>
      <c r="F20" s="64"/>
      <c r="G20" s="64"/>
      <c r="H20" s="1078"/>
      <c r="I20" s="274">
        <f>+'Mkt Res'!E16</f>
        <v>53.08</v>
      </c>
      <c r="J20" s="274">
        <f>+'Mkt Res'!F16</f>
        <v>53.08</v>
      </c>
      <c r="K20" s="274">
        <f>+'Mkt Res'!G16</f>
        <v>53.08</v>
      </c>
      <c r="L20" s="274">
        <f>+'Mkt Res'!H16</f>
        <v>53.08</v>
      </c>
      <c r="M20" s="274">
        <f>+'Mkt Res'!I16</f>
        <v>53.08</v>
      </c>
      <c r="N20" s="274">
        <f>+'Mkt Res'!J16</f>
        <v>53.08</v>
      </c>
      <c r="P20" s="104"/>
    </row>
    <row r="21" spans="1:16" x14ac:dyDescent="0.25">
      <c r="A21" s="527">
        <f>ROW()</f>
        <v>21</v>
      </c>
      <c r="B21" s="272" t="s">
        <v>278</v>
      </c>
      <c r="C21" s="1077"/>
      <c r="D21" s="272"/>
      <c r="E21" s="272"/>
      <c r="F21" s="64"/>
      <c r="G21" s="64"/>
      <c r="H21" s="1078"/>
      <c r="I21" s="274">
        <f>+'Mkt Res'!E17</f>
        <v>60.61</v>
      </c>
      <c r="J21" s="274">
        <f>+'Mkt Res'!F17</f>
        <v>60.61</v>
      </c>
      <c r="K21" s="274">
        <f>+'Mkt Res'!G17</f>
        <v>60.61</v>
      </c>
      <c r="L21" s="274">
        <f>+'Mkt Res'!H17</f>
        <v>60.61</v>
      </c>
      <c r="M21" s="274">
        <f>+'Mkt Res'!I17</f>
        <v>60.61</v>
      </c>
      <c r="N21" s="274">
        <f>+'Mkt Res'!J17</f>
        <v>60.61</v>
      </c>
      <c r="P21" s="104"/>
    </row>
    <row r="22" spans="1:16" x14ac:dyDescent="0.25">
      <c r="A22" s="527">
        <f>ROW()</f>
        <v>22</v>
      </c>
      <c r="B22" s="272" t="s">
        <v>279</v>
      </c>
      <c r="C22" s="1077"/>
      <c r="D22" s="272"/>
      <c r="E22" s="272"/>
      <c r="F22" s="64"/>
      <c r="G22" s="64"/>
      <c r="H22" s="1078"/>
      <c r="I22" s="274">
        <f>+'Mkt Res'!E18</f>
        <v>72.260000000000005</v>
      </c>
      <c r="J22" s="274">
        <f>+'Mkt Res'!F18</f>
        <v>72.260000000000005</v>
      </c>
      <c r="K22" s="274">
        <f>+'Mkt Res'!G18</f>
        <v>72.260000000000005</v>
      </c>
      <c r="L22" s="274">
        <f>+'Mkt Res'!H18</f>
        <v>72.260000000000005</v>
      </c>
      <c r="M22" s="274">
        <f>+'Mkt Res'!I18</f>
        <v>72.260000000000005</v>
      </c>
      <c r="N22" s="274">
        <f>+'Mkt Res'!J18</f>
        <v>72.260000000000005</v>
      </c>
      <c r="P22" s="104"/>
    </row>
    <row r="23" spans="1:16" x14ac:dyDescent="0.25">
      <c r="A23" s="527">
        <f>ROW()</f>
        <v>23</v>
      </c>
      <c r="B23" s="272" t="s">
        <v>280</v>
      </c>
      <c r="C23" s="1077"/>
      <c r="D23" s="272"/>
      <c r="E23" s="272"/>
      <c r="F23" s="64"/>
      <c r="G23" s="64"/>
      <c r="H23" s="1078"/>
      <c r="I23" s="274">
        <f>+'Mkt Res'!E19</f>
        <v>75.150000000000006</v>
      </c>
      <c r="J23" s="274">
        <f>+'Mkt Res'!F19</f>
        <v>75.150000000000006</v>
      </c>
      <c r="K23" s="274">
        <f>+'Mkt Res'!G19</f>
        <v>75.150000000000006</v>
      </c>
      <c r="L23" s="274">
        <f>+'Mkt Res'!H19</f>
        <v>75.150000000000006</v>
      </c>
      <c r="M23" s="274">
        <f>+'Mkt Res'!I19</f>
        <v>75.150000000000006</v>
      </c>
      <c r="N23" s="274">
        <f>+'Mkt Res'!J19</f>
        <v>75.150000000000006</v>
      </c>
      <c r="P23" s="104"/>
    </row>
    <row r="24" spans="1:16" x14ac:dyDescent="0.25">
      <c r="A24" s="527">
        <f>ROW()</f>
        <v>24</v>
      </c>
      <c r="B24" s="272" t="s">
        <v>281</v>
      </c>
      <c r="C24" s="1077"/>
      <c r="D24" s="272"/>
      <c r="E24" s="272"/>
      <c r="F24" s="64"/>
      <c r="G24" s="64"/>
      <c r="H24" s="1078"/>
      <c r="I24" s="274">
        <f>+'Mkt Res'!E20</f>
        <v>164.84</v>
      </c>
      <c r="J24" s="274">
        <f>+'Mkt Res'!F20</f>
        <v>164.84</v>
      </c>
      <c r="K24" s="274">
        <f>+'Mkt Res'!G20</f>
        <v>164.84</v>
      </c>
      <c r="L24" s="274">
        <f>+'Mkt Res'!H20</f>
        <v>164.84</v>
      </c>
      <c r="M24" s="274">
        <f>+'Mkt Res'!I20</f>
        <v>164.84</v>
      </c>
      <c r="N24" s="274">
        <f>+'Mkt Res'!J20</f>
        <v>164.84</v>
      </c>
      <c r="P24" s="104"/>
    </row>
    <row r="25" spans="1:16" x14ac:dyDescent="0.25">
      <c r="A25" s="527">
        <f>ROW()</f>
        <v>25</v>
      </c>
      <c r="B25" s="272" t="s">
        <v>282</v>
      </c>
      <c r="C25" s="1077"/>
      <c r="D25" s="272"/>
      <c r="E25" s="272"/>
      <c r="F25" s="64"/>
      <c r="G25" s="64"/>
      <c r="H25" s="1078"/>
      <c r="I25" s="274">
        <f>+'Mkt Res'!E21</f>
        <v>218.49</v>
      </c>
      <c r="J25" s="274">
        <f>+'Mkt Res'!F21</f>
        <v>218.49</v>
      </c>
      <c r="K25" s="274">
        <f>+'Mkt Res'!G21</f>
        <v>218.49</v>
      </c>
      <c r="L25" s="274">
        <f>+'Mkt Res'!H21</f>
        <v>218.49</v>
      </c>
      <c r="M25" s="274">
        <f>+'Mkt Res'!I21</f>
        <v>218.49</v>
      </c>
      <c r="N25" s="274">
        <f>+'Mkt Res'!J21</f>
        <v>218.49</v>
      </c>
      <c r="P25" s="104"/>
    </row>
    <row r="26" spans="1:16" x14ac:dyDescent="0.25">
      <c r="A26" s="527">
        <f>ROW()</f>
        <v>26</v>
      </c>
      <c r="B26" s="272" t="s">
        <v>283</v>
      </c>
      <c r="C26" s="1077"/>
      <c r="D26" s="272"/>
      <c r="E26" s="272"/>
      <c r="F26" s="64"/>
      <c r="G26" s="64"/>
      <c r="H26" s="1078"/>
      <c r="I26" s="274">
        <f>+'Mkt Res'!E22</f>
        <v>220.76</v>
      </c>
      <c r="J26" s="274">
        <f>+'Mkt Res'!F22</f>
        <v>220.76</v>
      </c>
      <c r="K26" s="274">
        <f>+'Mkt Res'!G22</f>
        <v>220.76</v>
      </c>
      <c r="L26" s="274">
        <f>+'Mkt Res'!H22</f>
        <v>220.76</v>
      </c>
      <c r="M26" s="274">
        <f>+'Mkt Res'!I22</f>
        <v>220.76</v>
      </c>
      <c r="N26" s="274">
        <f>+'Mkt Res'!J22</f>
        <v>220.76</v>
      </c>
      <c r="P26" s="104"/>
    </row>
    <row r="27" spans="1:16" x14ac:dyDescent="0.25">
      <c r="A27" s="527">
        <f>ROW()</f>
        <v>27</v>
      </c>
      <c r="B27" s="272" t="s">
        <v>284</v>
      </c>
      <c r="C27" s="1077"/>
      <c r="D27" s="272"/>
      <c r="E27" s="272"/>
      <c r="F27" s="64"/>
      <c r="G27" s="64"/>
      <c r="H27" s="1078"/>
      <c r="I27" s="274">
        <f>+'Mkt Res'!E23</f>
        <v>273.95999999999998</v>
      </c>
      <c r="J27" s="274">
        <f>+'Mkt Res'!F23</f>
        <v>273.95999999999998</v>
      </c>
      <c r="K27" s="274">
        <f>+'Mkt Res'!G23</f>
        <v>273.95999999999998</v>
      </c>
      <c r="L27" s="274">
        <f>+'Mkt Res'!H23</f>
        <v>273.95999999999998</v>
      </c>
      <c r="M27" s="274">
        <f>+'Mkt Res'!I23</f>
        <v>273.95999999999998</v>
      </c>
      <c r="N27" s="274">
        <f>+'Mkt Res'!J23</f>
        <v>273.95999999999998</v>
      </c>
      <c r="P27" s="104"/>
    </row>
    <row r="28" spans="1:16" x14ac:dyDescent="0.25">
      <c r="A28" s="527">
        <f>ROW()</f>
        <v>28</v>
      </c>
      <c r="B28" s="272" t="s">
        <v>285</v>
      </c>
      <c r="C28" s="1077"/>
      <c r="D28" s="272"/>
      <c r="E28" s="272"/>
      <c r="F28" s="64"/>
      <c r="G28" s="64"/>
      <c r="H28" s="1078"/>
      <c r="I28" s="274">
        <f>+'Mkt Res'!E24</f>
        <v>302.51</v>
      </c>
      <c r="J28" s="274">
        <f>+'Mkt Res'!F24</f>
        <v>302.51</v>
      </c>
      <c r="K28" s="274">
        <f>+'Mkt Res'!G24</f>
        <v>302.51</v>
      </c>
      <c r="L28" s="274">
        <f>+'Mkt Res'!H24</f>
        <v>302.51</v>
      </c>
      <c r="M28" s="274">
        <f>+'Mkt Res'!I24</f>
        <v>302.51</v>
      </c>
      <c r="N28" s="274">
        <f>+'Mkt Res'!J24</f>
        <v>302.51</v>
      </c>
      <c r="P28" s="104"/>
    </row>
    <row r="29" spans="1:16" x14ac:dyDescent="0.25">
      <c r="A29" s="527">
        <f>ROW()</f>
        <v>29</v>
      </c>
      <c r="B29" s="272" t="s">
        <v>286</v>
      </c>
      <c r="C29" s="1077"/>
      <c r="D29" s="272"/>
      <c r="E29" s="272"/>
      <c r="F29" s="64"/>
      <c r="G29" s="64"/>
      <c r="H29" s="1078"/>
      <c r="I29" s="274">
        <f>+'Mkt Res'!E25</f>
        <v>390.51</v>
      </c>
      <c r="J29" s="274">
        <f>+'Mkt Res'!F25</f>
        <v>390.51</v>
      </c>
      <c r="K29" s="274">
        <f>+'Mkt Res'!G25</f>
        <v>390.51</v>
      </c>
      <c r="L29" s="274">
        <f>+'Mkt Res'!H25</f>
        <v>390.51</v>
      </c>
      <c r="M29" s="274">
        <f>+'Mkt Res'!I25</f>
        <v>390.51</v>
      </c>
      <c r="N29" s="274">
        <f>+'Mkt Res'!J25</f>
        <v>390.51</v>
      </c>
      <c r="P29" s="104"/>
    </row>
    <row r="30" spans="1:16" x14ac:dyDescent="0.25">
      <c r="A30" s="527">
        <f>ROW()</f>
        <v>30</v>
      </c>
      <c r="B30" s="272" t="s">
        <v>287</v>
      </c>
      <c r="C30" s="1077"/>
      <c r="D30" s="272"/>
      <c r="E30" s="272"/>
      <c r="F30" s="64"/>
      <c r="G30" s="29"/>
      <c r="H30" s="1079"/>
      <c r="I30" s="277">
        <f>+'Mkt Res'!E26</f>
        <v>395.85</v>
      </c>
      <c r="J30" s="277">
        <f>+'Mkt Res'!F26</f>
        <v>395.85</v>
      </c>
      <c r="K30" s="277">
        <f>+'Mkt Res'!G26</f>
        <v>395.85</v>
      </c>
      <c r="L30" s="277">
        <f>+'Mkt Res'!H26</f>
        <v>395.85</v>
      </c>
      <c r="M30" s="277">
        <f>+'Mkt Res'!I26</f>
        <v>395.85</v>
      </c>
      <c r="N30" s="277">
        <f>+'Mkt Res'!J26</f>
        <v>395.85</v>
      </c>
      <c r="P30" s="104"/>
    </row>
    <row r="31" spans="1:16" x14ac:dyDescent="0.25">
      <c r="A31" s="527">
        <f>ROW()</f>
        <v>31</v>
      </c>
      <c r="B31" s="278" t="s">
        <v>288</v>
      </c>
      <c r="C31" s="1080"/>
      <c r="D31" s="1080"/>
      <c r="E31" s="1080"/>
      <c r="F31" s="1080"/>
      <c r="G31" s="286"/>
      <c r="H31" s="667"/>
      <c r="I31" s="279">
        <f t="shared" ref="I31:N31" si="2">SUM(I18:I30)</f>
        <v>2320.02</v>
      </c>
      <c r="J31" s="279">
        <f t="shared" si="2"/>
        <v>2320.02</v>
      </c>
      <c r="K31" s="279">
        <f t="shared" si="2"/>
        <v>2320.02</v>
      </c>
      <c r="L31" s="279">
        <f t="shared" si="2"/>
        <v>2320.02</v>
      </c>
      <c r="M31" s="279">
        <f t="shared" si="2"/>
        <v>2320.02</v>
      </c>
      <c r="N31" s="279">
        <f t="shared" si="2"/>
        <v>2320.02</v>
      </c>
      <c r="P31" s="104"/>
    </row>
    <row r="32" spans="1:16" x14ac:dyDescent="0.25">
      <c r="A32" s="527">
        <f>ROW()</f>
        <v>32</v>
      </c>
      <c r="B32" s="266" t="s">
        <v>289</v>
      </c>
      <c r="C32" s="266"/>
      <c r="D32" s="266"/>
      <c r="E32" s="266"/>
      <c r="H32" s="483"/>
      <c r="I32" s="280">
        <f>IFERROR(I31/I16,0)</f>
        <v>100</v>
      </c>
      <c r="J32" s="280">
        <f t="shared" ref="J32:N32" si="3">IFERROR(J31/J16,0)</f>
        <v>100</v>
      </c>
      <c r="K32" s="280">
        <f t="shared" si="3"/>
        <v>100</v>
      </c>
      <c r="L32" s="280">
        <f t="shared" si="3"/>
        <v>100</v>
      </c>
      <c r="M32" s="280">
        <f t="shared" si="3"/>
        <v>100</v>
      </c>
      <c r="N32" s="280">
        <f t="shared" si="3"/>
        <v>100</v>
      </c>
      <c r="P32" s="104"/>
    </row>
    <row r="33" spans="1:16" x14ac:dyDescent="0.25">
      <c r="A33" s="527">
        <f>ROW()</f>
        <v>33</v>
      </c>
      <c r="P33" s="104"/>
    </row>
    <row r="34" spans="1:16" ht="18.75" x14ac:dyDescent="0.3">
      <c r="A34" s="527">
        <f>ROW()</f>
        <v>34</v>
      </c>
      <c r="B34" s="1622" t="s">
        <v>1010</v>
      </c>
      <c r="C34" s="1622"/>
      <c r="D34" s="1622"/>
      <c r="E34" s="1622"/>
      <c r="F34" s="1622"/>
      <c r="G34" s="1081"/>
      <c r="H34" s="981">
        <f>+H11</f>
        <v>0</v>
      </c>
      <c r="I34" s="981" t="str">
        <f t="shared" ref="I34:N34" si="4">+I11</f>
        <v>SY 1</v>
      </c>
      <c r="J34" s="981" t="str">
        <f t="shared" si="4"/>
        <v>SY 2</v>
      </c>
      <c r="K34" s="981" t="str">
        <f t="shared" si="4"/>
        <v>SY 3</v>
      </c>
      <c r="L34" s="981" t="str">
        <f t="shared" si="4"/>
        <v>SY 4</v>
      </c>
      <c r="M34" s="981" t="str">
        <f t="shared" si="4"/>
        <v>SY 5</v>
      </c>
      <c r="N34" s="981" t="str">
        <f t="shared" si="4"/>
        <v>SY 6</v>
      </c>
      <c r="P34" s="104"/>
    </row>
    <row r="35" spans="1:16" x14ac:dyDescent="0.25">
      <c r="A35" s="527">
        <f>ROW()</f>
        <v>35</v>
      </c>
      <c r="B35" s="957" t="s">
        <v>1011</v>
      </c>
      <c r="C35" s="957" t="s">
        <v>1012</v>
      </c>
      <c r="D35" s="957"/>
      <c r="E35" s="957"/>
      <c r="F35" s="957"/>
      <c r="G35" s="1082" t="s">
        <v>316</v>
      </c>
      <c r="H35" s="1083">
        <f>H13</f>
        <v>2025</v>
      </c>
      <c r="I35" s="1083">
        <f t="shared" ref="I35:N35" si="5">I13</f>
        <v>2026</v>
      </c>
      <c r="J35" s="1083">
        <f t="shared" si="5"/>
        <v>2027</v>
      </c>
      <c r="K35" s="1083">
        <f t="shared" si="5"/>
        <v>2028</v>
      </c>
      <c r="L35" s="1083">
        <f t="shared" si="5"/>
        <v>2029</v>
      </c>
      <c r="M35" s="1083">
        <f t="shared" si="5"/>
        <v>2030</v>
      </c>
      <c r="N35" s="1083">
        <f t="shared" si="5"/>
        <v>2031</v>
      </c>
      <c r="P35" s="104"/>
    </row>
    <row r="36" spans="1:16" x14ac:dyDescent="0.25">
      <c r="A36" s="527">
        <f>ROW()</f>
        <v>36</v>
      </c>
      <c r="B36" s="1084" t="s">
        <v>1013</v>
      </c>
      <c r="C36" s="1084"/>
      <c r="D36" s="1084"/>
      <c r="E36" s="1084"/>
      <c r="F36" s="1084"/>
      <c r="G36" s="1085">
        <f>SUM(H36:N36)</f>
        <v>1659000</v>
      </c>
      <c r="H36" s="1086">
        <v>237000</v>
      </c>
      <c r="I36" s="1086">
        <v>237000</v>
      </c>
      <c r="J36" s="1086">
        <v>237000</v>
      </c>
      <c r="K36" s="1086">
        <v>237000</v>
      </c>
      <c r="L36" s="1086">
        <v>237000</v>
      </c>
      <c r="M36" s="1086">
        <v>237000</v>
      </c>
      <c r="N36" s="1086">
        <v>237000</v>
      </c>
      <c r="P36" s="104"/>
    </row>
    <row r="37" spans="1:16" x14ac:dyDescent="0.25">
      <c r="A37" s="527">
        <f>ROW()</f>
        <v>37</v>
      </c>
      <c r="B37" s="302"/>
      <c r="C37" s="302"/>
      <c r="D37" s="302"/>
      <c r="E37" s="302"/>
      <c r="F37" s="302"/>
      <c r="G37" s="1087">
        <f t="shared" ref="G37:G43" si="6">SUM(H37:N37)</f>
        <v>0</v>
      </c>
      <c r="H37" s="1088">
        <v>0</v>
      </c>
      <c r="I37" s="1088">
        <v>0</v>
      </c>
      <c r="J37" s="1088">
        <v>0</v>
      </c>
      <c r="K37" s="1088">
        <v>0</v>
      </c>
      <c r="L37" s="1088">
        <v>0</v>
      </c>
      <c r="M37" s="1088">
        <v>0</v>
      </c>
      <c r="N37" s="1088">
        <v>0</v>
      </c>
      <c r="P37" s="104"/>
    </row>
    <row r="38" spans="1:16" x14ac:dyDescent="0.25">
      <c r="A38" s="527">
        <f>ROW()</f>
        <v>38</v>
      </c>
      <c r="B38" s="302"/>
      <c r="C38" s="302"/>
      <c r="D38" s="302"/>
      <c r="E38" s="302"/>
      <c r="F38" s="302"/>
      <c r="G38" s="1087">
        <f t="shared" si="6"/>
        <v>0</v>
      </c>
      <c r="H38" s="1088">
        <v>0</v>
      </c>
      <c r="I38" s="1088">
        <v>0</v>
      </c>
      <c r="J38" s="1088">
        <v>0</v>
      </c>
      <c r="K38" s="1088">
        <v>0</v>
      </c>
      <c r="L38" s="1088">
        <v>0</v>
      </c>
      <c r="M38" s="1088">
        <v>0</v>
      </c>
      <c r="N38" s="1088">
        <v>0</v>
      </c>
      <c r="P38" s="104"/>
    </row>
    <row r="39" spans="1:16" x14ac:dyDescent="0.25">
      <c r="A39" s="527">
        <f>ROW()</f>
        <v>39</v>
      </c>
      <c r="B39" s="302"/>
      <c r="C39" s="302"/>
      <c r="D39" s="302"/>
      <c r="E39" s="302"/>
      <c r="F39" s="302"/>
      <c r="G39" s="1087">
        <f t="shared" si="6"/>
        <v>0</v>
      </c>
      <c r="H39" s="1088">
        <v>0</v>
      </c>
      <c r="I39" s="1088">
        <v>0</v>
      </c>
      <c r="J39" s="1088">
        <v>0</v>
      </c>
      <c r="K39" s="1088">
        <v>0</v>
      </c>
      <c r="L39" s="1088">
        <v>0</v>
      </c>
      <c r="M39" s="1088">
        <v>0</v>
      </c>
      <c r="N39" s="1088">
        <v>0</v>
      </c>
      <c r="P39" s="104"/>
    </row>
    <row r="40" spans="1:16" x14ac:dyDescent="0.25">
      <c r="A40" s="527">
        <f>ROW()</f>
        <v>40</v>
      </c>
      <c r="B40" s="302"/>
      <c r="C40" s="302"/>
      <c r="D40" s="302"/>
      <c r="E40" s="302"/>
      <c r="F40" s="302"/>
      <c r="G40" s="1087">
        <f t="shared" si="6"/>
        <v>0</v>
      </c>
      <c r="H40" s="1088">
        <v>0</v>
      </c>
      <c r="I40" s="1088">
        <v>0</v>
      </c>
      <c r="J40" s="1088">
        <v>0</v>
      </c>
      <c r="K40" s="1088">
        <v>0</v>
      </c>
      <c r="L40" s="1088">
        <v>0</v>
      </c>
      <c r="M40" s="1088">
        <v>0</v>
      </c>
      <c r="N40" s="1088">
        <v>0</v>
      </c>
      <c r="P40" s="104"/>
    </row>
    <row r="41" spans="1:16" x14ac:dyDescent="0.25">
      <c r="A41" s="527">
        <f>ROW()</f>
        <v>41</v>
      </c>
      <c r="B41" s="302"/>
      <c r="C41" s="302"/>
      <c r="D41" s="302"/>
      <c r="E41" s="302"/>
      <c r="F41" s="302"/>
      <c r="G41" s="1087">
        <f t="shared" si="6"/>
        <v>0</v>
      </c>
      <c r="H41" s="1088">
        <v>0</v>
      </c>
      <c r="I41" s="1088">
        <v>0</v>
      </c>
      <c r="J41" s="1088">
        <v>0</v>
      </c>
      <c r="K41" s="1088">
        <v>0</v>
      </c>
      <c r="L41" s="1088">
        <v>0</v>
      </c>
      <c r="M41" s="1088">
        <v>0</v>
      </c>
      <c r="N41" s="1088">
        <v>0</v>
      </c>
      <c r="P41" s="104"/>
    </row>
    <row r="42" spans="1:16" x14ac:dyDescent="0.25">
      <c r="A42" s="527">
        <f>ROW()</f>
        <v>42</v>
      </c>
      <c r="B42" s="302"/>
      <c r="C42" s="302"/>
      <c r="D42" s="302"/>
      <c r="E42" s="302"/>
      <c r="F42" s="302"/>
      <c r="G42" s="1087">
        <f t="shared" si="6"/>
        <v>0</v>
      </c>
      <c r="H42" s="1088">
        <v>0</v>
      </c>
      <c r="I42" s="1088">
        <v>0</v>
      </c>
      <c r="J42" s="1088">
        <v>0</v>
      </c>
      <c r="K42" s="1088">
        <v>0</v>
      </c>
      <c r="L42" s="1088">
        <v>0</v>
      </c>
      <c r="M42" s="1088">
        <v>0</v>
      </c>
      <c r="N42" s="1088">
        <v>0</v>
      </c>
      <c r="P42" s="104"/>
    </row>
    <row r="43" spans="1:16" x14ac:dyDescent="0.25">
      <c r="A43" s="527">
        <f>ROW()</f>
        <v>43</v>
      </c>
      <c r="B43" s="1089"/>
      <c r="C43" s="1089"/>
      <c r="D43" s="1089"/>
      <c r="E43" s="1089"/>
      <c r="F43" s="1089"/>
      <c r="G43" s="1090">
        <f t="shared" si="6"/>
        <v>0</v>
      </c>
      <c r="H43" s="1091">
        <v>0</v>
      </c>
      <c r="I43" s="1091">
        <v>0</v>
      </c>
      <c r="J43" s="1091">
        <v>0</v>
      </c>
      <c r="K43" s="1091">
        <v>0</v>
      </c>
      <c r="L43" s="1091">
        <v>0</v>
      </c>
      <c r="M43" s="1091">
        <v>0</v>
      </c>
      <c r="N43" s="1091">
        <v>0</v>
      </c>
      <c r="P43" s="104"/>
    </row>
    <row r="44" spans="1:16" x14ac:dyDescent="0.25">
      <c r="A44" s="527">
        <f>ROW()</f>
        <v>44</v>
      </c>
      <c r="B44" s="42" t="s">
        <v>1014</v>
      </c>
      <c r="C44" s="1092"/>
      <c r="D44" s="1092"/>
      <c r="G44" s="461">
        <f>SUM(H44:N44)</f>
        <v>1659000</v>
      </c>
      <c r="H44" s="1093">
        <f t="shared" ref="H44:N44" si="7">SUM(H36:H43)</f>
        <v>237000</v>
      </c>
      <c r="I44" s="1093">
        <f t="shared" si="7"/>
        <v>237000</v>
      </c>
      <c r="J44" s="1093">
        <f t="shared" si="7"/>
        <v>237000</v>
      </c>
      <c r="K44" s="1093">
        <f t="shared" si="7"/>
        <v>237000</v>
      </c>
      <c r="L44" s="1093">
        <f t="shared" si="7"/>
        <v>237000</v>
      </c>
      <c r="M44" s="1093">
        <f t="shared" si="7"/>
        <v>237000</v>
      </c>
      <c r="N44" s="1093">
        <f t="shared" si="7"/>
        <v>237000</v>
      </c>
      <c r="P44" s="104"/>
    </row>
    <row r="45" spans="1:16" x14ac:dyDescent="0.25">
      <c r="G45" s="463">
        <f t="shared" ref="G45:N45" si="8">IFERROR(G44/$G$44,0)</f>
        <v>1</v>
      </c>
      <c r="H45" s="463">
        <f t="shared" si="8"/>
        <v>0.14285714285714285</v>
      </c>
      <c r="I45" s="463">
        <f t="shared" si="8"/>
        <v>0.14285714285714285</v>
      </c>
      <c r="J45" s="463">
        <f t="shared" si="8"/>
        <v>0.14285714285714285</v>
      </c>
      <c r="K45" s="463">
        <f t="shared" si="8"/>
        <v>0.14285714285714285</v>
      </c>
      <c r="L45" s="463">
        <f t="shared" si="8"/>
        <v>0.14285714285714285</v>
      </c>
      <c r="M45" s="463">
        <f t="shared" si="8"/>
        <v>0.14285714285714285</v>
      </c>
      <c r="N45" s="463">
        <f t="shared" si="8"/>
        <v>0.14285714285714285</v>
      </c>
      <c r="P45" s="104"/>
    </row>
    <row r="46" spans="1:16" x14ac:dyDescent="0.25">
      <c r="P46" s="104"/>
    </row>
    <row r="47" spans="1:16" x14ac:dyDescent="0.25">
      <c r="P47" s="104"/>
    </row>
  </sheetData>
  <mergeCells count="2">
    <mergeCell ref="A1:D1"/>
    <mergeCell ref="B34:F34"/>
  </mergeCells>
  <conditionalFormatting sqref="B18:G30">
    <cfRule type="expression" dxfId="11" priority="2" stopIfTrue="1">
      <formula>MOD(ROW(),2)=0</formula>
    </cfRule>
  </conditionalFormatting>
  <conditionalFormatting sqref="G1">
    <cfRule type="expression" dxfId="10" priority="1" stopIfTrue="1">
      <formula>MOD(ROW(),2)=0</formula>
    </cfRule>
  </conditionalFormatting>
  <conditionalFormatting sqref="H15:N16">
    <cfRule type="cellIs" dxfId="9" priority="4" stopIfTrue="1" operator="equal">
      <formula>0</formula>
    </cfRule>
  </conditionalFormatting>
  <conditionalFormatting sqref="H18:N30">
    <cfRule type="cellIs" dxfId="8" priority="3" stopIfTrue="1" operator="equal">
      <formula>0</formula>
    </cfRule>
  </conditionalFormatting>
  <hyperlinks>
    <hyperlink ref="G1" location="HypLink1" display="HypLink1" xr:uid="{93D3B743-BDC1-4F95-B61C-CC23BD6F0AE4}"/>
  </hyperlinks>
  <pageMargins left="0.7" right="0.7" top="0.75" bottom="0.75" header="0.3" footer="0.3"/>
  <pageSetup paperSize="119" scale="9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6FB1F-B44E-4BA4-975A-C92A7002BBA1}">
  <sheetPr>
    <pageSetUpPr fitToPage="1"/>
  </sheetPr>
  <dimension ref="A1:U86"/>
  <sheetViews>
    <sheetView workbookViewId="0">
      <selection activeCell="B19" sqref="B19"/>
    </sheetView>
  </sheetViews>
  <sheetFormatPr defaultRowHeight="15" x14ac:dyDescent="0.25"/>
  <cols>
    <col min="1" max="1" width="6.7109375" style="42" bestFit="1" customWidth="1"/>
    <col min="2" max="2" width="47.7109375" style="42" customWidth="1"/>
    <col min="3" max="3" width="10.28515625" style="42" customWidth="1"/>
    <col min="4" max="4" width="14.5703125" style="42" customWidth="1"/>
    <col min="5" max="5" width="20.7109375" style="42" customWidth="1"/>
    <col min="6" max="6" width="13.42578125" style="42" customWidth="1"/>
    <col min="7" max="7" width="12.5703125" style="42" customWidth="1"/>
    <col min="8" max="8" width="12.7109375" style="42" customWidth="1"/>
    <col min="9" max="9" width="12.28515625" style="42" customWidth="1"/>
    <col min="10" max="10" width="14" style="42" customWidth="1"/>
    <col min="11" max="11" width="14.7109375" style="42" customWidth="1"/>
    <col min="12" max="12" width="3.28515625" style="42" customWidth="1"/>
    <col min="13" max="13" width="61.7109375" style="78" customWidth="1"/>
    <col min="14" max="21" width="9.140625" style="42"/>
  </cols>
  <sheetData>
    <row r="1" spans="1:13" ht="18" x14ac:dyDescent="0.25">
      <c r="A1" s="240" t="s">
        <v>1015</v>
      </c>
      <c r="B1" s="241"/>
      <c r="C1" s="242" t="s">
        <v>3</v>
      </c>
      <c r="D1" s="37" t="s">
        <v>1016</v>
      </c>
      <c r="I1" s="38"/>
      <c r="J1" s="38"/>
      <c r="K1" s="38"/>
    </row>
    <row r="2" spans="1:13" ht="15.75" x14ac:dyDescent="0.25">
      <c r="A2" s="80" t="str">
        <f>SchoolName</f>
        <v>Odyssey Charter School</v>
      </c>
      <c r="B2" s="81"/>
      <c r="D2" s="37" t="s">
        <v>1017</v>
      </c>
      <c r="I2" s="160"/>
      <c r="J2" s="160"/>
      <c r="K2" s="1095"/>
      <c r="L2" s="1096"/>
      <c r="M2" s="1097"/>
    </row>
    <row r="3" spans="1:13" x14ac:dyDescent="0.25">
      <c r="A3" s="82" t="s">
        <v>80</v>
      </c>
      <c r="D3" s="946" t="s">
        <v>1018</v>
      </c>
      <c r="I3" s="40"/>
      <c r="J3" s="40"/>
      <c r="K3" s="1095"/>
      <c r="L3" s="1096"/>
      <c r="M3" s="1097"/>
    </row>
    <row r="4" spans="1:13" x14ac:dyDescent="0.25">
      <c r="A4" s="248" t="s">
        <v>81</v>
      </c>
      <c r="D4" s="37" t="s">
        <v>1019</v>
      </c>
      <c r="I4" s="38"/>
      <c r="J4" s="38"/>
      <c r="K4" s="38"/>
    </row>
    <row r="5" spans="1:13" x14ac:dyDescent="0.25">
      <c r="A5" s="83" t="str">
        <f ca="1">CELL("filename")</f>
        <v>\\lvraiders\users\sguthrie\Documents\Charter\Change of Sponsorship\[240126-SPCSA-Odyssey Charter School Application Workbook-Modified-Version (1).xlsx]Instructions</v>
      </c>
      <c r="I5" s="160"/>
      <c r="J5" s="160"/>
      <c r="K5" s="1095"/>
      <c r="L5" s="1096"/>
      <c r="M5" s="1097"/>
    </row>
    <row r="6" spans="1:13" x14ac:dyDescent="0.25">
      <c r="A6" s="249"/>
      <c r="B6" s="38" t="s">
        <v>1020</v>
      </c>
      <c r="C6" s="38"/>
    </row>
    <row r="7" spans="1:13" x14ac:dyDescent="0.25">
      <c r="A7" s="249"/>
      <c r="B7" s="38" t="s">
        <v>1021</v>
      </c>
      <c r="C7" s="346"/>
      <c r="E7" s="346" t="s">
        <v>1022</v>
      </c>
      <c r="F7" s="1098"/>
    </row>
    <row r="8" spans="1:13" x14ac:dyDescent="0.25">
      <c r="A8" s="249"/>
      <c r="B8" s="38" t="s">
        <v>1023</v>
      </c>
      <c r="C8" s="84"/>
      <c r="E8" s="84" t="s">
        <v>315</v>
      </c>
      <c r="F8" s="84"/>
    </row>
    <row r="9" spans="1:13" x14ac:dyDescent="0.25">
      <c r="A9" s="96"/>
      <c r="B9" s="38"/>
      <c r="D9" s="84"/>
      <c r="E9" s="348">
        <v>0</v>
      </c>
      <c r="F9" s="1099" t="s">
        <v>736</v>
      </c>
      <c r="G9" s="1099" t="s">
        <v>737</v>
      </c>
      <c r="H9" s="1099" t="s">
        <v>738</v>
      </c>
      <c r="I9" s="1099" t="s">
        <v>739</v>
      </c>
      <c r="J9" s="1099" t="s">
        <v>740</v>
      </c>
      <c r="K9" s="1100" t="s">
        <v>741</v>
      </c>
    </row>
    <row r="10" spans="1:13" ht="15.75" x14ac:dyDescent="0.25">
      <c r="A10" s="96"/>
      <c r="B10" s="38"/>
      <c r="D10" s="358"/>
      <c r="E10" s="1101">
        <f>+F10-1</f>
        <v>2024</v>
      </c>
      <c r="F10" s="1102">
        <f>' Enrol &amp; Rev'!G10</f>
        <v>2025</v>
      </c>
      <c r="G10" s="1103">
        <f>+F11</f>
        <v>2026</v>
      </c>
      <c r="H10" s="1103">
        <f>+G11</f>
        <v>2027</v>
      </c>
      <c r="I10" s="1103">
        <f>+H11</f>
        <v>2028</v>
      </c>
      <c r="J10" s="1103">
        <f>+I11</f>
        <v>2029</v>
      </c>
      <c r="K10" s="1104">
        <f>+J11</f>
        <v>2030</v>
      </c>
    </row>
    <row r="11" spans="1:13" ht="15.75" x14ac:dyDescent="0.25">
      <c r="A11" s="96"/>
      <c r="B11" s="38"/>
      <c r="D11" s="253" t="s">
        <v>157</v>
      </c>
      <c r="E11" s="1105">
        <f>+F11-1</f>
        <v>2025</v>
      </c>
      <c r="F11" s="1106">
        <f t="shared" ref="F11:K11" si="0">+F10+1</f>
        <v>2026</v>
      </c>
      <c r="G11" s="1106">
        <f t="shared" si="0"/>
        <v>2027</v>
      </c>
      <c r="H11" s="1106">
        <f t="shared" si="0"/>
        <v>2028</v>
      </c>
      <c r="I11" s="1106">
        <f t="shared" si="0"/>
        <v>2029</v>
      </c>
      <c r="J11" s="1106">
        <f t="shared" si="0"/>
        <v>2030</v>
      </c>
      <c r="K11" s="1107">
        <f t="shared" si="0"/>
        <v>2031</v>
      </c>
      <c r="M11" s="50" t="s">
        <v>103</v>
      </c>
    </row>
    <row r="12" spans="1:13" ht="15.75" x14ac:dyDescent="0.25">
      <c r="A12" s="96">
        <f>ROW()</f>
        <v>12</v>
      </c>
      <c r="B12" s="1108" t="s">
        <v>457</v>
      </c>
      <c r="C12" s="1109"/>
      <c r="D12" s="1110"/>
      <c r="E12" s="839"/>
      <c r="F12" s="1111">
        <f>'Mkt Res'!E27</f>
        <v>2320.02</v>
      </c>
      <c r="G12" s="1111">
        <f>'Mkt Res'!F27</f>
        <v>2320.02</v>
      </c>
      <c r="H12" s="1111">
        <f>'Mkt Res'!G27</f>
        <v>2320.02</v>
      </c>
      <c r="I12" s="1111">
        <f>'Mkt Res'!H27</f>
        <v>2320.02</v>
      </c>
      <c r="J12" s="1111">
        <f>'Mkt Res'!I27</f>
        <v>2320.02</v>
      </c>
      <c r="K12" s="1111">
        <f>'Mkt Res'!J27</f>
        <v>2320.02</v>
      </c>
      <c r="M12" s="101"/>
    </row>
    <row r="13" spans="1:13" ht="15.75" x14ac:dyDescent="0.25">
      <c r="A13" s="502">
        <f>ROW()</f>
        <v>13</v>
      </c>
      <c r="B13" s="367" t="s">
        <v>460</v>
      </c>
      <c r="C13" s="1112"/>
      <c r="D13" s="1113">
        <f>SUM(E13:K13)</f>
        <v>161943300.31033233</v>
      </c>
      <c r="E13" s="1114"/>
      <c r="F13" s="1115">
        <f>+' Enrol &amp; Rev'!G145</f>
        <v>26990956.81896</v>
      </c>
      <c r="G13" s="1115">
        <f>+' Enrol &amp; Rev'!H145</f>
        <v>26990468.698274467</v>
      </c>
      <c r="H13" s="1115">
        <f>+' Enrol &amp; Rev'!I145</f>
        <v>26990468.698274467</v>
      </c>
      <c r="I13" s="1115">
        <f>+' Enrol &amp; Rev'!J145</f>
        <v>26990468.698274467</v>
      </c>
      <c r="J13" s="1115">
        <f>+' Enrol &amp; Rev'!K145</f>
        <v>26990468.698274467</v>
      </c>
      <c r="K13" s="1115">
        <f>+' Enrol &amp; Rev'!L145</f>
        <v>26990468.698274467</v>
      </c>
      <c r="M13" s="104"/>
    </row>
    <row r="14" spans="1:13" ht="15.75" x14ac:dyDescent="0.25">
      <c r="A14" s="502">
        <f>ROW()</f>
        <v>14</v>
      </c>
      <c r="B14" s="64" t="s">
        <v>1024</v>
      </c>
      <c r="C14" s="1116"/>
      <c r="D14" s="1117">
        <f>SUM(E14:K14)</f>
        <v>184770820.37354225</v>
      </c>
      <c r="E14" s="1118">
        <f>SUM(Summary!F48:F51,Summary!F44:F46)</f>
        <v>25585786.031804517</v>
      </c>
      <c r="F14" s="1119">
        <f>SUM(Summary!G48:G51,Summary!G44:G46)</f>
        <v>25842852.071367014</v>
      </c>
      <c r="G14" s="1119">
        <f>SUM(Summary!H48:H51,Summary!H44:H46)</f>
        <v>26106552.873716392</v>
      </c>
      <c r="H14" s="1119">
        <f>SUM(Summary!I48:I51,Summary!I44:I46)</f>
        <v>26379208.955368247</v>
      </c>
      <c r="I14" s="1119">
        <f>SUM(Summary!J48:J51,Summary!J44:J46)</f>
        <v>26660027.741806298</v>
      </c>
      <c r="J14" s="1119">
        <f>SUM(Summary!K48:K51,Summary!K44:K46)</f>
        <v>26949253.774620861</v>
      </c>
      <c r="K14" s="1119">
        <f>SUM(Summary!L48:L51,Summary!L44:L46)</f>
        <v>27247138.924858913</v>
      </c>
      <c r="M14" s="104"/>
    </row>
    <row r="15" spans="1:13" ht="15.75" x14ac:dyDescent="0.25">
      <c r="A15" s="502">
        <f>ROW()</f>
        <v>15</v>
      </c>
      <c r="B15" s="1120" t="s">
        <v>1025</v>
      </c>
      <c r="C15" s="1116"/>
      <c r="D15" s="1121" t="s">
        <v>1026</v>
      </c>
      <c r="E15" s="1118"/>
      <c r="F15" s="1119"/>
      <c r="G15" s="1119"/>
      <c r="H15" s="1119"/>
      <c r="I15" s="1119"/>
      <c r="J15" s="1119"/>
      <c r="K15" s="1119"/>
      <c r="M15" s="104"/>
    </row>
    <row r="16" spans="1:13" ht="15.75" x14ac:dyDescent="0.25">
      <c r="A16" s="502">
        <f>ROW()</f>
        <v>16</v>
      </c>
      <c r="B16" s="1120" t="s">
        <v>1027</v>
      </c>
      <c r="C16" s="64"/>
      <c r="D16" s="1122"/>
      <c r="E16" s="1122"/>
      <c r="F16" s="880"/>
      <c r="G16" s="1123"/>
      <c r="H16" s="1123"/>
      <c r="I16" s="1123"/>
      <c r="J16" s="1123"/>
      <c r="K16" s="1123"/>
      <c r="M16" s="104"/>
    </row>
    <row r="17" spans="1:13" ht="15.75" x14ac:dyDescent="0.25">
      <c r="A17" s="502">
        <f>ROW()</f>
        <v>17</v>
      </c>
      <c r="B17" s="1124" t="s">
        <v>1028</v>
      </c>
      <c r="D17" s="1078"/>
      <c r="E17" s="1125"/>
      <c r="F17" s="117"/>
      <c r="G17" s="1126"/>
      <c r="H17" s="1126"/>
      <c r="I17" s="1126"/>
      <c r="J17" s="1126"/>
      <c r="K17" s="1126"/>
      <c r="M17" s="104"/>
    </row>
    <row r="18" spans="1:13" ht="15.75" x14ac:dyDescent="0.25">
      <c r="A18" s="502">
        <f>ROW()</f>
        <v>18</v>
      </c>
      <c r="B18" s="1124" t="s">
        <v>1029</v>
      </c>
      <c r="D18" s="1078"/>
      <c r="E18" s="1125"/>
      <c r="F18" s="117"/>
      <c r="G18" s="1126"/>
      <c r="H18" s="1126"/>
      <c r="I18" s="1126"/>
      <c r="J18" s="1126"/>
      <c r="K18" s="1126"/>
      <c r="M18" s="104"/>
    </row>
    <row r="19" spans="1:13" ht="15.75" x14ac:dyDescent="0.25">
      <c r="A19" s="502">
        <f>ROW()</f>
        <v>19</v>
      </c>
      <c r="B19" s="1124" t="s">
        <v>1030</v>
      </c>
      <c r="D19" s="1078"/>
      <c r="E19" s="1127" t="s">
        <v>1031</v>
      </c>
      <c r="F19" s="117"/>
      <c r="G19" s="1126"/>
      <c r="H19" s="1126"/>
      <c r="I19" s="1126"/>
      <c r="J19" s="1126"/>
      <c r="K19" s="1126"/>
      <c r="M19" s="104"/>
    </row>
    <row r="20" spans="1:13" ht="15.75" x14ac:dyDescent="0.25">
      <c r="A20" s="502">
        <f>ROW()</f>
        <v>20</v>
      </c>
      <c r="B20" s="1124" t="s">
        <v>1032</v>
      </c>
      <c r="D20" s="1078"/>
      <c r="E20" s="1125"/>
      <c r="F20" s="117"/>
      <c r="G20" s="1126"/>
      <c r="H20" s="1126"/>
      <c r="I20" s="1126"/>
      <c r="J20" s="1126"/>
      <c r="K20" s="1126"/>
      <c r="M20" s="104"/>
    </row>
    <row r="21" spans="1:13" ht="15.75" x14ac:dyDescent="0.25">
      <c r="A21" s="502">
        <f>ROW()</f>
        <v>21</v>
      </c>
      <c r="B21" s="1124" t="s">
        <v>1033</v>
      </c>
      <c r="D21" s="1078"/>
      <c r="E21" s="1125"/>
      <c r="F21" s="117"/>
      <c r="G21" s="1126"/>
      <c r="H21" s="1126"/>
      <c r="I21" s="1126"/>
      <c r="J21" s="1126"/>
      <c r="K21" s="1126"/>
      <c r="M21" s="104"/>
    </row>
    <row r="22" spans="1:13" ht="15.75" x14ac:dyDescent="0.25">
      <c r="A22" s="502">
        <f>ROW()</f>
        <v>22</v>
      </c>
      <c r="B22" s="1124" t="s">
        <v>1033</v>
      </c>
      <c r="D22" s="1078"/>
      <c r="E22" s="1125"/>
      <c r="F22" s="117"/>
      <c r="G22" s="1126"/>
      <c r="H22" s="1126"/>
      <c r="I22" s="1126"/>
      <c r="J22" s="1126"/>
      <c r="K22" s="1126"/>
      <c r="M22" s="104"/>
    </row>
    <row r="23" spans="1:13" ht="15.75" x14ac:dyDescent="0.25">
      <c r="A23" s="502">
        <f>ROW()</f>
        <v>23</v>
      </c>
      <c r="B23" s="1124"/>
      <c r="D23" s="268"/>
      <c r="E23" s="1125"/>
      <c r="F23" s="117"/>
      <c r="G23" s="1126"/>
      <c r="H23" s="1126"/>
      <c r="I23" s="1126"/>
      <c r="J23" s="1126"/>
      <c r="K23" s="1126"/>
      <c r="M23" s="104"/>
    </row>
    <row r="24" spans="1:13" x14ac:dyDescent="0.25">
      <c r="A24" s="502">
        <f>ROW()</f>
        <v>24</v>
      </c>
      <c r="B24" s="334" t="s">
        <v>1034</v>
      </c>
      <c r="C24" s="1128"/>
      <c r="D24" s="1129"/>
      <c r="E24" s="1130"/>
      <c r="F24" s="1130"/>
      <c r="G24" s="1130"/>
      <c r="H24" s="1130"/>
      <c r="I24" s="1130"/>
      <c r="J24" s="1130"/>
      <c r="K24" s="1130"/>
      <c r="M24" s="104"/>
    </row>
    <row r="25" spans="1:13" x14ac:dyDescent="0.25">
      <c r="A25" s="502">
        <f>ROW()</f>
        <v>25</v>
      </c>
      <c r="B25" s="1131"/>
      <c r="C25" s="1001">
        <v>0</v>
      </c>
      <c r="D25" s="1132">
        <f>SUM(E25:K25)</f>
        <v>0</v>
      </c>
      <c r="E25" s="370">
        <v>0</v>
      </c>
      <c r="F25" s="370">
        <v>0</v>
      </c>
      <c r="G25" s="370">
        <v>0</v>
      </c>
      <c r="H25" s="370">
        <v>0</v>
      </c>
      <c r="I25" s="370">
        <v>0</v>
      </c>
      <c r="J25" s="370">
        <v>0</v>
      </c>
      <c r="K25" s="370">
        <v>0</v>
      </c>
      <c r="M25" s="104"/>
    </row>
    <row r="26" spans="1:13" x14ac:dyDescent="0.25">
      <c r="A26" s="502">
        <f>ROW()</f>
        <v>26</v>
      </c>
      <c r="B26" s="1133"/>
      <c r="C26" s="1134">
        <v>0</v>
      </c>
      <c r="D26" s="1135">
        <f>SUM(E26:K26)</f>
        <v>0</v>
      </c>
      <c r="E26" s="372">
        <v>0</v>
      </c>
      <c r="F26" s="372">
        <v>0</v>
      </c>
      <c r="G26" s="372">
        <v>0</v>
      </c>
      <c r="H26" s="372">
        <v>0</v>
      </c>
      <c r="I26" s="372">
        <v>0</v>
      </c>
      <c r="J26" s="372">
        <v>0</v>
      </c>
      <c r="K26" s="372">
        <v>0</v>
      </c>
      <c r="M26" s="104"/>
    </row>
    <row r="27" spans="1:13" x14ac:dyDescent="0.25">
      <c r="A27" s="502">
        <f>ROW()</f>
        <v>27</v>
      </c>
      <c r="B27" s="32"/>
      <c r="C27" s="1134"/>
      <c r="D27" s="1135"/>
      <c r="E27" s="372">
        <v>0</v>
      </c>
      <c r="F27" s="372">
        <v>0</v>
      </c>
      <c r="G27" s="372">
        <v>0</v>
      </c>
      <c r="H27" s="372">
        <v>0</v>
      </c>
      <c r="I27" s="372">
        <v>0</v>
      </c>
      <c r="J27" s="372">
        <v>0</v>
      </c>
      <c r="K27" s="372">
        <v>0</v>
      </c>
      <c r="M27" s="104"/>
    </row>
    <row r="28" spans="1:13" x14ac:dyDescent="0.25">
      <c r="A28" s="502">
        <f>ROW()</f>
        <v>28</v>
      </c>
      <c r="B28" s="1133"/>
      <c r="C28" s="1136">
        <v>0</v>
      </c>
      <c r="D28" s="1135">
        <f>SUM(E28:K28)</f>
        <v>0</v>
      </c>
      <c r="E28" s="372">
        <v>0</v>
      </c>
      <c r="F28" s="372">
        <v>0</v>
      </c>
      <c r="G28" s="372">
        <v>0</v>
      </c>
      <c r="H28" s="372">
        <v>0</v>
      </c>
      <c r="I28" s="372">
        <v>0</v>
      </c>
      <c r="J28" s="372">
        <v>0</v>
      </c>
      <c r="K28" s="372">
        <v>0</v>
      </c>
      <c r="M28" s="104"/>
    </row>
    <row r="29" spans="1:13" x14ac:dyDescent="0.25">
      <c r="A29" s="502">
        <f>ROW()</f>
        <v>29</v>
      </c>
      <c r="B29" s="1133"/>
      <c r="C29" s="1136">
        <v>0</v>
      </c>
      <c r="D29" s="1135">
        <f>SUM(E29:K29)</f>
        <v>0</v>
      </c>
      <c r="E29" s="372">
        <v>0</v>
      </c>
      <c r="F29" s="372">
        <v>0</v>
      </c>
      <c r="G29" s="372">
        <v>0</v>
      </c>
      <c r="H29" s="372">
        <v>0</v>
      </c>
      <c r="I29" s="372">
        <v>0</v>
      </c>
      <c r="J29" s="372">
        <v>0</v>
      </c>
      <c r="K29" s="372">
        <v>0</v>
      </c>
      <c r="M29" s="104"/>
    </row>
    <row r="30" spans="1:13" x14ac:dyDescent="0.25">
      <c r="A30" s="502">
        <f>ROW()</f>
        <v>30</v>
      </c>
      <c r="B30" s="32" t="s">
        <v>1035</v>
      </c>
      <c r="C30" s="1134"/>
      <c r="D30" s="1135"/>
      <c r="E30" s="372">
        <v>0</v>
      </c>
      <c r="F30" s="372">
        <v>0</v>
      </c>
      <c r="G30" s="372">
        <v>0</v>
      </c>
      <c r="H30" s="372">
        <v>0</v>
      </c>
      <c r="I30" s="372">
        <v>0</v>
      </c>
      <c r="J30" s="372">
        <v>0</v>
      </c>
      <c r="K30" s="372">
        <v>0</v>
      </c>
      <c r="M30" s="104"/>
    </row>
    <row r="31" spans="1:13" x14ac:dyDescent="0.25">
      <c r="A31" s="502">
        <f>ROW()</f>
        <v>31</v>
      </c>
      <c r="B31" s="1133" t="s">
        <v>1036</v>
      </c>
      <c r="C31" s="1136">
        <v>0</v>
      </c>
      <c r="D31" s="1135">
        <f>SUM(E31:K31)</f>
        <v>0</v>
      </c>
      <c r="E31" s="372">
        <v>0</v>
      </c>
      <c r="F31" s="372">
        <v>0</v>
      </c>
      <c r="G31" s="372">
        <v>0</v>
      </c>
      <c r="H31" s="372">
        <v>0</v>
      </c>
      <c r="I31" s="372">
        <v>0</v>
      </c>
      <c r="J31" s="372">
        <v>0</v>
      </c>
      <c r="K31" s="372">
        <v>0</v>
      </c>
      <c r="M31" s="104"/>
    </row>
    <row r="32" spans="1:13" x14ac:dyDescent="0.25">
      <c r="A32" s="502">
        <f>ROW()</f>
        <v>32</v>
      </c>
      <c r="B32" s="1133" t="s">
        <v>1037</v>
      </c>
      <c r="C32" s="1136">
        <v>0</v>
      </c>
      <c r="D32" s="1135">
        <f>SUM(E32:K32)</f>
        <v>0</v>
      </c>
      <c r="E32" s="372">
        <v>0</v>
      </c>
      <c r="F32" s="372">
        <v>0</v>
      </c>
      <c r="G32" s="372">
        <v>0</v>
      </c>
      <c r="H32" s="372">
        <v>0</v>
      </c>
      <c r="I32" s="372">
        <v>0</v>
      </c>
      <c r="J32" s="372">
        <v>0</v>
      </c>
      <c r="K32" s="372">
        <v>0</v>
      </c>
      <c r="M32" s="104"/>
    </row>
    <row r="33" spans="1:13" x14ac:dyDescent="0.25">
      <c r="A33" s="502">
        <f>ROW()</f>
        <v>33</v>
      </c>
      <c r="B33" s="32" t="s">
        <v>1035</v>
      </c>
      <c r="C33" s="1136"/>
      <c r="D33" s="1135"/>
      <c r="E33" s="372">
        <v>0</v>
      </c>
      <c r="F33" s="372">
        <v>0</v>
      </c>
      <c r="G33" s="372">
        <v>0</v>
      </c>
      <c r="H33" s="372">
        <v>0</v>
      </c>
      <c r="I33" s="372">
        <v>0</v>
      </c>
      <c r="J33" s="372">
        <v>0</v>
      </c>
      <c r="K33" s="372">
        <v>0</v>
      </c>
      <c r="M33" s="104"/>
    </row>
    <row r="34" spans="1:13" x14ac:dyDescent="0.25">
      <c r="A34" s="502">
        <f>ROW()</f>
        <v>34</v>
      </c>
      <c r="B34" s="1133" t="s">
        <v>1038</v>
      </c>
      <c r="C34" s="1136">
        <v>0</v>
      </c>
      <c r="D34" s="1135">
        <f>SUM(E34:K34)</f>
        <v>0</v>
      </c>
      <c r="E34" s="372">
        <v>0</v>
      </c>
      <c r="F34" s="372">
        <v>0</v>
      </c>
      <c r="G34" s="372">
        <v>0</v>
      </c>
      <c r="H34" s="372">
        <v>0</v>
      </c>
      <c r="I34" s="372">
        <v>0</v>
      </c>
      <c r="J34" s="372">
        <v>0</v>
      </c>
      <c r="K34" s="372">
        <v>0</v>
      </c>
      <c r="M34" s="104"/>
    </row>
    <row r="35" spans="1:13" x14ac:dyDescent="0.25">
      <c r="A35" s="502">
        <f>ROW()</f>
        <v>35</v>
      </c>
      <c r="B35" s="1133" t="s">
        <v>1039</v>
      </c>
      <c r="C35" s="1136">
        <v>0</v>
      </c>
      <c r="D35" s="1135">
        <f>SUM(E35:K35)</f>
        <v>0</v>
      </c>
      <c r="E35" s="372">
        <v>0</v>
      </c>
      <c r="F35" s="372">
        <v>0</v>
      </c>
      <c r="G35" s="372">
        <v>0</v>
      </c>
      <c r="H35" s="372">
        <v>0</v>
      </c>
      <c r="I35" s="372">
        <v>0</v>
      </c>
      <c r="J35" s="372">
        <v>0</v>
      </c>
      <c r="K35" s="372">
        <v>0</v>
      </c>
      <c r="M35" s="104"/>
    </row>
    <row r="36" spans="1:13" x14ac:dyDescent="0.25">
      <c r="A36" s="502">
        <f>ROW()</f>
        <v>36</v>
      </c>
      <c r="B36" s="32" t="s">
        <v>1035</v>
      </c>
      <c r="C36" s="1136"/>
      <c r="D36" s="1135"/>
      <c r="E36" s="372">
        <v>0</v>
      </c>
      <c r="F36" s="372">
        <v>0</v>
      </c>
      <c r="G36" s="372">
        <v>0</v>
      </c>
      <c r="H36" s="372">
        <v>0</v>
      </c>
      <c r="I36" s="372">
        <v>0</v>
      </c>
      <c r="J36" s="372">
        <v>0</v>
      </c>
      <c r="K36" s="372">
        <v>0</v>
      </c>
      <c r="M36" s="104"/>
    </row>
    <row r="37" spans="1:13" x14ac:dyDescent="0.25">
      <c r="A37" s="502">
        <f>ROW()</f>
        <v>37</v>
      </c>
      <c r="B37" s="1133" t="s">
        <v>1040</v>
      </c>
      <c r="C37" s="1136"/>
      <c r="D37" s="1135"/>
      <c r="E37" s="372">
        <v>0</v>
      </c>
      <c r="F37" s="372">
        <v>0</v>
      </c>
      <c r="G37" s="372">
        <v>0</v>
      </c>
      <c r="H37" s="372">
        <v>0</v>
      </c>
      <c r="I37" s="372">
        <v>0</v>
      </c>
      <c r="J37" s="372">
        <v>0</v>
      </c>
      <c r="K37" s="372">
        <v>0</v>
      </c>
      <c r="M37" s="104"/>
    </row>
    <row r="38" spans="1:13" x14ac:dyDescent="0.25">
      <c r="A38" s="502">
        <f>ROW()</f>
        <v>38</v>
      </c>
      <c r="B38" s="1137" t="s">
        <v>1040</v>
      </c>
      <c r="C38" s="1138"/>
      <c r="D38" s="1139">
        <f>SUM(E38:K38)</f>
        <v>0</v>
      </c>
      <c r="E38" s="380">
        <v>0</v>
      </c>
      <c r="F38" s="380">
        <v>0</v>
      </c>
      <c r="G38" s="380">
        <v>0</v>
      </c>
      <c r="H38" s="380">
        <v>0</v>
      </c>
      <c r="I38" s="380">
        <v>0</v>
      </c>
      <c r="J38" s="380">
        <v>0</v>
      </c>
      <c r="K38" s="380">
        <v>0</v>
      </c>
      <c r="M38" s="104"/>
    </row>
    <row r="39" spans="1:13" x14ac:dyDescent="0.25">
      <c r="A39" s="502">
        <f>ROW()</f>
        <v>39</v>
      </c>
      <c r="B39" s="1140"/>
      <c r="C39" s="1141"/>
      <c r="D39" s="1142">
        <f>SUM(E39:K39)</f>
        <v>0</v>
      </c>
      <c r="E39" s="1142">
        <f t="shared" ref="E39:K39" si="1">SUM(E25:E38)</f>
        <v>0</v>
      </c>
      <c r="F39" s="1142">
        <f t="shared" si="1"/>
        <v>0</v>
      </c>
      <c r="G39" s="1142">
        <f t="shared" si="1"/>
        <v>0</v>
      </c>
      <c r="H39" s="1142">
        <f t="shared" si="1"/>
        <v>0</v>
      </c>
      <c r="I39" s="1142">
        <f t="shared" si="1"/>
        <v>0</v>
      </c>
      <c r="J39" s="1142">
        <f t="shared" si="1"/>
        <v>0</v>
      </c>
      <c r="K39" s="1142">
        <f t="shared" si="1"/>
        <v>0</v>
      </c>
      <c r="M39" s="104"/>
    </row>
    <row r="40" spans="1:13" x14ac:dyDescent="0.25">
      <c r="A40" s="502">
        <f>ROW()</f>
        <v>40</v>
      </c>
      <c r="B40" s="1143" t="s">
        <v>1041</v>
      </c>
      <c r="F40" s="1141"/>
      <c r="G40" s="110"/>
      <c r="H40" s="268"/>
      <c r="I40" s="115"/>
      <c r="J40" s="115"/>
      <c r="K40" s="115"/>
      <c r="L40" s="618"/>
      <c r="M40" s="104"/>
    </row>
    <row r="41" spans="1:13" x14ac:dyDescent="0.25">
      <c r="A41" s="502">
        <f>ROW()</f>
        <v>41</v>
      </c>
      <c r="B41" s="1143" t="s">
        <v>1042</v>
      </c>
      <c r="F41" s="1141"/>
      <c r="G41" s="110"/>
      <c r="H41" s="268"/>
      <c r="I41" s="115"/>
      <c r="J41" s="115"/>
      <c r="K41" s="115"/>
      <c r="L41" s="618"/>
      <c r="M41" s="104"/>
    </row>
    <row r="42" spans="1:13" x14ac:dyDescent="0.25">
      <c r="A42" s="502">
        <f>ROW()</f>
        <v>42</v>
      </c>
      <c r="B42" s="1143"/>
      <c r="F42" s="1141"/>
      <c r="G42" s="110"/>
      <c r="H42" s="268"/>
      <c r="I42" s="115"/>
      <c r="J42" s="115"/>
      <c r="K42" s="115"/>
      <c r="L42" s="618"/>
      <c r="M42" s="104"/>
    </row>
    <row r="43" spans="1:13" x14ac:dyDescent="0.25">
      <c r="A43" s="502">
        <f>ROW()</f>
        <v>43</v>
      </c>
      <c r="B43" s="1143"/>
      <c r="F43" s="1141"/>
      <c r="G43" s="110"/>
      <c r="H43" s="268"/>
      <c r="I43" s="115"/>
      <c r="J43" s="115"/>
      <c r="K43" s="115"/>
      <c r="L43" s="618"/>
      <c r="M43" s="104"/>
    </row>
    <row r="44" spans="1:13" x14ac:dyDescent="0.25">
      <c r="A44" s="502">
        <f>ROW()</f>
        <v>44</v>
      </c>
      <c r="B44" s="1143"/>
      <c r="D44" s="1623" t="s">
        <v>1043</v>
      </c>
      <c r="E44" s="1624"/>
      <c r="F44" s="1625"/>
      <c r="G44" s="110"/>
      <c r="H44" s="1623" t="s">
        <v>1044</v>
      </c>
      <c r="I44" s="1624"/>
      <c r="J44" s="1625"/>
      <c r="K44" s="115"/>
      <c r="L44" s="618"/>
      <c r="M44" s="104"/>
    </row>
    <row r="45" spans="1:13" x14ac:dyDescent="0.25">
      <c r="A45" s="502">
        <f>ROW()</f>
        <v>45</v>
      </c>
      <c r="B45" s="1140"/>
      <c r="D45" s="84" t="s">
        <v>1045</v>
      </c>
      <c r="E45" s="1144" t="s">
        <v>1046</v>
      </c>
      <c r="F45" s="84" t="s">
        <v>1047</v>
      </c>
      <c r="G45" s="110"/>
      <c r="H45" s="84" t="s">
        <v>1045</v>
      </c>
      <c r="I45" s="1144" t="s">
        <v>1048</v>
      </c>
      <c r="J45" s="84" t="s">
        <v>961</v>
      </c>
      <c r="K45" s="115"/>
      <c r="L45" s="618"/>
      <c r="M45" s="104"/>
    </row>
    <row r="46" spans="1:13" x14ac:dyDescent="0.25">
      <c r="A46" s="502">
        <f>ROW()</f>
        <v>46</v>
      </c>
      <c r="B46" s="1140"/>
      <c r="D46" s="84" t="s">
        <v>1049</v>
      </c>
      <c r="E46" s="84" t="s">
        <v>1050</v>
      </c>
      <c r="F46" s="84" t="s">
        <v>1051</v>
      </c>
      <c r="G46" s="110"/>
      <c r="H46" s="84" t="s">
        <v>1049</v>
      </c>
      <c r="I46" s="84" t="s">
        <v>1052</v>
      </c>
      <c r="J46" s="84" t="s">
        <v>1051</v>
      </c>
      <c r="K46" s="115"/>
      <c r="L46" s="618"/>
      <c r="M46" s="104"/>
    </row>
    <row r="47" spans="1:13" ht="15.75" x14ac:dyDescent="0.25">
      <c r="A47" s="502">
        <f>ROW()</f>
        <v>47</v>
      </c>
      <c r="B47" s="1145" t="s">
        <v>1053</v>
      </c>
      <c r="C47" s="29"/>
      <c r="D47" s="35" t="s">
        <v>1054</v>
      </c>
      <c r="E47" s="35" t="s">
        <v>1054</v>
      </c>
      <c r="F47" s="35" t="s">
        <v>1054</v>
      </c>
      <c r="G47" s="110"/>
      <c r="H47" s="35" t="s">
        <v>1054</v>
      </c>
      <c r="I47" s="35" t="s">
        <v>1054</v>
      </c>
      <c r="J47" s="35" t="s">
        <v>1054</v>
      </c>
      <c r="K47" s="115"/>
      <c r="L47" s="618"/>
      <c r="M47" s="104"/>
    </row>
    <row r="48" spans="1:13" ht="30" x14ac:dyDescent="0.25">
      <c r="A48" s="502">
        <f>ROW()</f>
        <v>48</v>
      </c>
      <c r="B48" s="1146" t="s">
        <v>1055</v>
      </c>
      <c r="C48" s="266"/>
      <c r="D48" s="78"/>
      <c r="E48" s="1147"/>
      <c r="F48" s="1147" t="s">
        <v>1056</v>
      </c>
      <c r="G48" s="1148"/>
      <c r="H48" s="1149"/>
      <c r="I48" s="1150"/>
      <c r="J48" s="1151"/>
      <c r="K48" s="115"/>
      <c r="L48" s="115"/>
      <c r="M48" s="104" t="s">
        <v>1057</v>
      </c>
    </row>
    <row r="49" spans="1:13" x14ac:dyDescent="0.25">
      <c r="A49" s="502">
        <f>ROW()</f>
        <v>49</v>
      </c>
      <c r="B49" s="1146" t="s">
        <v>1058</v>
      </c>
      <c r="C49" s="266"/>
      <c r="D49" s="1147"/>
      <c r="E49" s="1147"/>
      <c r="F49" s="1152"/>
      <c r="G49" s="1148"/>
      <c r="H49" s="1153"/>
      <c r="I49" s="1147"/>
      <c r="J49" s="1152"/>
      <c r="K49" s="115"/>
      <c r="L49" s="115"/>
      <c r="M49" s="104"/>
    </row>
    <row r="50" spans="1:13" x14ac:dyDescent="0.25">
      <c r="A50" s="502">
        <f>ROW()</f>
        <v>50</v>
      </c>
      <c r="B50" s="272" t="s">
        <v>1059</v>
      </c>
      <c r="C50" s="272"/>
      <c r="D50" s="1154"/>
      <c r="E50" s="1154"/>
      <c r="F50" s="1152"/>
      <c r="G50" s="1148"/>
      <c r="H50" s="1155"/>
      <c r="I50" s="1154"/>
      <c r="J50" s="1152"/>
      <c r="K50" s="115"/>
      <c r="L50" s="115"/>
      <c r="M50" s="104"/>
    </row>
    <row r="51" spans="1:13" x14ac:dyDescent="0.25">
      <c r="A51" s="502">
        <f>ROW()</f>
        <v>51</v>
      </c>
      <c r="B51" s="272" t="s">
        <v>1060</v>
      </c>
      <c r="C51" s="272"/>
      <c r="D51" s="1154"/>
      <c r="E51" s="1154"/>
      <c r="F51" s="1152"/>
      <c r="G51" s="1148"/>
      <c r="H51" s="1155"/>
      <c r="I51" s="1154"/>
      <c r="J51" s="1152"/>
      <c r="K51" s="115"/>
      <c r="L51" s="115"/>
      <c r="M51" s="104"/>
    </row>
    <row r="52" spans="1:13" x14ac:dyDescent="0.25">
      <c r="A52" s="502">
        <f>ROW()</f>
        <v>52</v>
      </c>
      <c r="B52" s="272" t="s">
        <v>1061</v>
      </c>
      <c r="C52" s="272"/>
      <c r="D52" s="1154"/>
      <c r="E52" s="1154"/>
      <c r="F52" s="1152"/>
      <c r="G52" s="1148"/>
      <c r="H52" s="1155"/>
      <c r="I52" s="1154"/>
      <c r="J52" s="1152"/>
      <c r="K52" s="115"/>
      <c r="L52" s="115"/>
      <c r="M52" s="104"/>
    </row>
    <row r="53" spans="1:13" x14ac:dyDescent="0.25">
      <c r="A53" s="502">
        <f>ROW()</f>
        <v>53</v>
      </c>
      <c r="B53" s="272" t="s">
        <v>1062</v>
      </c>
      <c r="C53" s="272"/>
      <c r="D53" s="1154"/>
      <c r="E53" s="1154"/>
      <c r="F53" s="1152"/>
      <c r="G53" s="1148"/>
      <c r="H53" s="1155"/>
      <c r="I53" s="1154"/>
      <c r="J53" s="1152"/>
      <c r="K53" s="115"/>
      <c r="L53" s="115"/>
      <c r="M53" s="104"/>
    </row>
    <row r="54" spans="1:13" x14ac:dyDescent="0.25">
      <c r="A54" s="502">
        <f>ROW()</f>
        <v>54</v>
      </c>
      <c r="B54" s="272" t="s">
        <v>1063</v>
      </c>
      <c r="C54" s="272"/>
      <c r="D54" s="1154"/>
      <c r="E54" s="1154"/>
      <c r="F54" s="1152"/>
      <c r="G54" s="1148"/>
      <c r="H54" s="1155"/>
      <c r="I54" s="1154"/>
      <c r="J54" s="1152"/>
      <c r="K54" s="115"/>
      <c r="L54" s="115"/>
      <c r="M54" s="104"/>
    </row>
    <row r="55" spans="1:13" x14ac:dyDescent="0.25">
      <c r="A55" s="502">
        <f>ROW()</f>
        <v>55</v>
      </c>
      <c r="B55" s="272" t="s">
        <v>1064</v>
      </c>
      <c r="C55" s="272"/>
      <c r="D55" s="1154"/>
      <c r="E55" s="1154"/>
      <c r="F55" s="1152"/>
      <c r="G55" s="1148"/>
      <c r="H55" s="1155"/>
      <c r="I55" s="1154"/>
      <c r="J55" s="1152"/>
      <c r="K55" s="115"/>
      <c r="L55" s="115"/>
      <c r="M55" s="104"/>
    </row>
    <row r="56" spans="1:13" x14ac:dyDescent="0.25">
      <c r="A56" s="502">
        <f>ROW()</f>
        <v>56</v>
      </c>
      <c r="B56" s="272" t="s">
        <v>1065</v>
      </c>
      <c r="C56" s="272"/>
      <c r="D56" s="1154"/>
      <c r="E56" s="1154"/>
      <c r="F56" s="1152"/>
      <c r="G56" s="1148"/>
      <c r="H56" s="1155"/>
      <c r="I56" s="1154"/>
      <c r="J56" s="1152"/>
      <c r="K56" s="115"/>
      <c r="L56" s="115"/>
      <c r="M56" s="104"/>
    </row>
    <row r="57" spans="1:13" x14ac:dyDescent="0.25">
      <c r="A57" s="502">
        <f>ROW()</f>
        <v>57</v>
      </c>
      <c r="B57" s="272" t="s">
        <v>1066</v>
      </c>
      <c r="C57" s="272"/>
      <c r="D57" s="1154"/>
      <c r="E57" s="1154"/>
      <c r="F57" s="1152"/>
      <c r="G57" s="1148"/>
      <c r="H57" s="1155"/>
      <c r="I57" s="1154"/>
      <c r="J57" s="1152"/>
      <c r="K57" s="115"/>
      <c r="L57" s="115"/>
      <c r="M57" s="104"/>
    </row>
    <row r="58" spans="1:13" x14ac:dyDescent="0.25">
      <c r="A58" s="502">
        <f>ROW()</f>
        <v>58</v>
      </c>
      <c r="B58" s="272" t="s">
        <v>1067</v>
      </c>
      <c r="C58" s="272"/>
      <c r="D58" s="1154"/>
      <c r="E58" s="1154"/>
      <c r="F58" s="1152"/>
      <c r="G58" s="1148"/>
      <c r="H58" s="1155"/>
      <c r="I58" s="1154"/>
      <c r="J58" s="1152"/>
      <c r="K58" s="115"/>
      <c r="L58" s="115"/>
      <c r="M58" s="104"/>
    </row>
    <row r="59" spans="1:13" x14ac:dyDescent="0.25">
      <c r="A59" s="502">
        <f>ROW()</f>
        <v>59</v>
      </c>
      <c r="B59" s="272" t="s">
        <v>1068</v>
      </c>
      <c r="C59" s="272"/>
      <c r="D59" s="1154"/>
      <c r="E59" s="1154"/>
      <c r="F59" s="1152"/>
      <c r="G59" s="1148"/>
      <c r="H59" s="1155"/>
      <c r="I59" s="1154"/>
      <c r="J59" s="1152"/>
      <c r="K59" s="115"/>
      <c r="L59" s="115"/>
      <c r="M59" s="104"/>
    </row>
    <row r="60" spans="1:13" x14ac:dyDescent="0.25">
      <c r="A60" s="502">
        <f>ROW()</f>
        <v>60</v>
      </c>
      <c r="B60" s="272" t="s">
        <v>1069</v>
      </c>
      <c r="C60" s="272"/>
      <c r="D60" s="1154"/>
      <c r="E60" s="1154"/>
      <c r="F60" s="1152"/>
      <c r="G60" s="1148"/>
      <c r="H60" s="1155"/>
      <c r="I60" s="1154"/>
      <c r="J60" s="1152"/>
      <c r="K60" s="115"/>
      <c r="L60" s="115"/>
      <c r="M60" s="104"/>
    </row>
    <row r="61" spans="1:13" x14ac:dyDescent="0.25">
      <c r="A61" s="502">
        <f>ROW()</f>
        <v>61</v>
      </c>
      <c r="B61" s="272" t="s">
        <v>1070</v>
      </c>
      <c r="C61" s="272"/>
      <c r="D61" s="1154"/>
      <c r="E61" s="1154"/>
      <c r="F61" s="1152"/>
      <c r="G61" s="1148"/>
      <c r="H61" s="1155"/>
      <c r="I61" s="1154"/>
      <c r="J61" s="1152"/>
      <c r="K61" s="115"/>
      <c r="L61" s="115"/>
      <c r="M61" s="104"/>
    </row>
    <row r="62" spans="1:13" x14ac:dyDescent="0.25">
      <c r="A62" s="502">
        <f>ROW()</f>
        <v>62</v>
      </c>
      <c r="B62" s="272" t="s">
        <v>1071</v>
      </c>
      <c r="C62" s="272"/>
      <c r="D62" s="1154"/>
      <c r="E62" s="1154"/>
      <c r="F62" s="1152"/>
      <c r="G62" s="1148"/>
      <c r="H62" s="1155"/>
      <c r="I62" s="1154"/>
      <c r="J62" s="1152"/>
      <c r="K62" s="115"/>
      <c r="L62" s="115"/>
      <c r="M62" s="104"/>
    </row>
    <row r="63" spans="1:13" x14ac:dyDescent="0.25">
      <c r="A63" s="502">
        <f>ROW()</f>
        <v>63</v>
      </c>
      <c r="B63" s="272" t="s">
        <v>1072</v>
      </c>
      <c r="C63" s="272"/>
      <c r="D63" s="1154"/>
      <c r="E63" s="1154"/>
      <c r="F63" s="1152"/>
      <c r="G63" s="1148"/>
      <c r="H63" s="1155"/>
      <c r="I63" s="1154"/>
      <c r="J63" s="1152"/>
      <c r="K63" s="115"/>
      <c r="L63" s="115"/>
      <c r="M63" s="104"/>
    </row>
    <row r="64" spans="1:13" x14ac:dyDescent="0.25">
      <c r="A64" s="502">
        <f>ROW()</f>
        <v>64</v>
      </c>
      <c r="B64" s="272" t="s">
        <v>1073</v>
      </c>
      <c r="C64" s="272"/>
      <c r="D64" s="1154"/>
      <c r="E64" s="1154"/>
      <c r="F64" s="1152"/>
      <c r="G64" s="1148"/>
      <c r="H64" s="1155"/>
      <c r="I64" s="1154"/>
      <c r="J64" s="1152"/>
      <c r="K64" s="115"/>
      <c r="L64" s="115"/>
      <c r="M64" s="104"/>
    </row>
    <row r="65" spans="1:13" x14ac:dyDescent="0.25">
      <c r="A65" s="502">
        <f>ROW()</f>
        <v>65</v>
      </c>
      <c r="B65" s="272" t="s">
        <v>1074</v>
      </c>
      <c r="C65" s="272"/>
      <c r="D65" s="1154"/>
      <c r="E65" s="1154"/>
      <c r="F65" s="1152"/>
      <c r="G65" s="1148"/>
      <c r="H65" s="1155"/>
      <c r="I65" s="1154"/>
      <c r="J65" s="1152"/>
      <c r="K65" s="115"/>
      <c r="L65" s="115"/>
      <c r="M65" s="104"/>
    </row>
    <row r="66" spans="1:13" x14ac:dyDescent="0.25">
      <c r="A66" s="502">
        <f>ROW()</f>
        <v>66</v>
      </c>
      <c r="B66" s="272" t="s">
        <v>1075</v>
      </c>
      <c r="C66" s="272"/>
      <c r="D66" s="1154"/>
      <c r="E66" s="1154"/>
      <c r="F66" s="1152"/>
      <c r="G66" s="1148"/>
      <c r="H66" s="1155"/>
      <c r="I66" s="1154"/>
      <c r="J66" s="1152"/>
      <c r="K66" s="115"/>
      <c r="L66" s="115"/>
      <c r="M66" s="104"/>
    </row>
    <row r="67" spans="1:13" x14ac:dyDescent="0.25">
      <c r="A67" s="502">
        <f>ROW()</f>
        <v>67</v>
      </c>
      <c r="B67" s="272" t="s">
        <v>1076</v>
      </c>
      <c r="C67" s="272"/>
      <c r="D67" s="1154"/>
      <c r="E67" s="1154"/>
      <c r="F67" s="1152"/>
      <c r="G67" s="1148"/>
      <c r="H67" s="1155"/>
      <c r="I67" s="1154"/>
      <c r="J67" s="1152"/>
      <c r="K67" s="115"/>
      <c r="L67" s="115"/>
      <c r="M67" s="104"/>
    </row>
    <row r="68" spans="1:13" x14ac:dyDescent="0.25">
      <c r="A68" s="502">
        <f>ROW()</f>
        <v>68</v>
      </c>
      <c r="B68" s="272" t="s">
        <v>1077</v>
      </c>
      <c r="C68" s="272"/>
      <c r="D68" s="1154"/>
      <c r="E68" s="1154"/>
      <c r="F68" s="1152"/>
      <c r="G68" s="1148"/>
      <c r="H68" s="1155"/>
      <c r="I68" s="1154"/>
      <c r="J68" s="1152"/>
      <c r="K68" s="115"/>
      <c r="L68" s="115"/>
      <c r="M68" s="104"/>
    </row>
    <row r="69" spans="1:13" x14ac:dyDescent="0.25">
      <c r="A69" s="502">
        <f>ROW()</f>
        <v>69</v>
      </c>
      <c r="B69" s="272" t="s">
        <v>1078</v>
      </c>
      <c r="C69" s="272"/>
      <c r="D69" s="1154"/>
      <c r="E69" s="1154"/>
      <c r="F69" s="1152"/>
      <c r="G69" s="1148"/>
      <c r="H69" s="1155"/>
      <c r="I69" s="1154"/>
      <c r="J69" s="1152"/>
      <c r="K69" s="115"/>
      <c r="L69" s="115"/>
      <c r="M69" s="104"/>
    </row>
    <row r="70" spans="1:13" x14ac:dyDescent="0.25">
      <c r="A70" s="502">
        <f>ROW()</f>
        <v>70</v>
      </c>
      <c r="B70" s="272" t="s">
        <v>1079</v>
      </c>
      <c r="C70" s="272"/>
      <c r="D70" s="1154"/>
      <c r="E70" s="1154"/>
      <c r="F70" s="1152"/>
      <c r="G70" s="1148"/>
      <c r="H70" s="1155"/>
      <c r="I70" s="1154"/>
      <c r="J70" s="1152"/>
      <c r="K70" s="115"/>
      <c r="L70" s="115"/>
      <c r="M70" s="104"/>
    </row>
    <row r="71" spans="1:13" x14ac:dyDescent="0.25">
      <c r="A71" s="502">
        <f>ROW()</f>
        <v>71</v>
      </c>
      <c r="B71" s="272" t="s">
        <v>1080</v>
      </c>
      <c r="C71" s="272"/>
      <c r="D71" s="1154"/>
      <c r="E71" s="1154"/>
      <c r="F71" s="1152"/>
      <c r="G71" s="1148"/>
      <c r="H71" s="1155"/>
      <c r="I71" s="1154"/>
      <c r="J71" s="1152"/>
      <c r="K71" s="115"/>
      <c r="L71" s="115"/>
      <c r="M71" s="104"/>
    </row>
    <row r="72" spans="1:13" x14ac:dyDescent="0.25">
      <c r="A72" s="502">
        <f>ROW()</f>
        <v>72</v>
      </c>
      <c r="B72" s="272" t="s">
        <v>1081</v>
      </c>
      <c r="C72" s="272"/>
      <c r="D72" s="1154"/>
      <c r="E72" s="1154"/>
      <c r="F72" s="1152"/>
      <c r="G72" s="1148"/>
      <c r="H72" s="1155"/>
      <c r="I72" s="1154"/>
      <c r="J72" s="1152"/>
      <c r="K72" s="115"/>
      <c r="L72" s="115"/>
      <c r="M72" s="104"/>
    </row>
    <row r="73" spans="1:13" x14ac:dyDescent="0.25">
      <c r="A73" s="502">
        <f>ROW()</f>
        <v>73</v>
      </c>
      <c r="B73" s="272" t="s">
        <v>1082</v>
      </c>
      <c r="C73" s="272"/>
      <c r="D73" s="1154"/>
      <c r="E73" s="1154"/>
      <c r="F73" s="1152"/>
      <c r="G73" s="1148"/>
      <c r="H73" s="1155"/>
      <c r="I73" s="1154"/>
      <c r="J73" s="1152"/>
      <c r="K73" s="115"/>
      <c r="L73" s="115"/>
      <c r="M73" s="104"/>
    </row>
    <row r="74" spans="1:13" x14ac:dyDescent="0.25">
      <c r="A74" s="502">
        <f>ROW()</f>
        <v>74</v>
      </c>
      <c r="B74" s="272" t="s">
        <v>1083</v>
      </c>
      <c r="C74" s="272"/>
      <c r="D74" s="1154"/>
      <c r="E74" s="1154"/>
      <c r="F74" s="1152"/>
      <c r="G74" s="1148"/>
      <c r="H74" s="1155"/>
      <c r="I74" s="1154"/>
      <c r="J74" s="1152"/>
      <c r="K74" s="115"/>
      <c r="L74" s="115"/>
      <c r="M74" s="104"/>
    </row>
    <row r="75" spans="1:13" x14ac:dyDescent="0.25">
      <c r="A75" s="502">
        <f>ROW()</f>
        <v>75</v>
      </c>
      <c r="B75" s="272" t="s">
        <v>1084</v>
      </c>
      <c r="C75" s="272"/>
      <c r="D75" s="1154"/>
      <c r="E75" s="1154"/>
      <c r="F75" s="1152"/>
      <c r="G75" s="1148"/>
      <c r="H75" s="1155"/>
      <c r="I75" s="1154"/>
      <c r="J75" s="1152"/>
      <c r="K75" s="115"/>
      <c r="L75" s="115"/>
      <c r="M75" s="104"/>
    </row>
    <row r="76" spans="1:13" x14ac:dyDescent="0.25">
      <c r="A76" s="502">
        <f>ROW()</f>
        <v>76</v>
      </c>
      <c r="B76" s="272" t="s">
        <v>1085</v>
      </c>
      <c r="C76" s="272"/>
      <c r="D76" s="1154"/>
      <c r="E76" s="1154"/>
      <c r="F76" s="1152"/>
      <c r="G76" s="1148"/>
      <c r="H76" s="1155"/>
      <c r="I76" s="1154"/>
      <c r="J76" s="1152"/>
      <c r="K76" s="115"/>
      <c r="L76" s="115"/>
      <c r="M76" s="104"/>
    </row>
    <row r="77" spans="1:13" x14ac:dyDescent="0.25">
      <c r="A77" s="502">
        <f>ROW()</f>
        <v>77</v>
      </c>
      <c r="B77" s="272" t="s">
        <v>1086</v>
      </c>
      <c r="C77" s="272"/>
      <c r="D77" s="1154"/>
      <c r="E77" s="1154"/>
      <c r="F77" s="1152"/>
      <c r="G77" s="1148"/>
      <c r="H77" s="1155"/>
      <c r="I77" s="1154"/>
      <c r="J77" s="1152"/>
      <c r="K77" s="115"/>
      <c r="L77" s="115"/>
      <c r="M77" s="104"/>
    </row>
    <row r="78" spans="1:13" x14ac:dyDescent="0.25">
      <c r="A78" s="502">
        <f>ROW()</f>
        <v>78</v>
      </c>
      <c r="B78" s="272" t="s">
        <v>1087</v>
      </c>
      <c r="C78" s="272"/>
      <c r="D78" s="1154"/>
      <c r="E78" s="1154"/>
      <c r="F78" s="1152"/>
      <c r="G78" s="1148"/>
      <c r="H78" s="1155"/>
      <c r="I78" s="1154"/>
      <c r="J78" s="1152"/>
      <c r="K78" s="115"/>
      <c r="L78" s="115"/>
      <c r="M78" s="104"/>
    </row>
    <row r="79" spans="1:13" x14ac:dyDescent="0.25">
      <c r="A79" s="502">
        <f>ROW()</f>
        <v>79</v>
      </c>
      <c r="B79" s="272" t="s">
        <v>172</v>
      </c>
      <c r="C79" s="272"/>
      <c r="D79" s="1154"/>
      <c r="E79" s="1154"/>
      <c r="F79" s="1156"/>
      <c r="G79" s="1148"/>
      <c r="H79" s="1155"/>
      <c r="I79" s="1154"/>
      <c r="J79" s="1156"/>
      <c r="K79" s="115"/>
      <c r="L79" s="115"/>
      <c r="M79" s="104"/>
    </row>
    <row r="80" spans="1:13" x14ac:dyDescent="0.25">
      <c r="A80" s="502">
        <f>ROW()</f>
        <v>80</v>
      </c>
      <c r="B80" s="302" t="s">
        <v>1088</v>
      </c>
      <c r="C80" s="302"/>
      <c r="D80" s="1154"/>
      <c r="E80" s="1154"/>
      <c r="F80" s="1156"/>
      <c r="G80" s="1148"/>
      <c r="H80" s="1155"/>
      <c r="I80" s="1154"/>
      <c r="J80" s="1156"/>
      <c r="K80" s="115"/>
      <c r="L80" s="115"/>
      <c r="M80" s="104"/>
    </row>
    <row r="81" spans="1:13" x14ac:dyDescent="0.25">
      <c r="A81" s="502">
        <f>ROW()</f>
        <v>81</v>
      </c>
      <c r="B81" s="302" t="s">
        <v>1088</v>
      </c>
      <c r="C81" s="302"/>
      <c r="D81" s="1154"/>
      <c r="E81" s="1154"/>
      <c r="F81" s="1156"/>
      <c r="G81" s="1148"/>
      <c r="H81" s="1155"/>
      <c r="I81" s="1154"/>
      <c r="J81" s="1156"/>
      <c r="K81" s="115"/>
      <c r="L81" s="115"/>
      <c r="M81" s="104"/>
    </row>
    <row r="82" spans="1:13" x14ac:dyDescent="0.25">
      <c r="A82" s="502">
        <f>ROW()</f>
        <v>82</v>
      </c>
      <c r="B82" s="302" t="s">
        <v>1088</v>
      </c>
      <c r="C82" s="302"/>
      <c r="D82" s="1154"/>
      <c r="E82" s="1154"/>
      <c r="F82" s="1157"/>
      <c r="G82" s="1148"/>
      <c r="H82" s="1158"/>
      <c r="I82" s="1159"/>
      <c r="J82" s="1157"/>
      <c r="K82" s="115"/>
      <c r="L82" s="115"/>
      <c r="M82" s="104"/>
    </row>
    <row r="83" spans="1:13" x14ac:dyDescent="0.25">
      <c r="A83" s="502">
        <f>ROW()</f>
        <v>83</v>
      </c>
      <c r="B83" s="278" t="s">
        <v>1089</v>
      </c>
      <c r="C83" s="343"/>
      <c r="D83" s="1080"/>
      <c r="E83" s="1080"/>
      <c r="F83" s="1080"/>
      <c r="M83" s="104"/>
    </row>
    <row r="84" spans="1:13" x14ac:dyDescent="0.25">
      <c r="A84" s="502">
        <f>ROW()</f>
        <v>84</v>
      </c>
      <c r="B84" s="283" t="s">
        <v>1090</v>
      </c>
      <c r="C84" s="266"/>
      <c r="D84" s="286"/>
      <c r="E84" s="84"/>
      <c r="F84" s="84"/>
      <c r="G84" s="84"/>
      <c r="H84" s="286"/>
      <c r="I84" s="286"/>
      <c r="J84" s="286"/>
      <c r="K84" s="286"/>
      <c r="L84" s="286"/>
      <c r="M84" s="104"/>
    </row>
    <row r="85" spans="1:13" x14ac:dyDescent="0.25">
      <c r="A85" s="502">
        <f>ROW()</f>
        <v>85</v>
      </c>
      <c r="B85" s="283" t="s">
        <v>1091</v>
      </c>
      <c r="C85" s="266"/>
      <c r="D85" s="266"/>
      <c r="E85" s="1160"/>
      <c r="F85" s="1160"/>
      <c r="G85" s="1160"/>
      <c r="H85" s="1160"/>
      <c r="I85" s="1160"/>
      <c r="J85" s="1160"/>
      <c r="K85" s="1160"/>
      <c r="L85" s="1161"/>
      <c r="M85" s="104"/>
    </row>
    <row r="86" spans="1:13" x14ac:dyDescent="0.25">
      <c r="A86" s="502">
        <f>ROW()</f>
        <v>86</v>
      </c>
      <c r="B86" s="283" t="s">
        <v>1092</v>
      </c>
      <c r="M86" s="104"/>
    </row>
  </sheetData>
  <mergeCells count="2">
    <mergeCell ref="D44:F44"/>
    <mergeCell ref="H44:J44"/>
  </mergeCells>
  <conditionalFormatting sqref="B48:C79">
    <cfRule type="expression" dxfId="7" priority="1" stopIfTrue="1">
      <formula>MOD(ROW(),2)=0</formula>
    </cfRule>
  </conditionalFormatting>
  <conditionalFormatting sqref="C1">
    <cfRule type="expression" dxfId="6" priority="2" stopIfTrue="1">
      <formula>MOD(ROW(),2)=0</formula>
    </cfRule>
  </conditionalFormatting>
  <conditionalFormatting sqref="D17:D22">
    <cfRule type="cellIs" dxfId="5" priority="3" stopIfTrue="1" operator="equal">
      <formula>0</formula>
    </cfRule>
  </conditionalFormatting>
  <hyperlinks>
    <hyperlink ref="C1" location="HypLink1" display="HypLink1" xr:uid="{56A2811C-D40F-4B3A-AC26-7236BDD7CBB3}"/>
  </hyperlinks>
  <pageMargins left="0.7" right="0.7" top="0.75" bottom="0.75" header="0.3" footer="0.3"/>
  <pageSetup paperSize="119" scale="81"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F68BE-1C3B-4C3E-BD72-98052C94F87E}">
  <dimension ref="A1:P37"/>
  <sheetViews>
    <sheetView workbookViewId="0">
      <selection activeCell="A5" sqref="A5"/>
    </sheetView>
  </sheetViews>
  <sheetFormatPr defaultRowHeight="15" x14ac:dyDescent="0.25"/>
  <cols>
    <col min="1" max="1" width="4.7109375" style="168" customWidth="1"/>
    <col min="2" max="2" width="9.140625" style="168"/>
    <col min="3" max="3" width="11.7109375" style="168" customWidth="1"/>
    <col min="4" max="4" width="10.7109375" style="168" customWidth="1"/>
    <col min="5" max="8" width="9.140625" style="168"/>
    <col min="9" max="9" width="14.28515625" style="168" customWidth="1"/>
    <col min="10" max="10" width="9.140625" style="168"/>
    <col min="11" max="11" width="13.5703125" style="168" customWidth="1"/>
    <col min="12" max="12" width="9.140625" style="168"/>
    <col min="13" max="13" width="8.28515625" style="168" customWidth="1"/>
    <col min="14" max="16" width="9.140625" style="168"/>
  </cols>
  <sheetData>
    <row r="1" spans="1:15" ht="15.75" x14ac:dyDescent="0.25">
      <c r="A1" s="2" t="s">
        <v>1093</v>
      </c>
      <c r="B1" s="2"/>
      <c r="C1" s="2"/>
      <c r="D1" s="2"/>
      <c r="E1" s="2"/>
    </row>
    <row r="2" spans="1:15" ht="15.75" x14ac:dyDescent="0.25">
      <c r="A2" s="1626" t="str">
        <f>SchoolName</f>
        <v>Odyssey Charter School</v>
      </c>
      <c r="B2" s="1626"/>
      <c r="C2" s="1626"/>
      <c r="D2" s="1626"/>
      <c r="E2" s="1626"/>
    </row>
    <row r="3" spans="1:15" x14ac:dyDescent="0.25">
      <c r="A3" s="1162" t="s">
        <v>1094</v>
      </c>
    </row>
    <row r="4" spans="1:15" x14ac:dyDescent="0.25">
      <c r="A4" s="1163" t="s">
        <v>80</v>
      </c>
    </row>
    <row r="5" spans="1:15" x14ac:dyDescent="0.25">
      <c r="A5" s="1164" t="str">
        <f ca="1">CELL("filename")</f>
        <v>\\lvraiders\users\sguthrie\Documents\Charter\Change of Sponsorship\[240126-SPCSA-Odyssey Charter School Application Workbook-Modified-Version (1).xlsx]Instructions</v>
      </c>
    </row>
    <row r="6" spans="1:15" x14ac:dyDescent="0.25">
      <c r="A6" s="170"/>
      <c r="B6" s="170"/>
      <c r="C6" s="170"/>
      <c r="D6" s="170"/>
      <c r="E6" s="170"/>
      <c r="F6" s="170"/>
      <c r="G6" s="170"/>
      <c r="H6" s="170"/>
      <c r="I6" s="170"/>
      <c r="J6" s="170"/>
      <c r="K6" s="170"/>
      <c r="L6" s="170"/>
      <c r="M6" s="170"/>
      <c r="N6" s="170"/>
      <c r="O6" s="170"/>
    </row>
    <row r="7" spans="1:15" x14ac:dyDescent="0.25">
      <c r="A7" s="170"/>
      <c r="B7" s="170"/>
      <c r="C7" s="170"/>
      <c r="D7" s="170"/>
      <c r="E7" s="170"/>
      <c r="F7" s="170"/>
      <c r="G7" s="170"/>
      <c r="H7" s="170"/>
      <c r="I7" s="170"/>
      <c r="J7" s="170"/>
      <c r="K7" s="170"/>
      <c r="L7" s="170"/>
      <c r="M7" s="170"/>
      <c r="N7" s="170"/>
      <c r="O7" s="170"/>
    </row>
    <row r="8" spans="1:15" x14ac:dyDescent="0.25">
      <c r="A8" s="170"/>
      <c r="B8" s="170"/>
      <c r="C8" s="170"/>
      <c r="D8" s="170"/>
      <c r="E8" s="170"/>
      <c r="F8" s="170"/>
      <c r="G8" s="170"/>
      <c r="H8" s="170"/>
      <c r="I8" s="170"/>
      <c r="J8" s="170"/>
      <c r="K8" s="170"/>
      <c r="L8" s="170"/>
      <c r="M8" s="170"/>
      <c r="N8" s="170"/>
      <c r="O8" s="170"/>
    </row>
    <row r="9" spans="1:15" x14ac:dyDescent="0.25">
      <c r="A9" s="170"/>
      <c r="B9" s="170"/>
      <c r="C9" s="170"/>
      <c r="D9" s="170"/>
      <c r="E9" s="170"/>
      <c r="F9" s="170"/>
      <c r="G9" s="170"/>
      <c r="H9" s="170"/>
      <c r="I9" s="170"/>
      <c r="J9" s="170"/>
      <c r="K9" s="170"/>
      <c r="L9" s="170"/>
      <c r="M9" s="170"/>
      <c r="N9" s="170"/>
      <c r="O9" s="170"/>
    </row>
    <row r="10" spans="1:15" ht="23.25" x14ac:dyDescent="0.35">
      <c r="A10" s="170"/>
      <c r="B10" s="1165" t="s">
        <v>1095</v>
      </c>
      <c r="C10" s="170"/>
      <c r="D10" s="170"/>
      <c r="E10" s="170"/>
      <c r="F10" s="170"/>
      <c r="G10" s="170"/>
      <c r="H10" s="170"/>
      <c r="I10" s="170"/>
      <c r="J10" s="170"/>
      <c r="K10" s="170"/>
      <c r="L10" s="170"/>
      <c r="M10" s="170"/>
      <c r="N10" s="170"/>
      <c r="O10" s="170"/>
    </row>
    <row r="11" spans="1:15" ht="23.25" x14ac:dyDescent="0.35">
      <c r="A11" s="170"/>
      <c r="B11" s="1166" t="s">
        <v>1096</v>
      </c>
      <c r="C11" s="170"/>
      <c r="D11" s="170"/>
      <c r="E11" s="170"/>
      <c r="F11" s="170"/>
      <c r="G11" s="170"/>
      <c r="H11" s="170"/>
      <c r="I11" s="170"/>
      <c r="J11" s="170"/>
      <c r="K11" s="170"/>
      <c r="L11" s="170"/>
      <c r="M11" s="170"/>
      <c r="N11" s="170"/>
      <c r="O11" s="170"/>
    </row>
    <row r="12" spans="1:15" ht="23.25" x14ac:dyDescent="0.35">
      <c r="A12" s="170"/>
      <c r="B12" s="1166" t="s">
        <v>1097</v>
      </c>
      <c r="C12" s="170"/>
      <c r="D12" s="170"/>
      <c r="E12" s="170"/>
      <c r="F12" s="170"/>
      <c r="G12" s="170"/>
      <c r="H12" s="170"/>
      <c r="I12" s="170"/>
      <c r="J12" s="170"/>
      <c r="K12" s="170"/>
      <c r="L12" s="170"/>
      <c r="M12" s="170"/>
      <c r="N12" s="170"/>
      <c r="O12" s="170"/>
    </row>
    <row r="13" spans="1:15" x14ac:dyDescent="0.25">
      <c r="A13" s="170"/>
      <c r="B13" s="170"/>
      <c r="C13" s="170"/>
      <c r="D13" s="170"/>
      <c r="E13" s="170"/>
      <c r="F13" s="170"/>
      <c r="G13" s="170"/>
      <c r="H13" s="170"/>
      <c r="I13" s="170"/>
      <c r="J13" s="170"/>
      <c r="K13" s="170"/>
      <c r="L13" s="170"/>
      <c r="M13" s="170"/>
      <c r="N13" s="170"/>
      <c r="O13" s="170"/>
    </row>
    <row r="14" spans="1:15" x14ac:dyDescent="0.25">
      <c r="A14" s="170"/>
      <c r="B14" s="170"/>
      <c r="C14" s="170"/>
      <c r="D14" s="170"/>
      <c r="E14" s="170"/>
      <c r="F14" s="170"/>
      <c r="G14" s="170"/>
      <c r="H14" s="170"/>
      <c r="I14" s="170"/>
      <c r="J14" s="170"/>
      <c r="K14" s="170"/>
      <c r="L14" s="170"/>
      <c r="M14" s="170"/>
      <c r="N14" s="170"/>
      <c r="O14" s="170"/>
    </row>
    <row r="15" spans="1:15" x14ac:dyDescent="0.25">
      <c r="A15" s="170"/>
      <c r="B15" s="170"/>
      <c r="C15" s="170"/>
      <c r="D15" s="170"/>
      <c r="E15" s="170"/>
      <c r="F15" s="170"/>
      <c r="G15" s="170"/>
      <c r="H15" s="170"/>
      <c r="I15" s="170"/>
      <c r="J15" s="170"/>
      <c r="K15" s="170"/>
      <c r="L15" s="170"/>
      <c r="M15" s="170"/>
      <c r="N15" s="170"/>
      <c r="O15" s="170"/>
    </row>
    <row r="16" spans="1:15" x14ac:dyDescent="0.25">
      <c r="A16" s="170"/>
      <c r="B16" s="170"/>
      <c r="C16" s="170"/>
      <c r="D16" s="170"/>
      <c r="E16" s="170"/>
      <c r="F16" s="170"/>
      <c r="G16" s="170"/>
      <c r="H16" s="170"/>
      <c r="I16" s="170"/>
      <c r="J16" s="170"/>
      <c r="K16" s="170"/>
      <c r="L16" s="170"/>
      <c r="M16" s="170"/>
      <c r="N16" s="170"/>
      <c r="O16" s="170"/>
    </row>
    <row r="17" spans="1:15" x14ac:dyDescent="0.25">
      <c r="A17" s="170"/>
      <c r="B17" s="170"/>
      <c r="C17" s="170"/>
      <c r="D17" s="170"/>
      <c r="E17" s="170"/>
      <c r="F17" s="170"/>
      <c r="G17" s="170"/>
      <c r="H17" s="170"/>
      <c r="I17" s="170"/>
      <c r="J17" s="170"/>
      <c r="K17" s="170"/>
      <c r="L17" s="170"/>
      <c r="M17" s="170"/>
      <c r="N17" s="170"/>
      <c r="O17" s="170"/>
    </row>
    <row r="18" spans="1:15" x14ac:dyDescent="0.25">
      <c r="A18" s="170"/>
      <c r="B18" s="170"/>
      <c r="C18" s="170"/>
      <c r="D18" s="170"/>
      <c r="E18" s="170"/>
      <c r="F18" s="170"/>
      <c r="G18" s="170"/>
      <c r="H18" s="170"/>
      <c r="I18" s="170"/>
      <c r="J18" s="170"/>
      <c r="K18" s="170"/>
      <c r="L18" s="170"/>
      <c r="M18" s="170"/>
      <c r="N18" s="170"/>
      <c r="O18" s="170"/>
    </row>
    <row r="19" spans="1:15" x14ac:dyDescent="0.25">
      <c r="A19" s="170"/>
      <c r="B19" s="170"/>
      <c r="C19" s="170"/>
      <c r="D19" s="170"/>
      <c r="E19" s="170"/>
      <c r="F19" s="170"/>
      <c r="G19" s="170"/>
      <c r="H19" s="170"/>
      <c r="I19" s="170"/>
      <c r="J19" s="170"/>
      <c r="K19" s="170"/>
      <c r="L19" s="170"/>
      <c r="M19" s="170"/>
      <c r="N19" s="170"/>
      <c r="O19" s="170"/>
    </row>
    <row r="20" spans="1:15" x14ac:dyDescent="0.25">
      <c r="A20" s="170"/>
      <c r="B20" s="170"/>
      <c r="C20" s="170"/>
      <c r="D20" s="170"/>
      <c r="E20" s="170"/>
      <c r="F20" s="170"/>
      <c r="G20" s="170"/>
      <c r="H20" s="170"/>
      <c r="I20" s="170"/>
      <c r="J20" s="170"/>
      <c r="K20" s="170"/>
      <c r="L20" s="170"/>
      <c r="M20" s="170"/>
      <c r="N20" s="170"/>
      <c r="O20" s="170"/>
    </row>
    <row r="21" spans="1:15" x14ac:dyDescent="0.25">
      <c r="A21" s="170"/>
      <c r="B21" s="170"/>
      <c r="C21" s="170"/>
      <c r="D21" s="170"/>
      <c r="E21" s="170"/>
      <c r="F21" s="170"/>
      <c r="G21" s="170"/>
      <c r="H21" s="170"/>
      <c r="I21" s="170"/>
      <c r="J21" s="170"/>
      <c r="K21" s="170"/>
      <c r="L21" s="170"/>
      <c r="M21" s="170"/>
      <c r="N21" s="170"/>
      <c r="O21" s="170"/>
    </row>
    <row r="22" spans="1:15" x14ac:dyDescent="0.25">
      <c r="A22" s="170"/>
      <c r="B22" s="170"/>
      <c r="C22" s="170"/>
      <c r="D22" s="170"/>
      <c r="E22" s="170"/>
      <c r="F22" s="170"/>
      <c r="G22" s="170"/>
      <c r="H22" s="170"/>
      <c r="I22" s="170"/>
      <c r="J22" s="170"/>
      <c r="K22" s="170"/>
      <c r="L22" s="170"/>
      <c r="M22" s="170"/>
      <c r="N22" s="170"/>
      <c r="O22" s="170"/>
    </row>
    <row r="23" spans="1:15" x14ac:dyDescent="0.25">
      <c r="A23" s="170"/>
      <c r="B23" s="170"/>
      <c r="C23" s="170"/>
      <c r="D23" s="170"/>
      <c r="E23" s="170"/>
      <c r="F23" s="170"/>
      <c r="G23" s="170"/>
      <c r="H23" s="170"/>
      <c r="I23" s="170"/>
      <c r="J23" s="170"/>
      <c r="K23" s="170"/>
      <c r="L23" s="170"/>
      <c r="M23" s="170"/>
      <c r="N23" s="170"/>
      <c r="O23" s="170"/>
    </row>
    <row r="24" spans="1:15" x14ac:dyDescent="0.25">
      <c r="A24" s="170"/>
      <c r="B24" s="170"/>
      <c r="C24" s="170"/>
      <c r="D24" s="170"/>
      <c r="E24" s="170"/>
      <c r="F24" s="170"/>
      <c r="G24" s="170"/>
      <c r="H24" s="170"/>
      <c r="I24" s="170"/>
      <c r="J24" s="170"/>
      <c r="K24" s="170"/>
      <c r="L24" s="170"/>
      <c r="M24" s="170"/>
      <c r="N24" s="170"/>
      <c r="O24" s="170"/>
    </row>
    <row r="25" spans="1:15" x14ac:dyDescent="0.25">
      <c r="A25" s="170"/>
      <c r="B25" s="170"/>
      <c r="C25" s="170"/>
      <c r="D25" s="170"/>
      <c r="E25" s="170"/>
      <c r="F25" s="170"/>
      <c r="G25" s="170"/>
      <c r="H25" s="170"/>
      <c r="I25" s="170"/>
      <c r="J25" s="170"/>
      <c r="K25" s="170"/>
      <c r="L25" s="170"/>
      <c r="M25" s="170"/>
      <c r="N25" s="170"/>
      <c r="O25" s="170"/>
    </row>
    <row r="26" spans="1:15" x14ac:dyDescent="0.25">
      <c r="A26" s="170"/>
      <c r="B26" s="170"/>
      <c r="C26" s="170"/>
      <c r="D26" s="170"/>
      <c r="E26" s="170"/>
      <c r="F26" s="170"/>
      <c r="G26" s="170"/>
      <c r="H26" s="170"/>
      <c r="I26" s="170"/>
      <c r="J26" s="170"/>
      <c r="K26" s="170"/>
      <c r="L26" s="170"/>
      <c r="M26" s="170"/>
      <c r="N26" s="170"/>
      <c r="O26" s="170"/>
    </row>
    <row r="27" spans="1:15" x14ac:dyDescent="0.25">
      <c r="A27" s="170"/>
      <c r="B27" s="170"/>
      <c r="C27" s="170"/>
      <c r="D27" s="170"/>
      <c r="E27" s="170"/>
      <c r="F27" s="170"/>
      <c r="G27" s="170"/>
      <c r="H27" s="170"/>
      <c r="I27" s="170"/>
      <c r="J27" s="170"/>
      <c r="K27" s="170"/>
      <c r="L27" s="170"/>
      <c r="M27" s="170"/>
      <c r="N27" s="170"/>
      <c r="O27" s="170"/>
    </row>
    <row r="28" spans="1:15" x14ac:dyDescent="0.25">
      <c r="A28" s="170"/>
      <c r="B28" s="170"/>
      <c r="C28" s="170"/>
      <c r="D28" s="170"/>
      <c r="E28" s="170"/>
      <c r="F28" s="170"/>
      <c r="G28" s="170"/>
      <c r="H28" s="170"/>
      <c r="I28" s="170"/>
      <c r="J28" s="170"/>
      <c r="K28" s="170"/>
      <c r="L28" s="170"/>
      <c r="M28" s="170"/>
      <c r="N28" s="170"/>
      <c r="O28" s="170"/>
    </row>
    <row r="29" spans="1:15" x14ac:dyDescent="0.25">
      <c r="A29" s="170"/>
      <c r="B29" s="170"/>
      <c r="C29" s="170"/>
      <c r="D29" s="170"/>
      <c r="E29" s="170"/>
      <c r="F29" s="170"/>
      <c r="G29" s="170"/>
      <c r="H29" s="170"/>
      <c r="I29" s="170"/>
      <c r="J29" s="170"/>
      <c r="K29" s="170"/>
      <c r="L29" s="170"/>
      <c r="M29" s="170"/>
      <c r="N29" s="170"/>
      <c r="O29" s="170"/>
    </row>
    <row r="30" spans="1:15" x14ac:dyDescent="0.25">
      <c r="A30" s="170"/>
      <c r="B30" s="170"/>
      <c r="C30" s="170"/>
      <c r="D30" s="170"/>
      <c r="E30" s="170"/>
      <c r="F30" s="170"/>
      <c r="G30" s="170"/>
      <c r="H30" s="170"/>
      <c r="I30" s="170"/>
      <c r="J30" s="170"/>
      <c r="K30" s="170"/>
      <c r="L30" s="170"/>
      <c r="M30" s="170"/>
      <c r="N30" s="170"/>
      <c r="O30" s="170"/>
    </row>
    <row r="31" spans="1:15" x14ac:dyDescent="0.25">
      <c r="A31" s="170"/>
      <c r="B31" s="170"/>
      <c r="C31" s="170"/>
      <c r="D31" s="170"/>
      <c r="E31" s="170"/>
      <c r="F31" s="170"/>
      <c r="G31" s="170"/>
      <c r="H31" s="170"/>
      <c r="I31" s="170"/>
      <c r="J31" s="170"/>
      <c r="K31" s="170"/>
      <c r="L31" s="170"/>
      <c r="M31" s="170"/>
      <c r="N31" s="170"/>
      <c r="O31" s="170"/>
    </row>
    <row r="32" spans="1:15" x14ac:dyDescent="0.25">
      <c r="A32" s="170"/>
      <c r="B32" s="170"/>
      <c r="C32" s="170"/>
      <c r="D32" s="170"/>
      <c r="E32" s="170"/>
      <c r="F32" s="170"/>
      <c r="G32" s="170"/>
      <c r="H32" s="170"/>
      <c r="I32" s="170"/>
      <c r="J32" s="170"/>
      <c r="K32" s="170"/>
      <c r="L32" s="170"/>
      <c r="M32" s="170"/>
      <c r="N32" s="170"/>
      <c r="O32" s="170"/>
    </row>
    <row r="33" spans="1:15" x14ac:dyDescent="0.25">
      <c r="A33" s="170"/>
      <c r="B33" s="170"/>
      <c r="C33" s="170"/>
      <c r="D33" s="170"/>
      <c r="E33" s="170"/>
      <c r="F33" s="170"/>
      <c r="G33" s="170"/>
      <c r="H33" s="170"/>
      <c r="I33" s="170"/>
      <c r="J33" s="170"/>
      <c r="K33" s="170"/>
      <c r="L33" s="170"/>
      <c r="M33" s="170"/>
      <c r="N33" s="170"/>
      <c r="O33" s="170"/>
    </row>
    <row r="34" spans="1:15" x14ac:dyDescent="0.25">
      <c r="A34" s="170"/>
      <c r="B34" s="170"/>
      <c r="C34" s="170"/>
      <c r="D34" s="170"/>
      <c r="E34" s="170"/>
      <c r="F34" s="170"/>
      <c r="G34" s="170"/>
      <c r="H34" s="170"/>
      <c r="I34" s="170"/>
      <c r="J34" s="170"/>
      <c r="K34" s="170"/>
      <c r="L34" s="170"/>
      <c r="M34" s="170"/>
      <c r="N34" s="170"/>
      <c r="O34" s="170"/>
    </row>
    <row r="35" spans="1:15" x14ac:dyDescent="0.25">
      <c r="A35" s="170"/>
      <c r="B35" s="170"/>
      <c r="C35" s="170"/>
      <c r="D35" s="170"/>
      <c r="E35" s="170"/>
      <c r="F35" s="170"/>
      <c r="G35" s="170"/>
      <c r="H35" s="170"/>
      <c r="I35" s="170"/>
      <c r="J35" s="170"/>
      <c r="K35" s="170"/>
      <c r="L35" s="170"/>
      <c r="M35" s="170"/>
      <c r="N35" s="170"/>
      <c r="O35" s="170"/>
    </row>
    <row r="36" spans="1:15" x14ac:dyDescent="0.25">
      <c r="A36" s="170"/>
      <c r="B36" s="170"/>
      <c r="C36" s="170"/>
      <c r="D36" s="170"/>
      <c r="E36" s="170"/>
      <c r="F36" s="170"/>
      <c r="G36" s="170"/>
      <c r="H36" s="170"/>
      <c r="I36" s="170"/>
      <c r="J36" s="170"/>
      <c r="K36" s="170"/>
      <c r="L36" s="170"/>
      <c r="M36" s="170"/>
      <c r="N36" s="170"/>
      <c r="O36" s="170"/>
    </row>
    <row r="37" spans="1:15" x14ac:dyDescent="0.25">
      <c r="A37" s="170"/>
      <c r="B37" s="170"/>
      <c r="C37" s="170"/>
      <c r="D37" s="170"/>
      <c r="E37" s="170"/>
      <c r="F37" s="170"/>
      <c r="G37" s="170"/>
      <c r="H37" s="170"/>
      <c r="I37" s="170"/>
      <c r="J37" s="170"/>
      <c r="K37" s="170"/>
      <c r="L37" s="170"/>
      <c r="M37" s="170"/>
      <c r="N37" s="170"/>
      <c r="O37" s="170"/>
    </row>
  </sheetData>
  <mergeCells count="1">
    <mergeCell ref="A2:E2"/>
  </mergeCells>
  <hyperlinks>
    <hyperlink ref="B11" r:id="rId1" xr:uid="{ABEEDFB1-5DDE-43DD-868B-8C9970011146}"/>
    <hyperlink ref="B12" r:id="rId2" xr:uid="{7A37CBE4-9B8C-44AB-8ECC-CF4E458678E6}"/>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4C5C6-868F-4803-BCA6-4FB1C0D0D0BD}">
  <dimension ref="A1:AB455"/>
  <sheetViews>
    <sheetView workbookViewId="0">
      <selection activeCell="F355" sqref="F355"/>
    </sheetView>
  </sheetViews>
  <sheetFormatPr defaultColWidth="8.7109375" defaultRowHeight="15" outlineLevelRow="3" outlineLevelCol="1" x14ac:dyDescent="0.25"/>
  <cols>
    <col min="1" max="1" width="5.5703125" customWidth="1"/>
    <col min="2" max="2" width="12.7109375" customWidth="1" outlineLevel="1"/>
    <col min="3" max="3" width="23" customWidth="1" outlineLevel="1"/>
    <col min="4" max="4" width="12.7109375" customWidth="1" outlineLevel="1"/>
    <col min="5" max="5" width="14.42578125" customWidth="1" outlineLevel="1"/>
    <col min="6" max="6" width="14.28515625" customWidth="1" outlineLevel="1"/>
    <col min="7" max="8" width="13.28515625" customWidth="1" outlineLevel="1"/>
    <col min="9" max="9" width="10" customWidth="1" outlineLevel="1"/>
    <col min="10" max="10" width="13.5703125" customWidth="1" outlineLevel="1"/>
    <col min="11" max="12" width="8.7109375" outlineLevel="1"/>
    <col min="13" max="13" width="11.28515625" customWidth="1"/>
    <col min="15" max="15" width="13.7109375" customWidth="1"/>
    <col min="16" max="16" width="10.5703125" style="1169" customWidth="1"/>
    <col min="17" max="17" width="13.28515625" customWidth="1"/>
    <col min="18" max="18" width="13" customWidth="1"/>
    <col min="19" max="19" width="10.28515625" customWidth="1"/>
    <col min="20" max="20" width="12.28515625" customWidth="1"/>
    <col min="21" max="21" width="11" customWidth="1"/>
    <col min="22" max="22" width="11.7109375" customWidth="1"/>
  </cols>
  <sheetData>
    <row r="1" spans="1:22" ht="15.75" x14ac:dyDescent="0.25">
      <c r="A1" s="2" t="s">
        <v>1098</v>
      </c>
      <c r="B1" s="2"/>
      <c r="J1" s="242" t="s">
        <v>3</v>
      </c>
      <c r="P1"/>
      <c r="Q1" s="1167"/>
      <c r="V1" s="1168"/>
    </row>
    <row r="2" spans="1:22" ht="15.75" x14ac:dyDescent="0.25">
      <c r="A2" s="3" t="str">
        <f>SchoolName</f>
        <v>Odyssey Charter School</v>
      </c>
      <c r="B2" s="3"/>
      <c r="P2"/>
    </row>
    <row r="3" spans="1:22" x14ac:dyDescent="0.25">
      <c r="A3" s="24" t="s">
        <v>80</v>
      </c>
      <c r="O3" s="1169"/>
      <c r="P3"/>
    </row>
    <row r="4" spans="1:22" x14ac:dyDescent="0.25">
      <c r="A4" s="25" t="s">
        <v>81</v>
      </c>
      <c r="O4" s="1169"/>
      <c r="P4"/>
    </row>
    <row r="5" spans="1:22" x14ac:dyDescent="0.25">
      <c r="A5" s="1170" t="str">
        <f ca="1">CELL("filename")</f>
        <v>\\lvraiders\users\sguthrie\Documents\Charter\Change of Sponsorship\[240126-SPCSA-Odyssey Charter School Application Workbook-Modified-Version (1).xlsx]Instructions</v>
      </c>
      <c r="O5" s="1169"/>
      <c r="P5"/>
    </row>
    <row r="6" spans="1:22" x14ac:dyDescent="0.25">
      <c r="O6" s="1171"/>
      <c r="P6" s="42"/>
      <c r="Q6" s="42"/>
      <c r="R6" s="42"/>
      <c r="S6" s="42"/>
      <c r="T6" s="42"/>
      <c r="U6" s="42"/>
      <c r="V6" s="42"/>
    </row>
    <row r="7" spans="1:22" ht="15.75" x14ac:dyDescent="0.25">
      <c r="B7" s="1172" t="s">
        <v>1099</v>
      </c>
      <c r="C7" s="1172"/>
      <c r="D7" s="1173"/>
      <c r="E7" s="1173"/>
      <c r="F7" s="1174"/>
      <c r="O7" s="1171"/>
      <c r="P7" s="42"/>
      <c r="Q7" s="42"/>
      <c r="R7" s="42"/>
      <c r="S7" s="42"/>
      <c r="T7" s="42"/>
      <c r="U7" s="42"/>
      <c r="V7" s="42"/>
    </row>
    <row r="8" spans="1:22" ht="15.75" x14ac:dyDescent="0.25">
      <c r="B8" s="1174" t="s">
        <v>1100</v>
      </c>
      <c r="C8" s="1175"/>
      <c r="D8" s="1174"/>
      <c r="E8" s="1174"/>
      <c r="F8" s="1174"/>
      <c r="O8" s="1171"/>
      <c r="P8" s="42"/>
      <c r="Q8" s="42"/>
      <c r="R8" s="42"/>
      <c r="S8" s="42"/>
      <c r="T8" s="42"/>
      <c r="U8" s="42"/>
      <c r="V8" s="42"/>
    </row>
    <row r="9" spans="1:22" ht="15.75" x14ac:dyDescent="0.25">
      <c r="B9" s="1175" t="s">
        <v>1101</v>
      </c>
      <c r="C9" s="1175"/>
      <c r="O9" s="1171"/>
      <c r="P9" s="42"/>
      <c r="Q9" s="42"/>
      <c r="R9" s="42"/>
      <c r="S9" s="42"/>
      <c r="T9" s="42"/>
      <c r="U9" s="42"/>
      <c r="V9" s="42"/>
    </row>
    <row r="10" spans="1:22" ht="15.75" x14ac:dyDescent="0.25">
      <c r="B10" s="1176" t="s">
        <v>1102</v>
      </c>
      <c r="C10" s="1177"/>
      <c r="D10" s="1094"/>
      <c r="E10" s="1094"/>
      <c r="O10" s="1171"/>
      <c r="P10" s="42"/>
      <c r="Q10" s="42"/>
      <c r="R10" s="42"/>
      <c r="S10" s="42"/>
      <c r="T10" s="42"/>
      <c r="U10" s="42"/>
      <c r="V10" s="42"/>
    </row>
    <row r="11" spans="1:22" ht="15.75" x14ac:dyDescent="0.25">
      <c r="B11" s="1178" t="s">
        <v>1103</v>
      </c>
      <c r="C11" s="1178"/>
      <c r="D11" s="1179" t="s">
        <v>1104</v>
      </c>
      <c r="E11" s="1179" t="s">
        <v>1105</v>
      </c>
      <c r="O11" s="1171"/>
      <c r="P11" s="42"/>
      <c r="Q11" s="42"/>
      <c r="R11" s="42"/>
      <c r="S11" s="42"/>
      <c r="T11" s="42"/>
      <c r="U11" s="42"/>
      <c r="V11" s="42"/>
    </row>
    <row r="12" spans="1:22" ht="15.75" x14ac:dyDescent="0.25">
      <c r="A12" s="1174">
        <v>1</v>
      </c>
      <c r="B12" s="1174" t="s">
        <v>1106</v>
      </c>
      <c r="C12" s="1174"/>
      <c r="D12" s="1180">
        <v>9632</v>
      </c>
      <c r="E12" s="1181">
        <v>10114</v>
      </c>
      <c r="F12" s="1182"/>
      <c r="G12" t="s">
        <v>1107</v>
      </c>
      <c r="O12" s="1171"/>
      <c r="P12" s="42"/>
      <c r="Q12" s="42"/>
      <c r="R12" s="42"/>
      <c r="S12" s="42"/>
      <c r="T12" s="42"/>
      <c r="U12" s="42"/>
      <c r="V12" s="42"/>
    </row>
    <row r="13" spans="1:22" ht="15.75" x14ac:dyDescent="0.25">
      <c r="A13" s="1174">
        <f>1+A12</f>
        <v>2</v>
      </c>
      <c r="B13" s="1183" t="s">
        <v>1108</v>
      </c>
      <c r="C13" s="1183"/>
      <c r="D13" s="1184">
        <v>10157</v>
      </c>
      <c r="E13" s="1185">
        <v>10662</v>
      </c>
      <c r="O13" s="1171"/>
      <c r="P13" s="42"/>
      <c r="Q13" s="42"/>
      <c r="R13" s="42"/>
      <c r="S13" s="42"/>
      <c r="T13" s="42"/>
      <c r="U13" s="42"/>
      <c r="V13" s="42"/>
    </row>
    <row r="14" spans="1:22" ht="15.75" x14ac:dyDescent="0.25">
      <c r="A14" s="1174">
        <f t="shared" ref="A14:A15" si="0">1+A13</f>
        <v>3</v>
      </c>
      <c r="B14" s="1183" t="s">
        <v>360</v>
      </c>
      <c r="C14" s="1183"/>
      <c r="D14" s="1184">
        <v>8966</v>
      </c>
      <c r="E14" s="1185">
        <v>9414</v>
      </c>
      <c r="O14" s="1171"/>
      <c r="P14" s="42"/>
      <c r="Q14" s="42"/>
      <c r="R14" s="42"/>
      <c r="S14" s="42"/>
      <c r="T14" s="42"/>
      <c r="U14" s="42"/>
      <c r="V14" s="42"/>
    </row>
    <row r="15" spans="1:22" ht="15.75" x14ac:dyDescent="0.25">
      <c r="A15" s="1174">
        <f t="shared" si="0"/>
        <v>4</v>
      </c>
      <c r="B15" s="1183" t="s">
        <v>1109</v>
      </c>
      <c r="C15" s="1183"/>
      <c r="D15" s="1184">
        <v>9670</v>
      </c>
      <c r="E15" s="1185">
        <v>10153</v>
      </c>
      <c r="O15" s="1171"/>
      <c r="P15" s="42"/>
      <c r="Q15" s="42"/>
      <c r="R15" s="42"/>
      <c r="S15" s="42"/>
      <c r="T15" s="42"/>
      <c r="U15" s="42"/>
      <c r="V15" s="42"/>
    </row>
    <row r="16" spans="1:22" ht="15.75" x14ac:dyDescent="0.25">
      <c r="A16" s="1174">
        <f>1+A15</f>
        <v>5</v>
      </c>
      <c r="B16" s="1183" t="s">
        <v>1110</v>
      </c>
      <c r="C16" s="1183"/>
      <c r="D16" s="1184">
        <v>8966</v>
      </c>
      <c r="E16" s="1185">
        <v>9414</v>
      </c>
      <c r="O16" s="1171"/>
      <c r="P16" s="42"/>
      <c r="Q16" s="42"/>
      <c r="R16" s="42"/>
      <c r="S16" s="42"/>
      <c r="T16" s="42"/>
      <c r="U16" s="42"/>
      <c r="V16" s="42"/>
    </row>
    <row r="17" spans="1:22" ht="15.75" x14ac:dyDescent="0.25">
      <c r="A17" s="1174">
        <f>1+A16</f>
        <v>6</v>
      </c>
      <c r="B17" s="1183" t="s">
        <v>1111</v>
      </c>
      <c r="C17" s="1183"/>
      <c r="D17" s="1184">
        <v>8966</v>
      </c>
      <c r="E17" s="1185">
        <v>9414</v>
      </c>
      <c r="O17" s="1171"/>
      <c r="P17" s="42"/>
      <c r="Q17" s="42"/>
      <c r="R17" s="42"/>
      <c r="S17" s="42"/>
      <c r="T17" s="42"/>
      <c r="U17" s="42"/>
      <c r="V17" s="42"/>
    </row>
    <row r="18" spans="1:22" ht="15.75" x14ac:dyDescent="0.25">
      <c r="A18" s="1174">
        <f>1+A17</f>
        <v>7</v>
      </c>
      <c r="B18" s="1183" t="s">
        <v>1112</v>
      </c>
      <c r="C18" s="1183"/>
      <c r="D18" s="1184">
        <v>9674</v>
      </c>
      <c r="E18" s="1185">
        <v>10158</v>
      </c>
      <c r="O18" s="1171"/>
      <c r="P18" s="42"/>
      <c r="Q18" s="42"/>
      <c r="R18" s="42"/>
      <c r="S18" s="42"/>
      <c r="T18" s="42"/>
      <c r="U18" s="42"/>
      <c r="V18" s="42"/>
    </row>
    <row r="19" spans="1:22" ht="15.75" x14ac:dyDescent="0.25">
      <c r="A19" s="1174">
        <f>1+A18</f>
        <v>8</v>
      </c>
      <c r="B19" s="1183" t="s">
        <v>1113</v>
      </c>
      <c r="C19" s="1183"/>
      <c r="D19" s="1184">
        <v>12982</v>
      </c>
      <c r="E19" s="1185">
        <v>13629</v>
      </c>
      <c r="O19" s="1171"/>
      <c r="P19" s="42"/>
      <c r="Q19" s="42"/>
      <c r="R19" s="42"/>
      <c r="S19" s="42"/>
      <c r="T19" s="42"/>
      <c r="U19" s="42"/>
      <c r="V19" s="42"/>
    </row>
    <row r="20" spans="1:22" ht="15.75" x14ac:dyDescent="0.25">
      <c r="A20" s="1174">
        <f>1+A19</f>
        <v>9</v>
      </c>
      <c r="B20" s="1183" t="s">
        <v>1114</v>
      </c>
      <c r="C20" s="65"/>
      <c r="D20" s="1186">
        <v>8966</v>
      </c>
      <c r="E20" s="1187">
        <v>9414</v>
      </c>
      <c r="F20" t="s">
        <v>1115</v>
      </c>
      <c r="O20" s="1171"/>
      <c r="P20" s="42"/>
      <c r="Q20" s="42"/>
      <c r="R20" s="42"/>
      <c r="S20" s="42"/>
      <c r="T20" s="42"/>
      <c r="U20" s="42"/>
      <c r="V20" s="42"/>
    </row>
    <row r="21" spans="1:22" x14ac:dyDescent="0.25">
      <c r="F21" t="s">
        <v>1116</v>
      </c>
      <c r="O21" s="1171"/>
      <c r="P21" s="42"/>
      <c r="Q21" s="42"/>
      <c r="R21" s="42"/>
      <c r="S21" s="42"/>
      <c r="T21" s="42"/>
      <c r="U21" s="42"/>
      <c r="V21" s="42"/>
    </row>
    <row r="22" spans="1:22" x14ac:dyDescent="0.25">
      <c r="F22" t="s">
        <v>1117</v>
      </c>
      <c r="O22" s="1171"/>
      <c r="P22" s="42"/>
      <c r="Q22" s="42"/>
      <c r="R22" s="42"/>
      <c r="S22" s="42"/>
      <c r="T22" s="42"/>
      <c r="U22" s="42"/>
      <c r="V22" s="42"/>
    </row>
    <row r="23" spans="1:22" x14ac:dyDescent="0.25">
      <c r="O23" s="1171"/>
      <c r="P23" s="42"/>
      <c r="Q23" s="42"/>
      <c r="R23" s="42"/>
      <c r="S23" s="42"/>
      <c r="T23" s="42"/>
      <c r="U23" s="42"/>
      <c r="V23" s="42"/>
    </row>
    <row r="24" spans="1:22" ht="15.75" x14ac:dyDescent="0.25">
      <c r="B24" s="1188" t="s">
        <v>1118</v>
      </c>
      <c r="C24" s="1188"/>
      <c r="D24" s="1189"/>
      <c r="E24" s="1189"/>
      <c r="O24" s="1171"/>
      <c r="P24" s="42"/>
      <c r="Q24" s="42"/>
      <c r="R24" s="42"/>
      <c r="S24" s="42"/>
      <c r="T24" s="42"/>
      <c r="U24" s="42"/>
      <c r="V24" s="42"/>
    </row>
    <row r="25" spans="1:22" ht="15.75" x14ac:dyDescent="0.25">
      <c r="B25" s="1190" t="s">
        <v>1119</v>
      </c>
      <c r="C25" s="1191"/>
      <c r="D25" s="1192"/>
      <c r="E25" s="1193"/>
      <c r="O25" s="1171"/>
      <c r="P25" s="42"/>
      <c r="Q25" s="42"/>
      <c r="R25" s="42"/>
      <c r="S25" s="42"/>
      <c r="T25" s="42"/>
      <c r="U25" s="42"/>
      <c r="V25" s="42"/>
    </row>
    <row r="26" spans="1:22" ht="15.75" x14ac:dyDescent="0.25">
      <c r="B26" s="1194" t="s">
        <v>1120</v>
      </c>
      <c r="C26" s="1194"/>
      <c r="D26" s="1195">
        <v>3845</v>
      </c>
      <c r="E26" s="1195">
        <v>3845</v>
      </c>
      <c r="F26" t="s">
        <v>1121</v>
      </c>
      <c r="O26" s="1171"/>
      <c r="P26" s="42"/>
      <c r="Q26" s="42"/>
      <c r="R26" s="42"/>
      <c r="S26" s="42"/>
      <c r="T26" s="42"/>
      <c r="U26" s="42"/>
      <c r="V26" s="42"/>
    </row>
    <row r="27" spans="1:22" ht="15.75" x14ac:dyDescent="0.25">
      <c r="B27" s="1196" t="s">
        <v>1122</v>
      </c>
      <c r="C27" s="1196"/>
      <c r="D27" s="1197">
        <v>0.45</v>
      </c>
      <c r="E27" s="1197">
        <v>0.45</v>
      </c>
      <c r="O27" s="1171"/>
      <c r="P27" s="42"/>
      <c r="Q27" s="42"/>
      <c r="R27" s="42"/>
      <c r="S27" s="42"/>
      <c r="T27" s="42"/>
      <c r="U27" s="42"/>
      <c r="V27" s="42"/>
    </row>
    <row r="28" spans="1:22" ht="15.75" x14ac:dyDescent="0.25">
      <c r="B28" s="1196" t="s">
        <v>1123</v>
      </c>
      <c r="C28" s="1196"/>
      <c r="D28" s="1197">
        <v>0.35</v>
      </c>
      <c r="E28" s="1197">
        <v>0.35</v>
      </c>
      <c r="F28" s="1198" t="s">
        <v>1124</v>
      </c>
      <c r="O28" s="1171"/>
      <c r="P28" s="42"/>
      <c r="Q28" s="42"/>
      <c r="R28" s="42"/>
      <c r="S28" s="42"/>
      <c r="T28" s="42"/>
      <c r="U28" s="42"/>
      <c r="V28" s="42"/>
    </row>
    <row r="29" spans="1:22" ht="15.75" x14ac:dyDescent="0.25">
      <c r="B29" s="1196" t="s">
        <v>1125</v>
      </c>
      <c r="C29" s="1196"/>
      <c r="D29" s="1197">
        <v>0.12</v>
      </c>
      <c r="E29" s="1197">
        <v>0.12</v>
      </c>
      <c r="O29" s="1171"/>
      <c r="P29" s="42"/>
      <c r="Q29" s="42"/>
      <c r="R29" s="42"/>
      <c r="S29" s="42"/>
      <c r="T29" s="42"/>
      <c r="U29" s="42"/>
      <c r="V29" s="42"/>
    </row>
    <row r="30" spans="1:22" x14ac:dyDescent="0.25">
      <c r="O30" s="1171"/>
      <c r="P30" s="42"/>
      <c r="Q30" s="42"/>
      <c r="R30" s="42"/>
      <c r="S30" s="42"/>
      <c r="T30" s="42"/>
      <c r="U30" s="42"/>
      <c r="V30" s="42"/>
    </row>
    <row r="31" spans="1:22" ht="15.75" x14ac:dyDescent="0.25">
      <c r="B31" s="1174"/>
      <c r="O31" s="1171"/>
      <c r="P31" s="42"/>
      <c r="Q31" s="42"/>
      <c r="R31" s="42"/>
      <c r="S31" s="42"/>
      <c r="T31" s="42"/>
      <c r="U31" s="42"/>
      <c r="V31" s="42"/>
    </row>
    <row r="32" spans="1:22" x14ac:dyDescent="0.25">
      <c r="O32" s="1171"/>
      <c r="P32" s="42"/>
      <c r="Q32" s="42"/>
      <c r="R32" s="42"/>
      <c r="S32" s="42"/>
      <c r="T32" s="42"/>
      <c r="U32" s="42"/>
      <c r="V32" s="42"/>
    </row>
    <row r="33" spans="1:22" hidden="1" outlineLevel="1" x14ac:dyDescent="0.25">
      <c r="O33" s="1171"/>
      <c r="P33" s="42"/>
      <c r="Q33" s="42"/>
      <c r="R33" s="42"/>
      <c r="S33" s="42"/>
      <c r="T33" s="42"/>
      <c r="U33" s="42"/>
      <c r="V33" s="42"/>
    </row>
    <row r="34" spans="1:22" hidden="1" outlineLevel="1" x14ac:dyDescent="0.25">
      <c r="O34" s="1171"/>
      <c r="P34" s="42"/>
      <c r="Q34" s="42"/>
      <c r="R34" s="42"/>
      <c r="S34" s="42"/>
      <c r="T34" s="42"/>
      <c r="U34" s="42"/>
      <c r="V34" s="42"/>
    </row>
    <row r="35" spans="1:22" hidden="1" outlineLevel="1" x14ac:dyDescent="0.25">
      <c r="O35" s="1171"/>
      <c r="P35" s="42"/>
      <c r="Q35" s="42"/>
      <c r="R35" s="42"/>
      <c r="S35" s="42"/>
      <c r="T35" s="42"/>
      <c r="U35" s="42"/>
      <c r="V35" s="42"/>
    </row>
    <row r="36" spans="1:22" hidden="1" outlineLevel="1" x14ac:dyDescent="0.25">
      <c r="O36" s="1171"/>
      <c r="P36" s="42"/>
      <c r="Q36" s="42"/>
      <c r="R36" s="42"/>
      <c r="S36" s="42"/>
      <c r="T36" s="42"/>
      <c r="U36" s="42"/>
      <c r="V36" s="42"/>
    </row>
    <row r="37" spans="1:22" hidden="1" outlineLevel="1" x14ac:dyDescent="0.25">
      <c r="O37" s="1171"/>
      <c r="P37" s="42"/>
      <c r="Q37" s="42"/>
      <c r="R37" s="42"/>
      <c r="S37" s="42"/>
      <c r="T37" s="42"/>
      <c r="U37" s="42"/>
      <c r="V37" s="42"/>
    </row>
    <row r="38" spans="1:22" hidden="1" outlineLevel="1" x14ac:dyDescent="0.25">
      <c r="O38" s="1171"/>
      <c r="P38" s="42"/>
      <c r="Q38" s="42"/>
      <c r="R38" s="42"/>
      <c r="S38" s="42"/>
      <c r="T38" s="42"/>
      <c r="U38" s="42"/>
      <c r="V38" s="42"/>
    </row>
    <row r="39" spans="1:22" hidden="1" outlineLevel="1" x14ac:dyDescent="0.25">
      <c r="O39" s="1171"/>
      <c r="P39" s="42"/>
      <c r="Q39" s="42"/>
      <c r="R39" s="42"/>
      <c r="S39" s="42"/>
      <c r="T39" s="42"/>
      <c r="U39" s="42"/>
      <c r="V39" s="42"/>
    </row>
    <row r="40" spans="1:22" hidden="1" outlineLevel="1" x14ac:dyDescent="0.25">
      <c r="O40" s="1171"/>
      <c r="P40" s="42"/>
      <c r="Q40" s="42"/>
      <c r="R40" s="42"/>
      <c r="S40" s="42"/>
      <c r="T40" s="42"/>
      <c r="U40" s="42"/>
      <c r="V40" s="42"/>
    </row>
    <row r="41" spans="1:22" ht="15.75" hidden="1" outlineLevel="1" x14ac:dyDescent="0.25">
      <c r="B41" s="1199" t="s">
        <v>1126</v>
      </c>
      <c r="O41" s="42"/>
      <c r="P41" s="1200"/>
      <c r="Q41" s="1200"/>
      <c r="R41" s="1200"/>
      <c r="S41" s="1200"/>
      <c r="T41" s="1200"/>
      <c r="U41" s="1200"/>
      <c r="V41" s="1200"/>
    </row>
    <row r="42" spans="1:22" ht="15.75" hidden="1" outlineLevel="1" x14ac:dyDescent="0.25">
      <c r="B42" s="1201" t="s">
        <v>1127</v>
      </c>
      <c r="C42" s="1201"/>
      <c r="D42" s="1202"/>
      <c r="E42" s="1202"/>
      <c r="F42" s="1202"/>
      <c r="G42" s="1202"/>
      <c r="H42" s="1202"/>
      <c r="I42" s="1202"/>
      <c r="J42" s="1203"/>
      <c r="O42" s="42"/>
      <c r="P42" s="1204"/>
      <c r="Q42" s="1204"/>
      <c r="R42" s="1204"/>
      <c r="S42" s="1204"/>
      <c r="T42" s="1204"/>
      <c r="U42" s="1204"/>
      <c r="V42" s="1204"/>
    </row>
    <row r="43" spans="1:22" ht="15.75" hidden="1" outlineLevel="1" x14ac:dyDescent="0.25">
      <c r="A43" s="1174"/>
      <c r="B43" s="1174"/>
      <c r="C43" s="1174"/>
      <c r="D43" s="1174"/>
      <c r="E43" s="1174"/>
      <c r="F43" s="1174"/>
      <c r="G43" s="1174"/>
      <c r="H43" s="1174"/>
      <c r="I43" s="1174"/>
      <c r="O43" s="1174"/>
      <c r="P43" s="1205"/>
      <c r="Q43" s="1206"/>
      <c r="R43" s="1205"/>
      <c r="S43" s="1205"/>
      <c r="T43" s="1205"/>
      <c r="U43" s="1205"/>
      <c r="V43" s="1205"/>
    </row>
    <row r="44" spans="1:22" ht="15.75" hidden="1" outlineLevel="1" x14ac:dyDescent="0.25">
      <c r="A44" s="1174"/>
      <c r="B44" s="1207" t="s">
        <v>1099</v>
      </c>
      <c r="C44" s="1207"/>
      <c r="D44" s="1208"/>
      <c r="E44" s="1208"/>
      <c r="F44" s="1208"/>
      <c r="G44" s="1208"/>
      <c r="H44" s="1208"/>
      <c r="I44" s="1208"/>
      <c r="J44" s="1209"/>
      <c r="O44" s="1174"/>
      <c r="P44" s="1210"/>
      <c r="Q44" s="1205"/>
      <c r="R44" s="1205"/>
      <c r="S44" s="1205"/>
      <c r="T44" s="1205"/>
      <c r="U44" s="1205"/>
      <c r="V44" s="1205"/>
    </row>
    <row r="45" spans="1:22" ht="15.75" hidden="1" outlineLevel="1" x14ac:dyDescent="0.25">
      <c r="A45" s="1174"/>
      <c r="O45" s="1174"/>
      <c r="P45" s="1210"/>
      <c r="Q45" s="1210"/>
      <c r="R45" s="1210"/>
      <c r="S45" s="1627"/>
      <c r="T45" s="1627"/>
      <c r="U45" s="1174"/>
      <c r="V45" s="1174"/>
    </row>
    <row r="46" spans="1:22" ht="15.75" hidden="1" outlineLevel="1" x14ac:dyDescent="0.25">
      <c r="A46" s="1174"/>
      <c r="B46" t="s">
        <v>1128</v>
      </c>
      <c r="D46" s="1212">
        <v>1</v>
      </c>
      <c r="E46" t="s">
        <v>1129</v>
      </c>
      <c r="O46" s="1174"/>
      <c r="P46" s="1210"/>
      <c r="Q46" s="1210"/>
      <c r="R46" s="1210"/>
      <c r="S46" s="1211"/>
      <c r="T46" s="1211"/>
      <c r="U46" s="1174"/>
      <c r="V46" s="1174"/>
    </row>
    <row r="47" spans="1:22" ht="15.75" hidden="1" outlineLevel="1" x14ac:dyDescent="0.25">
      <c r="A47" s="1174"/>
      <c r="B47" t="s">
        <v>1128</v>
      </c>
      <c r="D47" s="1213">
        <v>0.99309999999999998</v>
      </c>
      <c r="E47" t="s">
        <v>1130</v>
      </c>
      <c r="O47" s="1174"/>
      <c r="P47" s="1210"/>
      <c r="Q47" s="1210"/>
      <c r="R47" s="1210"/>
      <c r="S47" s="1211"/>
      <c r="T47" s="1211"/>
      <c r="U47" s="1174"/>
      <c r="V47" s="1174"/>
    </row>
    <row r="48" spans="1:22" ht="15.75" hidden="1" outlineLevel="1" x14ac:dyDescent="0.25">
      <c r="A48" s="1174"/>
      <c r="D48" s="1179" t="s">
        <v>1104</v>
      </c>
      <c r="E48" s="1179" t="s">
        <v>1105</v>
      </c>
      <c r="O48" s="1174"/>
      <c r="P48" s="1210"/>
      <c r="Q48" s="1210"/>
      <c r="R48" s="1210"/>
      <c r="S48" s="1211"/>
      <c r="T48" s="1211"/>
      <c r="U48" s="1174"/>
      <c r="V48" s="1174"/>
    </row>
    <row r="49" spans="1:22" ht="15.75" hidden="1" outlineLevel="1" x14ac:dyDescent="0.25">
      <c r="A49" s="1214"/>
      <c r="B49" s="1215" t="s">
        <v>1116</v>
      </c>
      <c r="C49" s="1215"/>
      <c r="D49" s="1216">
        <v>8966</v>
      </c>
      <c r="E49" s="1216">
        <v>9414</v>
      </c>
      <c r="O49" s="1174"/>
      <c r="P49" s="1210"/>
      <c r="Q49" s="1210"/>
      <c r="R49" s="1210"/>
      <c r="S49" s="1211"/>
      <c r="T49" s="1211"/>
      <c r="U49" s="1174"/>
      <c r="V49" s="1174"/>
    </row>
    <row r="50" spans="1:22" ht="15.75" hidden="1" outlineLevel="1" x14ac:dyDescent="0.25">
      <c r="A50" s="1214"/>
      <c r="B50" s="1215" t="s">
        <v>1117</v>
      </c>
      <c r="C50" s="1175"/>
      <c r="D50" s="1217">
        <f>+D49*$D$46</f>
        <v>8966</v>
      </c>
      <c r="E50" s="1217">
        <f>+E49*$D$46</f>
        <v>9414</v>
      </c>
      <c r="O50" s="1174"/>
      <c r="P50" s="1210"/>
      <c r="Q50" s="1210"/>
      <c r="R50" s="1210"/>
      <c r="S50" s="1211"/>
      <c r="T50" s="1211"/>
      <c r="U50" s="1174"/>
      <c r="V50" s="1174"/>
    </row>
    <row r="51" spans="1:22" ht="15.75" hidden="1" outlineLevel="1" x14ac:dyDescent="0.25">
      <c r="A51" s="1214"/>
      <c r="E51" s="1218"/>
      <c r="O51" s="1174"/>
      <c r="P51" s="1210"/>
      <c r="Q51" s="1210"/>
      <c r="R51" s="1210"/>
      <c r="S51" s="1211"/>
      <c r="T51" s="1211"/>
      <c r="U51" s="1174"/>
      <c r="V51" s="1174"/>
    </row>
    <row r="52" spans="1:22" ht="15.75" hidden="1" outlineLevel="1" x14ac:dyDescent="0.25">
      <c r="A52" s="1214"/>
      <c r="B52" s="1175" t="s">
        <v>1101</v>
      </c>
      <c r="C52" s="1175"/>
      <c r="O52" s="1174"/>
      <c r="P52" s="1210"/>
      <c r="Q52" s="1210"/>
      <c r="R52" s="1210"/>
      <c r="S52" s="1211"/>
      <c r="T52" s="1211"/>
      <c r="U52" s="1174"/>
      <c r="V52" s="1174"/>
    </row>
    <row r="53" spans="1:22" ht="15.75" hidden="1" outlineLevel="1" x14ac:dyDescent="0.25">
      <c r="A53" s="1214"/>
      <c r="B53" s="1177" t="s">
        <v>1131</v>
      </c>
      <c r="C53" s="1177"/>
      <c r="D53" s="1094"/>
      <c r="E53" s="1094"/>
      <c r="O53" s="1174"/>
      <c r="P53" s="1210"/>
      <c r="Q53" s="1210"/>
      <c r="R53" s="1210"/>
      <c r="S53" s="1211"/>
      <c r="T53" s="1211"/>
      <c r="U53" s="1174"/>
      <c r="V53" s="1174"/>
    </row>
    <row r="54" spans="1:22" ht="15.75" hidden="1" outlineLevel="1" x14ac:dyDescent="0.25">
      <c r="A54" s="1214"/>
      <c r="B54" s="1178" t="s">
        <v>1103</v>
      </c>
      <c r="C54" s="1178"/>
      <c r="D54" s="1179" t="s">
        <v>1104</v>
      </c>
      <c r="E54" s="1179" t="s">
        <v>1105</v>
      </c>
      <c r="F54" s="1219" t="s">
        <v>1132</v>
      </c>
      <c r="O54" s="1174"/>
      <c r="P54" s="1210"/>
      <c r="Q54" s="1210"/>
      <c r="R54" s="1210"/>
      <c r="S54" s="1211"/>
      <c r="T54" s="1211"/>
      <c r="U54" s="1174"/>
      <c r="V54" s="1174"/>
    </row>
    <row r="55" spans="1:22" ht="15.75" hidden="1" outlineLevel="1" x14ac:dyDescent="0.25">
      <c r="A55" s="1214"/>
      <c r="B55" s="1220" t="s">
        <v>1133</v>
      </c>
      <c r="C55" s="1220"/>
      <c r="D55" s="1180">
        <v>7494</v>
      </c>
      <c r="E55" s="1181">
        <v>7594</v>
      </c>
      <c r="F55" s="1221">
        <f t="shared" ref="F55:F61" si="1">E55/D55-1</f>
        <v>1.3344008540165486E-2</v>
      </c>
      <c r="O55" s="1174"/>
      <c r="P55" s="1210"/>
      <c r="Q55" s="1210"/>
      <c r="R55" s="1210"/>
      <c r="S55" s="1211"/>
      <c r="T55" s="1211"/>
      <c r="U55" s="1174"/>
      <c r="V55" s="1174"/>
    </row>
    <row r="56" spans="1:22" ht="15.75" hidden="1" outlineLevel="1" x14ac:dyDescent="0.25">
      <c r="A56" s="1214"/>
      <c r="B56" s="1222" t="s">
        <v>1134</v>
      </c>
      <c r="C56" s="1222"/>
      <c r="D56" s="1184">
        <v>8093</v>
      </c>
      <c r="E56" s="1185">
        <v>8197</v>
      </c>
      <c r="F56" s="1221">
        <f t="shared" si="1"/>
        <v>1.2850611639688703E-2</v>
      </c>
      <c r="O56" s="1174"/>
      <c r="P56" s="1210"/>
      <c r="Q56" s="1210"/>
      <c r="R56" s="1210"/>
      <c r="S56" s="1211"/>
      <c r="T56" s="1211"/>
      <c r="U56" s="1174"/>
      <c r="V56" s="1174"/>
    </row>
    <row r="57" spans="1:22" ht="15.75" hidden="1" outlineLevel="1" x14ac:dyDescent="0.25">
      <c r="A57" s="1214"/>
      <c r="B57" s="1222" t="s">
        <v>1135</v>
      </c>
      <c r="C57" s="1222"/>
      <c r="D57" s="1184">
        <v>7197</v>
      </c>
      <c r="E57" s="1185">
        <v>7293</v>
      </c>
      <c r="F57" s="1221">
        <f t="shared" si="1"/>
        <v>1.3338891204668579E-2</v>
      </c>
      <c r="O57" s="1174"/>
      <c r="P57" s="1210"/>
      <c r="Q57" s="1210"/>
      <c r="R57" s="1210"/>
      <c r="S57" s="1211"/>
      <c r="T57" s="1211"/>
      <c r="U57" s="1174"/>
      <c r="V57" s="1174"/>
    </row>
    <row r="58" spans="1:22" ht="15.75" hidden="1" outlineLevel="1" x14ac:dyDescent="0.25">
      <c r="A58" s="1214"/>
      <c r="B58" s="1222" t="s">
        <v>1136</v>
      </c>
      <c r="C58" s="1222"/>
      <c r="D58" s="1184">
        <v>7715</v>
      </c>
      <c r="E58" s="1185">
        <v>7818</v>
      </c>
      <c r="F58" s="1221">
        <f t="shared" si="1"/>
        <v>1.335061568373308E-2</v>
      </c>
      <c r="O58" s="1174"/>
      <c r="P58" s="1210"/>
      <c r="Q58" s="1210"/>
      <c r="R58" s="1210"/>
      <c r="S58" s="1211"/>
      <c r="T58" s="1211"/>
      <c r="U58" s="1174"/>
      <c r="V58" s="1174"/>
    </row>
    <row r="59" spans="1:22" ht="15.75" hidden="1" outlineLevel="1" x14ac:dyDescent="0.25">
      <c r="A59" s="1214"/>
      <c r="B59" s="1222" t="s">
        <v>1110</v>
      </c>
      <c r="C59" s="1222"/>
      <c r="D59" s="1184">
        <v>8764</v>
      </c>
      <c r="E59" s="1185">
        <v>8881</v>
      </c>
      <c r="F59" s="1221">
        <f>E59/D59-1</f>
        <v>1.3350068461889464E-2</v>
      </c>
      <c r="O59" s="1174"/>
      <c r="P59" s="1210"/>
      <c r="Q59" s="1210"/>
      <c r="R59" s="1210"/>
      <c r="S59" s="1211"/>
      <c r="T59" s="1211"/>
      <c r="U59" s="1174"/>
      <c r="V59" s="1174"/>
    </row>
    <row r="60" spans="1:22" ht="15.75" hidden="1" outlineLevel="1" x14ac:dyDescent="0.25">
      <c r="A60" s="1214"/>
      <c r="B60" s="1222" t="s">
        <v>1137</v>
      </c>
      <c r="C60" s="1222"/>
      <c r="D60" s="1184">
        <v>6980</v>
      </c>
      <c r="E60" s="1185">
        <v>7074</v>
      </c>
      <c r="F60" s="1221">
        <f t="shared" si="1"/>
        <v>1.346704871060167E-2</v>
      </c>
      <c r="O60" s="1174"/>
      <c r="P60" s="1210"/>
      <c r="Q60" s="1210"/>
      <c r="R60" s="1210"/>
      <c r="S60" s="1211"/>
      <c r="T60" s="1211"/>
      <c r="U60" s="1174"/>
      <c r="V60" s="1174"/>
    </row>
    <row r="61" spans="1:22" ht="15.75" hidden="1" outlineLevel="1" x14ac:dyDescent="0.25">
      <c r="A61" s="1214"/>
      <c r="B61" s="1222" t="s">
        <v>1138</v>
      </c>
      <c r="C61" s="1222"/>
      <c r="D61" s="1184">
        <v>10367</v>
      </c>
      <c r="E61" s="1185">
        <v>10501</v>
      </c>
      <c r="F61" s="1221">
        <f t="shared" si="1"/>
        <v>1.2925629400983851E-2</v>
      </c>
      <c r="O61" s="1174"/>
      <c r="P61" s="1210"/>
      <c r="Q61" s="1210"/>
      <c r="R61" s="1210"/>
      <c r="S61" s="1211"/>
      <c r="T61" s="1211"/>
      <c r="U61" s="1174"/>
      <c r="V61" s="1174"/>
    </row>
    <row r="62" spans="1:22" ht="15.75" hidden="1" outlineLevel="1" x14ac:dyDescent="0.25">
      <c r="A62" s="1214"/>
      <c r="O62" s="1174"/>
      <c r="P62" s="1210"/>
      <c r="Q62" s="1210"/>
      <c r="R62" s="1210"/>
      <c r="S62" s="1211"/>
      <c r="T62" s="1211"/>
      <c r="U62" s="1174"/>
      <c r="V62" s="1174"/>
    </row>
    <row r="63" spans="1:22" ht="15.75" hidden="1" outlineLevel="1" x14ac:dyDescent="0.25">
      <c r="A63" s="1214"/>
      <c r="B63" s="1175" t="s">
        <v>1101</v>
      </c>
      <c r="C63" s="1175"/>
      <c r="O63" s="1174"/>
      <c r="P63" s="1210"/>
      <c r="Q63" s="1210"/>
      <c r="R63" s="1210"/>
      <c r="S63" s="1211"/>
      <c r="T63" s="1211"/>
      <c r="U63" s="1174"/>
      <c r="V63" s="1174"/>
    </row>
    <row r="64" spans="1:22" ht="15.75" hidden="1" outlineLevel="1" x14ac:dyDescent="0.25">
      <c r="A64" s="1214"/>
      <c r="B64" s="1177" t="s">
        <v>1139</v>
      </c>
      <c r="C64" s="1177"/>
      <c r="D64" s="1094"/>
      <c r="E64" s="1094"/>
      <c r="O64" s="1174"/>
      <c r="P64" s="1210"/>
      <c r="Q64" s="1210"/>
      <c r="R64" s="1210"/>
      <c r="S64" s="1211"/>
      <c r="T64" s="1211"/>
      <c r="U64" s="1174"/>
      <c r="V64" s="1174"/>
    </row>
    <row r="65" spans="1:22" ht="15.75" hidden="1" outlineLevel="1" x14ac:dyDescent="0.25">
      <c r="A65" s="1214"/>
      <c r="B65" s="1175"/>
      <c r="C65" s="1175"/>
      <c r="E65" s="1094"/>
      <c r="O65" s="1174"/>
      <c r="P65" s="1210"/>
      <c r="Q65" s="1210"/>
      <c r="R65" s="1210"/>
      <c r="S65" s="1211"/>
      <c r="T65" s="1211"/>
      <c r="U65" s="1174"/>
      <c r="V65" s="1174"/>
    </row>
    <row r="66" spans="1:22" ht="25.5" hidden="1" customHeight="1" outlineLevel="1" x14ac:dyDescent="0.25">
      <c r="A66" s="1214"/>
      <c r="B66" s="1178" t="s">
        <v>1103</v>
      </c>
      <c r="C66" s="1178"/>
      <c r="D66" s="1223" t="s">
        <v>1140</v>
      </c>
      <c r="E66" s="1179" t="s">
        <v>1141</v>
      </c>
      <c r="F66" s="1219" t="s">
        <v>1132</v>
      </c>
      <c r="O66" s="1174"/>
      <c r="P66" s="1210"/>
      <c r="Q66" s="1210"/>
      <c r="R66" s="1210"/>
      <c r="S66" s="1211"/>
      <c r="T66" s="1211"/>
      <c r="U66" s="1174"/>
      <c r="V66" s="1174"/>
    </row>
    <row r="67" spans="1:22" ht="15.75" hidden="1" outlineLevel="1" x14ac:dyDescent="0.25">
      <c r="A67" s="1214"/>
      <c r="B67" s="1174" t="s">
        <v>1133</v>
      </c>
      <c r="C67" s="1174"/>
      <c r="D67" s="1224">
        <f t="shared" ref="D67:E70" si="2">+D55*$D$46</f>
        <v>7494</v>
      </c>
      <c r="E67" s="1181">
        <f t="shared" si="2"/>
        <v>7594</v>
      </c>
      <c r="F67" s="1221">
        <f t="shared" ref="F67:F73" si="3">E67/D67-1</f>
        <v>1.3344008540165486E-2</v>
      </c>
      <c r="O67" s="1174"/>
      <c r="P67" s="1210"/>
      <c r="Q67" s="1210"/>
      <c r="R67" s="1210"/>
      <c r="S67" s="1211"/>
      <c r="T67" s="1211"/>
      <c r="U67" s="1174"/>
      <c r="V67" s="1174"/>
    </row>
    <row r="68" spans="1:22" ht="15.75" hidden="1" outlineLevel="1" x14ac:dyDescent="0.25">
      <c r="A68" s="1214"/>
      <c r="B68" s="1183" t="s">
        <v>1108</v>
      </c>
      <c r="C68" s="1183"/>
      <c r="D68" s="1225">
        <f t="shared" si="2"/>
        <v>8093</v>
      </c>
      <c r="E68" s="1185">
        <f t="shared" si="2"/>
        <v>8197</v>
      </c>
      <c r="F68" s="1221">
        <f t="shared" si="3"/>
        <v>1.2850611639688703E-2</v>
      </c>
      <c r="O68" s="1174"/>
      <c r="P68" s="1210"/>
      <c r="Q68" s="1210"/>
      <c r="R68" s="1210"/>
      <c r="S68" s="1211"/>
      <c r="T68" s="1211"/>
      <c r="U68" s="1174"/>
      <c r="V68" s="1174"/>
    </row>
    <row r="69" spans="1:22" ht="15.75" hidden="1" outlineLevel="1" x14ac:dyDescent="0.25">
      <c r="A69" s="1214"/>
      <c r="B69" s="1183" t="s">
        <v>360</v>
      </c>
      <c r="C69" s="1183"/>
      <c r="D69" s="1225">
        <f t="shared" si="2"/>
        <v>7197</v>
      </c>
      <c r="E69" s="1185">
        <f t="shared" si="2"/>
        <v>7293</v>
      </c>
      <c r="F69" s="1221">
        <f t="shared" si="3"/>
        <v>1.3338891204668579E-2</v>
      </c>
      <c r="O69" s="1174"/>
      <c r="P69" s="1210"/>
      <c r="Q69" s="1210"/>
      <c r="R69" s="1210"/>
      <c r="S69" s="1211"/>
      <c r="T69" s="1211"/>
      <c r="U69" s="1174"/>
      <c r="V69" s="1174"/>
    </row>
    <row r="70" spans="1:22" ht="15.75" hidden="1" outlineLevel="1" x14ac:dyDescent="0.25">
      <c r="A70" s="1214"/>
      <c r="B70" s="1183" t="s">
        <v>1109</v>
      </c>
      <c r="C70" s="1183"/>
      <c r="D70" s="1225">
        <f t="shared" si="2"/>
        <v>7715</v>
      </c>
      <c r="E70" s="1185">
        <f t="shared" si="2"/>
        <v>7818</v>
      </c>
      <c r="F70" s="1221">
        <f t="shared" si="3"/>
        <v>1.335061568373308E-2</v>
      </c>
      <c r="O70" s="1174"/>
      <c r="P70" s="1210"/>
      <c r="Q70" s="1210"/>
      <c r="R70" s="1210"/>
      <c r="S70" s="1211"/>
      <c r="T70" s="1211"/>
      <c r="U70" s="1174"/>
      <c r="V70" s="1174"/>
    </row>
    <row r="71" spans="1:22" ht="15.75" hidden="1" outlineLevel="1" x14ac:dyDescent="0.25">
      <c r="A71" s="1214"/>
      <c r="B71" s="1183" t="s">
        <v>1110</v>
      </c>
      <c r="C71" s="1183"/>
      <c r="D71" s="1225">
        <v>8764</v>
      </c>
      <c r="E71" s="1185">
        <v>8881</v>
      </c>
      <c r="F71" s="1221">
        <f>E71/D71-1</f>
        <v>1.3350068461889464E-2</v>
      </c>
      <c r="O71" s="1174"/>
      <c r="P71" s="1210"/>
      <c r="Q71" s="1210"/>
      <c r="R71" s="1210"/>
      <c r="S71" s="1211"/>
      <c r="T71" s="1211"/>
      <c r="U71" s="1174"/>
      <c r="V71" s="1174"/>
    </row>
    <row r="72" spans="1:22" ht="15.75" hidden="1" outlineLevel="1" x14ac:dyDescent="0.25">
      <c r="A72" s="1214"/>
      <c r="B72" s="1183" t="s">
        <v>1142</v>
      </c>
      <c r="C72" s="1183"/>
      <c r="D72" s="1225">
        <f>+D60*$D$46</f>
        <v>6980</v>
      </c>
      <c r="E72" s="1185">
        <f>+E60*$D$46</f>
        <v>7074</v>
      </c>
      <c r="F72" s="1221">
        <f>E72/D72-1</f>
        <v>1.346704871060167E-2</v>
      </c>
      <c r="O72" s="1174"/>
      <c r="P72" s="1210"/>
      <c r="Q72" s="1210"/>
      <c r="R72" s="1210"/>
      <c r="S72" s="1211"/>
      <c r="T72" s="1211"/>
      <c r="U72" s="1174"/>
      <c r="V72" s="1174"/>
    </row>
    <row r="73" spans="1:22" ht="15.75" hidden="1" outlineLevel="1" x14ac:dyDescent="0.25">
      <c r="A73" s="1214"/>
      <c r="B73" s="1226" t="s">
        <v>1113</v>
      </c>
      <c r="C73" s="1226"/>
      <c r="D73" s="1227">
        <f>+D61*$D$46</f>
        <v>10367</v>
      </c>
      <c r="E73" s="1228">
        <f>+E61*$D$46</f>
        <v>10501</v>
      </c>
      <c r="F73" s="1229">
        <f t="shared" si="3"/>
        <v>1.2925629400983851E-2</v>
      </c>
      <c r="O73" s="1174"/>
      <c r="P73" s="1210"/>
      <c r="Q73" s="1210"/>
      <c r="R73" s="1210"/>
      <c r="S73" s="1211"/>
      <c r="T73" s="1211"/>
      <c r="U73" s="1174"/>
      <c r="V73" s="1174"/>
    </row>
    <row r="74" spans="1:22" ht="15.75" hidden="1" outlineLevel="1" x14ac:dyDescent="0.25">
      <c r="A74" s="1214"/>
      <c r="O74" s="1174"/>
      <c r="P74" s="1210"/>
      <c r="Q74" s="1210"/>
      <c r="R74" s="1210"/>
      <c r="S74" s="1211"/>
      <c r="T74" s="1211"/>
      <c r="U74" s="1174"/>
      <c r="V74" s="1174"/>
    </row>
    <row r="75" spans="1:22" ht="15.75" hidden="1" outlineLevel="1" x14ac:dyDescent="0.25">
      <c r="A75" s="1214"/>
      <c r="B75" s="1188" t="s">
        <v>1118</v>
      </c>
      <c r="C75" s="1188"/>
      <c r="D75" s="1189"/>
      <c r="E75" s="1189"/>
      <c r="G75" s="1179" t="s">
        <v>1143</v>
      </c>
      <c r="O75" s="1174"/>
      <c r="P75" s="1210"/>
      <c r="Q75" s="1210"/>
      <c r="R75" s="1210"/>
      <c r="S75" s="1211"/>
      <c r="T75" s="1211"/>
      <c r="U75" s="1174"/>
      <c r="V75" s="1174"/>
    </row>
    <row r="76" spans="1:22" ht="15.75" hidden="1" outlineLevel="1" x14ac:dyDescent="0.25">
      <c r="A76" s="1214"/>
      <c r="B76" s="1191" t="s">
        <v>1144</v>
      </c>
      <c r="C76" s="1191"/>
      <c r="D76" s="1192"/>
      <c r="E76" s="1193"/>
      <c r="H76">
        <v>7197</v>
      </c>
      <c r="O76" s="1174"/>
      <c r="P76" s="1210"/>
      <c r="Q76" s="1210"/>
      <c r="R76" s="1210"/>
      <c r="S76" s="1211"/>
      <c r="T76" s="1211"/>
      <c r="U76" s="1174"/>
      <c r="V76" s="1174"/>
    </row>
    <row r="77" spans="1:22" ht="15.75" hidden="1" outlineLevel="1" x14ac:dyDescent="0.25">
      <c r="A77" s="1214"/>
      <c r="B77" s="1194" t="s">
        <v>1120</v>
      </c>
      <c r="C77" s="1194"/>
      <c r="D77" s="1230">
        <v>0.38284007225232736</v>
      </c>
      <c r="E77" s="1231">
        <v>0.33</v>
      </c>
      <c r="F77" t="s">
        <v>1145</v>
      </c>
      <c r="G77" s="1232">
        <f>+$D$69*D77</f>
        <v>2755.3</v>
      </c>
      <c r="H77" s="1233">
        <f>+$H$76+G77</f>
        <v>9952.2999999999993</v>
      </c>
      <c r="O77" s="1174"/>
      <c r="P77" s="1210"/>
      <c r="Q77" s="1210"/>
      <c r="R77" s="1210"/>
      <c r="S77" s="1211"/>
      <c r="T77" s="1211"/>
      <c r="U77" s="1174"/>
      <c r="V77" s="1174"/>
    </row>
    <row r="78" spans="1:22" ht="15.75" hidden="1" outlineLevel="1" x14ac:dyDescent="0.25">
      <c r="A78" s="1214"/>
      <c r="B78" s="1196" t="s">
        <v>1122</v>
      </c>
      <c r="C78" s="1196"/>
      <c r="D78" s="1197">
        <v>0.24</v>
      </c>
      <c r="E78" s="1197">
        <v>0.23</v>
      </c>
      <c r="G78" s="1224">
        <f>+$D$69*D78</f>
        <v>1727.28</v>
      </c>
      <c r="H78" s="1233">
        <f>+$H$76+G78</f>
        <v>8924.2800000000007</v>
      </c>
      <c r="O78" s="1174"/>
      <c r="P78" s="1210"/>
      <c r="Q78" s="1210"/>
      <c r="R78" s="1210"/>
      <c r="S78" s="1211"/>
      <c r="T78" s="1211"/>
      <c r="U78" s="1174"/>
      <c r="V78" s="1174"/>
    </row>
    <row r="79" spans="1:22" ht="15.75" hidden="1" outlineLevel="1" x14ac:dyDescent="0.25">
      <c r="A79" s="1214"/>
      <c r="B79" s="1196" t="s">
        <v>1123</v>
      </c>
      <c r="C79" s="1196"/>
      <c r="D79" s="1197">
        <v>0.03</v>
      </c>
      <c r="E79" s="1197">
        <v>0.03</v>
      </c>
      <c r="G79" s="1224">
        <f>+$D$69*D79</f>
        <v>215.91</v>
      </c>
      <c r="H79" s="1233">
        <f>+$H$76+G79</f>
        <v>7412.91</v>
      </c>
      <c r="I79" s="1182" t="s">
        <v>1146</v>
      </c>
      <c r="O79" s="1174"/>
      <c r="P79" s="1210"/>
      <c r="Q79" s="1210"/>
      <c r="R79" s="1210"/>
      <c r="S79" s="1211"/>
      <c r="T79" s="1211"/>
      <c r="U79" s="1174"/>
      <c r="V79" s="1174"/>
    </row>
    <row r="80" spans="1:22" ht="15.75" hidden="1" outlineLevel="1" x14ac:dyDescent="0.25">
      <c r="A80" s="1234"/>
      <c r="B80" s="1196" t="s">
        <v>1125</v>
      </c>
      <c r="C80" s="1196"/>
      <c r="D80" s="1197">
        <v>0.12</v>
      </c>
      <c r="E80" s="1197">
        <v>0.12</v>
      </c>
      <c r="G80" s="1224">
        <f>+$D$69*D80</f>
        <v>863.64</v>
      </c>
      <c r="H80" s="1233">
        <f>+$H$76+G80</f>
        <v>8060.64</v>
      </c>
      <c r="O80" s="1235"/>
      <c r="P80" s="1236"/>
      <c r="Q80" s="1237"/>
      <c r="R80" s="1238"/>
      <c r="S80" s="1239"/>
      <c r="T80" s="1238"/>
      <c r="U80" s="1174"/>
      <c r="V80" s="1174"/>
    </row>
    <row r="81" spans="1:22" ht="15.75" hidden="1" outlineLevel="1" x14ac:dyDescent="0.25">
      <c r="A81" s="1174"/>
      <c r="H81" s="1240"/>
      <c r="I81" s="1241"/>
      <c r="J81" s="1240"/>
      <c r="K81" s="1242"/>
      <c r="L81" s="1240"/>
      <c r="M81" s="1241"/>
      <c r="O81" s="1243"/>
      <c r="P81" s="1244"/>
      <c r="Q81" s="1245"/>
      <c r="R81" s="1245"/>
      <c r="S81" s="1245"/>
      <c r="T81" s="1245"/>
      <c r="U81" s="1174"/>
      <c r="V81" s="1174"/>
    </row>
    <row r="82" spans="1:22" ht="15.75" hidden="1" outlineLevel="2" x14ac:dyDescent="0.25">
      <c r="A82" s="1174"/>
      <c r="B82" s="1178" t="s">
        <v>1147</v>
      </c>
      <c r="C82" s="1178"/>
      <c r="D82" s="49"/>
      <c r="O82" s="1243"/>
      <c r="P82" s="1244"/>
      <c r="Q82" s="1245"/>
      <c r="R82" s="1245"/>
      <c r="S82" s="1245"/>
      <c r="T82" s="1245"/>
      <c r="U82" s="1174"/>
      <c r="V82" s="1174"/>
    </row>
    <row r="83" spans="1:22" ht="15.75" hidden="1" outlineLevel="2" x14ac:dyDescent="0.25">
      <c r="A83" s="1174"/>
      <c r="B83" s="1246" t="s">
        <v>1148</v>
      </c>
      <c r="C83" s="1246"/>
      <c r="D83" s="1247">
        <f>+J170</f>
        <v>150</v>
      </c>
      <c r="E83" s="16"/>
      <c r="F83" s="1248"/>
      <c r="S83" s="1245"/>
      <c r="T83" s="1245"/>
      <c r="U83" s="1174"/>
      <c r="V83" s="1174"/>
    </row>
    <row r="84" spans="1:22" ht="15.75" hidden="1" outlineLevel="2" x14ac:dyDescent="0.25">
      <c r="A84" s="1174"/>
      <c r="B84" s="1249" t="s">
        <v>1149</v>
      </c>
      <c r="C84" s="1249"/>
      <c r="D84" s="1250">
        <f>+J205</f>
        <v>327</v>
      </c>
      <c r="I84" s="1244"/>
      <c r="S84" s="1245"/>
      <c r="T84" s="1245"/>
      <c r="U84" s="1174"/>
      <c r="V84" s="1174"/>
    </row>
    <row r="85" spans="1:22" ht="15.75" hidden="1" outlineLevel="2" x14ac:dyDescent="0.25">
      <c r="A85" s="1174"/>
      <c r="B85" s="1251"/>
      <c r="C85" s="1251"/>
      <c r="D85" s="1252">
        <f>SUM(D83:D84)</f>
        <v>477</v>
      </c>
      <c r="F85" s="16"/>
      <c r="I85" s="1244"/>
      <c r="S85" s="1245"/>
      <c r="T85" s="1245"/>
      <c r="U85" s="1174"/>
      <c r="V85" s="1174"/>
    </row>
    <row r="86" spans="1:22" ht="15.75" hidden="1" outlineLevel="2" x14ac:dyDescent="0.25">
      <c r="A86" s="1174"/>
      <c r="D86" s="1253"/>
      <c r="F86" s="16"/>
      <c r="I86" s="1244"/>
      <c r="S86" s="1245"/>
      <c r="T86" s="1245"/>
      <c r="U86" s="1174"/>
      <c r="V86" s="1174"/>
    </row>
    <row r="87" spans="1:22" ht="15.75" hidden="1" outlineLevel="2" x14ac:dyDescent="0.25">
      <c r="A87" s="1174"/>
      <c r="B87" s="1254" t="s">
        <v>1150</v>
      </c>
      <c r="C87" s="1254"/>
      <c r="D87" s="1254"/>
      <c r="F87" s="16"/>
      <c r="I87" s="1244"/>
      <c r="S87" s="1245"/>
      <c r="T87" s="1245"/>
      <c r="U87" s="1174"/>
      <c r="V87" s="1174"/>
    </row>
    <row r="88" spans="1:22" ht="15.75" hidden="1" outlineLevel="2" x14ac:dyDescent="0.25">
      <c r="A88" s="1174"/>
      <c r="B88" s="1255" t="s">
        <v>1151</v>
      </c>
      <c r="C88" s="1256"/>
      <c r="D88" s="1256"/>
      <c r="F88" s="16"/>
      <c r="I88" s="1244"/>
      <c r="S88" s="1245"/>
      <c r="T88" s="1245"/>
      <c r="U88" s="1174"/>
      <c r="V88" s="1174"/>
    </row>
    <row r="89" spans="1:22" ht="15.75" hidden="1" outlineLevel="2" x14ac:dyDescent="0.25">
      <c r="A89" s="1174"/>
      <c r="B89" s="1241"/>
      <c r="C89" s="1240"/>
      <c r="D89" s="1241"/>
      <c r="F89" s="16"/>
      <c r="S89" s="1245"/>
      <c r="T89" s="1245"/>
      <c r="U89" s="1174"/>
      <c r="V89" s="1174"/>
    </row>
    <row r="90" spans="1:22" ht="15.75" hidden="1" outlineLevel="2" x14ac:dyDescent="0.25">
      <c r="A90" s="1174"/>
      <c r="B90" s="1257" t="s">
        <v>1152</v>
      </c>
      <c r="C90" s="1240"/>
      <c r="D90" s="1258">
        <v>500</v>
      </c>
      <c r="F90" s="16"/>
      <c r="S90" s="1245"/>
      <c r="T90" s="1245"/>
      <c r="U90" s="1174"/>
      <c r="V90" s="1174"/>
    </row>
    <row r="91" spans="1:22" ht="15.75" hidden="1" outlineLevel="2" x14ac:dyDescent="0.25">
      <c r="A91" s="1174"/>
      <c r="B91" s="1257" t="s">
        <v>1153</v>
      </c>
      <c r="C91" s="1240"/>
      <c r="D91" s="1258">
        <v>250</v>
      </c>
      <c r="F91" s="16"/>
      <c r="S91" s="1245"/>
      <c r="T91" s="1245"/>
      <c r="U91" s="1174"/>
      <c r="V91" s="1174"/>
    </row>
    <row r="92" spans="1:22" ht="15.75" hidden="1" outlineLevel="2" x14ac:dyDescent="0.25">
      <c r="A92" s="1174"/>
      <c r="B92" s="1257" t="s">
        <v>1154</v>
      </c>
      <c r="C92" s="1240"/>
      <c r="D92" s="1259">
        <f>SUM(B97,B99,B101,B103)</f>
        <v>318</v>
      </c>
      <c r="E92" s="1260"/>
      <c r="F92" s="16"/>
      <c r="S92" s="1245"/>
      <c r="T92" s="1245"/>
      <c r="U92" s="1174"/>
      <c r="V92" s="1174"/>
    </row>
    <row r="93" spans="1:22" ht="15.75" hidden="1" outlineLevel="2" x14ac:dyDescent="0.25">
      <c r="A93" s="1174"/>
      <c r="B93" s="1241"/>
      <c r="C93" s="1240"/>
      <c r="D93" s="1241"/>
      <c r="F93" s="16"/>
      <c r="S93" s="1245"/>
      <c r="T93" s="1245"/>
      <c r="U93" s="1174"/>
      <c r="V93" s="1174"/>
    </row>
    <row r="94" spans="1:22" ht="15.75" hidden="1" outlineLevel="2" x14ac:dyDescent="0.25">
      <c r="A94" s="1174"/>
      <c r="B94" s="1261" t="s">
        <v>1155</v>
      </c>
      <c r="C94" s="1262"/>
      <c r="D94" s="1263"/>
      <c r="E94" s="49"/>
      <c r="F94" s="16"/>
      <c r="G94" t="s">
        <v>570</v>
      </c>
      <c r="K94">
        <v>500</v>
      </c>
      <c r="N94" t="s">
        <v>1156</v>
      </c>
      <c r="S94" s="1245"/>
      <c r="T94" s="1245"/>
      <c r="U94" s="1174"/>
      <c r="V94" s="1174"/>
    </row>
    <row r="95" spans="1:22" ht="15.75" hidden="1" outlineLevel="2" x14ac:dyDescent="0.25">
      <c r="A95" s="1174"/>
      <c r="B95" s="1254" t="s">
        <v>1157</v>
      </c>
      <c r="C95" s="1262"/>
      <c r="D95" s="1254" t="s">
        <v>1158</v>
      </c>
      <c r="E95" s="1263"/>
      <c r="G95" s="1241"/>
      <c r="I95" t="s">
        <v>1159</v>
      </c>
      <c r="J95" t="s">
        <v>1160</v>
      </c>
      <c r="K95" t="s">
        <v>1161</v>
      </c>
      <c r="N95" t="s">
        <v>1162</v>
      </c>
      <c r="S95" s="1245"/>
      <c r="T95" s="1245"/>
      <c r="U95" s="1174"/>
      <c r="V95" s="1174"/>
    </row>
    <row r="96" spans="1:22" ht="15.75" hidden="1" outlineLevel="2" x14ac:dyDescent="0.25">
      <c r="A96" s="1174"/>
      <c r="B96" s="1256" t="s">
        <v>1163</v>
      </c>
      <c r="C96" s="1264" t="s">
        <v>1164</v>
      </c>
      <c r="D96" s="1264" t="s">
        <v>1165</v>
      </c>
      <c r="E96" s="1264" t="s">
        <v>1166</v>
      </c>
      <c r="G96" s="1241"/>
      <c r="I96" s="1264" t="s">
        <v>1167</v>
      </c>
      <c r="J96" s="1264" t="s">
        <v>1168</v>
      </c>
      <c r="K96" s="1264" t="s">
        <v>1169</v>
      </c>
      <c r="N96" s="1264" t="s">
        <v>1170</v>
      </c>
      <c r="S96" s="1245"/>
      <c r="T96" s="1245"/>
      <c r="U96" s="1174"/>
      <c r="V96" s="1174"/>
    </row>
    <row r="97" spans="1:28" ht="15.75" hidden="1" outlineLevel="2" x14ac:dyDescent="0.25">
      <c r="A97" s="1174"/>
      <c r="B97" s="1265">
        <v>45</v>
      </c>
      <c r="C97" s="1265">
        <v>0</v>
      </c>
      <c r="D97" s="1266">
        <v>10</v>
      </c>
      <c r="E97" s="1265">
        <v>15</v>
      </c>
      <c r="G97" s="1255" t="s">
        <v>1163</v>
      </c>
      <c r="H97" s="1267">
        <v>0.5</v>
      </c>
      <c r="I97" s="1268">
        <v>0.15</v>
      </c>
      <c r="J97" s="1268">
        <v>0.15</v>
      </c>
      <c r="K97" s="1253">
        <f>+J97*$K$94</f>
        <v>75</v>
      </c>
      <c r="M97">
        <v>15</v>
      </c>
      <c r="S97" s="1245"/>
      <c r="T97" s="1245"/>
      <c r="U97" s="1174"/>
      <c r="V97" s="1174"/>
    </row>
    <row r="98" spans="1:28" ht="15.75" hidden="1" outlineLevel="2" x14ac:dyDescent="0.25">
      <c r="A98" s="1174"/>
      <c r="B98" s="1256" t="s">
        <v>1171</v>
      </c>
      <c r="C98" s="1264" t="s">
        <v>1172</v>
      </c>
      <c r="D98" s="1264" t="s">
        <v>1173</v>
      </c>
      <c r="E98" s="1241"/>
      <c r="G98" s="1269" t="s">
        <v>1174</v>
      </c>
      <c r="H98" s="1267">
        <v>0.24</v>
      </c>
      <c r="I98" s="1268">
        <v>0.2</v>
      </c>
      <c r="J98" s="1268">
        <v>0.17</v>
      </c>
      <c r="K98" s="1253">
        <f>+J98*$K$94</f>
        <v>85</v>
      </c>
      <c r="M98">
        <v>17</v>
      </c>
      <c r="S98" s="1245"/>
      <c r="T98" s="1245"/>
      <c r="U98" s="1174"/>
      <c r="V98" s="1174"/>
    </row>
    <row r="99" spans="1:28" ht="15.75" hidden="1" outlineLevel="2" x14ac:dyDescent="0.25">
      <c r="A99" s="1174"/>
      <c r="B99" s="1265">
        <v>53</v>
      </c>
      <c r="C99" s="1265">
        <v>0</v>
      </c>
      <c r="D99" s="1265">
        <v>0</v>
      </c>
      <c r="F99" s="1241"/>
      <c r="G99" s="1269" t="s">
        <v>1171</v>
      </c>
      <c r="H99" s="1267">
        <v>0.12</v>
      </c>
      <c r="I99" s="1268">
        <v>0.01</v>
      </c>
      <c r="J99" s="1268">
        <v>0.01</v>
      </c>
      <c r="K99" s="1253">
        <f>+J99*$K$94</f>
        <v>5</v>
      </c>
      <c r="M99">
        <v>4</v>
      </c>
      <c r="S99" s="1245"/>
      <c r="T99" s="1245"/>
      <c r="U99" s="1174"/>
      <c r="V99" s="1174"/>
    </row>
    <row r="100" spans="1:28" ht="15.75" hidden="1" outlineLevel="2" x14ac:dyDescent="0.25">
      <c r="A100" s="1174"/>
      <c r="B100" s="1256" t="s">
        <v>1174</v>
      </c>
      <c r="C100" s="1264" t="s">
        <v>1175</v>
      </c>
      <c r="D100" s="1241"/>
      <c r="F100" s="1241"/>
      <c r="G100" s="1255" t="s">
        <v>1176</v>
      </c>
      <c r="H100" s="1267">
        <v>0.5</v>
      </c>
      <c r="I100" s="1268">
        <v>0.5</v>
      </c>
      <c r="J100" s="1268">
        <v>0.5</v>
      </c>
      <c r="K100" s="1253">
        <f>+J100*$K$94</f>
        <v>250</v>
      </c>
      <c r="N100" s="1267">
        <v>0.8</v>
      </c>
      <c r="S100" s="1245"/>
      <c r="T100" s="1245"/>
      <c r="U100" s="1174"/>
      <c r="V100" s="1174"/>
      <c r="AB100">
        <v>0.64</v>
      </c>
    </row>
    <row r="101" spans="1:28" ht="15.75" hidden="1" outlineLevel="2" x14ac:dyDescent="0.25">
      <c r="A101" s="1174"/>
      <c r="B101" s="1265">
        <v>30</v>
      </c>
      <c r="C101" s="1265">
        <v>20</v>
      </c>
      <c r="D101" s="1241"/>
      <c r="F101" s="1241"/>
      <c r="K101" s="1253">
        <f>SUM(K97:K100)</f>
        <v>415</v>
      </c>
      <c r="S101" s="1245"/>
      <c r="T101" s="1245"/>
      <c r="U101" s="1174"/>
      <c r="V101" s="1174"/>
    </row>
    <row r="102" spans="1:28" ht="15.75" hidden="1" outlineLevel="2" x14ac:dyDescent="0.25">
      <c r="A102" s="1174"/>
      <c r="B102" s="1256" t="s">
        <v>1176</v>
      </c>
      <c r="C102" s="1270"/>
      <c r="D102" s="1270"/>
      <c r="F102" s="1270"/>
      <c r="I102" s="1267">
        <v>0.06</v>
      </c>
      <c r="S102" s="1245"/>
      <c r="T102" s="1245"/>
      <c r="U102" s="1174"/>
      <c r="V102" s="1174"/>
    </row>
    <row r="103" spans="1:28" ht="15.75" hidden="1" outlineLevel="2" x14ac:dyDescent="0.25">
      <c r="A103" s="1174"/>
      <c r="B103" s="1265">
        <v>190</v>
      </c>
      <c r="C103" s="1241"/>
      <c r="D103" s="1242"/>
      <c r="F103" s="1241"/>
      <c r="G103" t="s">
        <v>1177</v>
      </c>
      <c r="S103" s="1245"/>
      <c r="T103" s="1245"/>
      <c r="U103" s="1174"/>
      <c r="V103" s="1174"/>
    </row>
    <row r="104" spans="1:28" ht="15.75" hidden="1" outlineLevel="2" x14ac:dyDescent="0.25">
      <c r="A104" s="1174"/>
      <c r="B104" s="1263"/>
      <c r="C104" s="1263"/>
      <c r="D104" s="1271"/>
      <c r="E104" s="1263"/>
      <c r="S104" s="1245"/>
      <c r="T104" s="1245"/>
      <c r="U104" s="1174"/>
      <c r="V104" s="1174"/>
    </row>
    <row r="105" spans="1:28" ht="15.75" hidden="1" outlineLevel="2" x14ac:dyDescent="0.25">
      <c r="A105" s="1174"/>
      <c r="B105" s="1272" t="s">
        <v>1178</v>
      </c>
      <c r="C105" s="1272"/>
      <c r="D105" s="1272"/>
      <c r="E105" s="1272"/>
      <c r="S105" s="1245"/>
      <c r="T105" s="1245"/>
      <c r="U105" s="1174"/>
      <c r="V105" s="1174"/>
    </row>
    <row r="106" spans="1:28" ht="15.75" hidden="1" outlineLevel="2" x14ac:dyDescent="0.25">
      <c r="A106" s="1174"/>
      <c r="B106" s="1264" t="s">
        <v>1179</v>
      </c>
      <c r="C106" s="1264" t="s">
        <v>1180</v>
      </c>
      <c r="D106" s="1264" t="s">
        <v>1181</v>
      </c>
      <c r="E106" s="1264" t="s">
        <v>1182</v>
      </c>
      <c r="S106" s="1245"/>
      <c r="T106" s="1245"/>
      <c r="U106" s="1174"/>
      <c r="V106" s="1174"/>
    </row>
    <row r="107" spans="1:28" ht="15.75" hidden="1" outlineLevel="2" x14ac:dyDescent="0.25">
      <c r="A107" s="1174"/>
      <c r="B107" s="1265">
        <v>0</v>
      </c>
      <c r="C107" s="1265">
        <v>1</v>
      </c>
      <c r="D107" s="1266">
        <v>1</v>
      </c>
      <c r="E107" s="1265">
        <v>10</v>
      </c>
      <c r="S107" s="1245"/>
      <c r="T107" s="1245"/>
      <c r="U107" s="1174"/>
      <c r="V107" s="1174"/>
    </row>
    <row r="108" spans="1:28" ht="15.75" hidden="1" outlineLevel="2" x14ac:dyDescent="0.25">
      <c r="A108" s="1174"/>
      <c r="B108" s="1264" t="s">
        <v>1183</v>
      </c>
      <c r="C108" s="1241"/>
      <c r="D108" s="1241"/>
      <c r="S108" s="1245"/>
      <c r="T108" s="1245"/>
      <c r="U108" s="1174"/>
      <c r="V108" s="1174"/>
    </row>
    <row r="109" spans="1:28" ht="15.75" hidden="1" outlineLevel="2" x14ac:dyDescent="0.25">
      <c r="A109" s="1174"/>
      <c r="B109" s="1265">
        <v>0</v>
      </c>
      <c r="C109" s="1240"/>
      <c r="D109" s="1241"/>
      <c r="E109" s="1241"/>
      <c r="F109" s="1241"/>
      <c r="G109" s="1241"/>
      <c r="S109" s="1245"/>
      <c r="T109" s="1245"/>
      <c r="U109" s="1174"/>
      <c r="V109" s="1174"/>
    </row>
    <row r="110" spans="1:28" ht="15.75" hidden="1" outlineLevel="2" x14ac:dyDescent="0.25">
      <c r="A110" s="1174"/>
      <c r="B110" s="1263"/>
      <c r="C110" s="1263"/>
      <c r="D110" s="1263"/>
      <c r="E110" s="1263"/>
      <c r="F110" s="1263"/>
      <c r="G110" s="1263"/>
      <c r="S110" s="1245"/>
      <c r="T110" s="1245"/>
      <c r="U110" s="1174"/>
      <c r="V110" s="1174"/>
    </row>
    <row r="111" spans="1:28" ht="15.75" hidden="1" outlineLevel="2" x14ac:dyDescent="0.25">
      <c r="A111" s="1174"/>
      <c r="B111" s="1255" t="s">
        <v>1184</v>
      </c>
      <c r="C111" s="1241"/>
      <c r="D111" s="1241"/>
      <c r="E111" s="1241"/>
      <c r="F111" s="1241"/>
      <c r="G111" s="1241"/>
      <c r="S111" s="1245"/>
      <c r="T111" s="1245"/>
      <c r="U111" s="1174"/>
      <c r="V111" s="1174"/>
    </row>
    <row r="112" spans="1:28" ht="15.75" hidden="1" outlineLevel="2" x14ac:dyDescent="0.25">
      <c r="A112" s="1174"/>
      <c r="B112" s="1255" t="s">
        <v>1185</v>
      </c>
      <c r="C112" s="1241"/>
      <c r="D112" s="1241"/>
      <c r="E112" s="1241"/>
      <c r="F112" s="1240"/>
      <c r="G112" s="1241"/>
      <c r="S112" s="1245"/>
      <c r="T112" s="1245"/>
      <c r="U112" s="1174"/>
      <c r="V112" s="1174"/>
    </row>
    <row r="113" spans="1:22" ht="15.75" hidden="1" outlineLevel="2" x14ac:dyDescent="0.25">
      <c r="A113" s="1174"/>
      <c r="B113" s="1255"/>
      <c r="C113" s="1241"/>
      <c r="D113" s="1241"/>
      <c r="E113" s="1241"/>
      <c r="F113" s="1240"/>
      <c r="G113" s="1241"/>
      <c r="S113" s="1245"/>
      <c r="T113" s="1245"/>
      <c r="U113" s="1174"/>
      <c r="V113" s="1174"/>
    </row>
    <row r="114" spans="1:22" ht="15.75" hidden="1" outlineLevel="2" x14ac:dyDescent="0.25">
      <c r="A114" s="1174"/>
      <c r="E114" s="1273" t="s">
        <v>570</v>
      </c>
      <c r="F114" s="1273" t="s">
        <v>1186</v>
      </c>
      <c r="G114" s="1273" t="s">
        <v>1187</v>
      </c>
      <c r="H114" s="1273" t="s">
        <v>1176</v>
      </c>
      <c r="I114" s="1273" t="s">
        <v>1188</v>
      </c>
      <c r="J114" s="1273" t="s">
        <v>157</v>
      </c>
      <c r="K114" s="1273" t="s">
        <v>1189</v>
      </c>
      <c r="S114" s="1245"/>
      <c r="T114" s="1245"/>
      <c r="U114" s="1174"/>
      <c r="V114" s="1174"/>
    </row>
    <row r="115" spans="1:22" ht="18.75" hidden="1" outlineLevel="2" x14ac:dyDescent="0.3">
      <c r="A115" s="1174"/>
      <c r="C115" s="1274" t="str">
        <f>+D48</f>
        <v>SYE 24</v>
      </c>
      <c r="E115" s="1275">
        <f>+D91</f>
        <v>250</v>
      </c>
      <c r="F115" s="1275">
        <f>B97</f>
        <v>45</v>
      </c>
      <c r="G115" s="1275">
        <f>B101-D97-C99-B109-E107</f>
        <v>10</v>
      </c>
      <c r="H115" s="1275">
        <f>B103-C101-D99-E97-D107-E107-B109</f>
        <v>144</v>
      </c>
      <c r="I115" s="1275">
        <f>B99-C97-C107-D107</f>
        <v>51</v>
      </c>
      <c r="J115" s="1276">
        <f>SUM(E115:I115)</f>
        <v>500</v>
      </c>
      <c r="K115" s="1253">
        <f>+J115-D90</f>
        <v>0</v>
      </c>
      <c r="S115" s="1245"/>
      <c r="T115" s="1245"/>
      <c r="U115" s="1174"/>
      <c r="V115" s="1174"/>
    </row>
    <row r="116" spans="1:22" ht="15.75" hidden="1" outlineLevel="2" x14ac:dyDescent="0.25">
      <c r="A116" s="1174"/>
      <c r="D116" s="1277" t="s">
        <v>1190</v>
      </c>
      <c r="E116" s="1278">
        <f t="shared" ref="E116:J116" si="4">+E115/$J$115</f>
        <v>0.5</v>
      </c>
      <c r="F116" s="1278">
        <f t="shared" si="4"/>
        <v>0.09</v>
      </c>
      <c r="G116" s="1278">
        <f t="shared" si="4"/>
        <v>0.02</v>
      </c>
      <c r="H116" s="1279">
        <f t="shared" si="4"/>
        <v>0.28799999999999998</v>
      </c>
      <c r="I116" s="1278">
        <f t="shared" si="4"/>
        <v>0.10199999999999999</v>
      </c>
      <c r="J116" s="1278">
        <f t="shared" si="4"/>
        <v>1</v>
      </c>
      <c r="S116" s="1245"/>
      <c r="T116" s="1245"/>
      <c r="U116" s="1174"/>
      <c r="V116" s="1174"/>
    </row>
    <row r="117" spans="1:22" ht="15.75" hidden="1" outlineLevel="2" x14ac:dyDescent="0.25">
      <c r="A117" s="1174"/>
      <c r="D117" s="1277" t="s">
        <v>1191</v>
      </c>
      <c r="E117" s="1280">
        <v>0</v>
      </c>
      <c r="F117" s="1280">
        <f>+D77</f>
        <v>0.38284007225232736</v>
      </c>
      <c r="G117" s="1280">
        <f>+D78</f>
        <v>0.24</v>
      </c>
      <c r="H117" s="1280">
        <f>+D79</f>
        <v>0.03</v>
      </c>
      <c r="I117" s="1280">
        <f>+D80</f>
        <v>0.12</v>
      </c>
      <c r="J117" s="1270"/>
      <c r="S117" s="1245"/>
      <c r="T117" s="1245"/>
      <c r="U117" s="1174"/>
      <c r="V117" s="1174"/>
    </row>
    <row r="118" spans="1:22" ht="15.75" hidden="1" outlineLevel="2" x14ac:dyDescent="0.25">
      <c r="A118" s="1174"/>
      <c r="E118" s="1281"/>
      <c r="F118" s="1281"/>
      <c r="G118" s="1281"/>
      <c r="H118" s="1281"/>
      <c r="I118" s="1281"/>
      <c r="J118" s="1270"/>
      <c r="S118" s="1245"/>
      <c r="T118" s="1245"/>
      <c r="U118" s="1174"/>
      <c r="V118" s="1174"/>
    </row>
    <row r="119" spans="1:22" ht="15.75" hidden="1" outlineLevel="2" x14ac:dyDescent="0.25">
      <c r="A119" s="1174"/>
      <c r="B119" s="16" t="s">
        <v>1192</v>
      </c>
      <c r="E119" s="1282" t="s">
        <v>1193</v>
      </c>
      <c r="F119" s="1281"/>
      <c r="G119" s="1281"/>
      <c r="H119" s="1281"/>
      <c r="I119" s="1281"/>
      <c r="J119" s="1270"/>
      <c r="S119" s="1245"/>
      <c r="T119" s="1245"/>
      <c r="U119" s="1174"/>
      <c r="V119" s="1174"/>
    </row>
    <row r="120" spans="1:22" ht="15.75" hidden="1" outlineLevel="2" x14ac:dyDescent="0.25">
      <c r="A120" s="1174"/>
      <c r="C120" s="1283" t="s">
        <v>1194</v>
      </c>
      <c r="D120" s="16"/>
      <c r="E120" s="1282" t="s">
        <v>1195</v>
      </c>
      <c r="F120" s="1282"/>
      <c r="G120" s="1282"/>
      <c r="H120" s="1282"/>
      <c r="I120" s="1282"/>
      <c r="J120" s="1256" t="s">
        <v>157</v>
      </c>
      <c r="S120" s="1245"/>
      <c r="T120" s="1245"/>
      <c r="U120" s="1174"/>
      <c r="V120" s="1174"/>
    </row>
    <row r="121" spans="1:22" ht="15.75" hidden="1" outlineLevel="2" x14ac:dyDescent="0.25">
      <c r="A121" s="1174"/>
      <c r="B121" s="16" t="s">
        <v>1196</v>
      </c>
      <c r="C121" s="1283" t="s">
        <v>1197</v>
      </c>
      <c r="D121" s="1283" t="s">
        <v>1198</v>
      </c>
      <c r="E121" s="1284">
        <f>+J115</f>
        <v>500</v>
      </c>
      <c r="F121" s="1285" t="s">
        <v>1199</v>
      </c>
      <c r="G121" s="1282"/>
      <c r="H121" s="1282"/>
      <c r="I121" s="1282"/>
      <c r="J121" s="1256" t="s">
        <v>1195</v>
      </c>
      <c r="S121" s="1245"/>
      <c r="T121" s="1245"/>
      <c r="U121" s="1174"/>
      <c r="V121" s="1174"/>
    </row>
    <row r="122" spans="1:22" ht="15.75" hidden="1" outlineLevel="2" x14ac:dyDescent="0.25">
      <c r="A122" s="1174">
        <v>1</v>
      </c>
      <c r="B122" t="str">
        <f>$B67</f>
        <v xml:space="preserve">Carson City </v>
      </c>
      <c r="C122" s="1286"/>
      <c r="D122" s="1224">
        <f>+D67</f>
        <v>7494</v>
      </c>
      <c r="E122" s="1287">
        <f>IF($C122="y",$J$115*$D122,0)</f>
        <v>0</v>
      </c>
      <c r="F122" s="1287">
        <f t="shared" ref="F122:I128" si="5">IF($C122="y",F$115*F$117*$D122,0)</f>
        <v>0</v>
      </c>
      <c r="G122" s="1287">
        <f t="shared" si="5"/>
        <v>0</v>
      </c>
      <c r="H122" s="1287">
        <f t="shared" si="5"/>
        <v>0</v>
      </c>
      <c r="I122" s="1288">
        <f t="shared" si="5"/>
        <v>0</v>
      </c>
      <c r="J122" s="1289">
        <f t="shared" ref="J122:J129" si="6">SUM(E122:I122)</f>
        <v>0</v>
      </c>
      <c r="S122" s="1245"/>
      <c r="T122" s="1245"/>
      <c r="U122" s="1174"/>
      <c r="V122" s="1174"/>
    </row>
    <row r="123" spans="1:22" ht="15.75" hidden="1" outlineLevel="2" x14ac:dyDescent="0.25">
      <c r="A123" s="1174">
        <f>1+A122</f>
        <v>2</v>
      </c>
      <c r="B123" s="65" t="str">
        <f>$B68</f>
        <v>Churchill</v>
      </c>
      <c r="C123" s="1290"/>
      <c r="D123" s="1225">
        <f>+D68</f>
        <v>8093</v>
      </c>
      <c r="E123" s="1291">
        <f t="shared" ref="E123:E127" si="7">IF($C123="y",$J$115*$D123,0)</f>
        <v>0</v>
      </c>
      <c r="F123" s="1291">
        <f t="shared" si="5"/>
        <v>0</v>
      </c>
      <c r="G123" s="1291">
        <f t="shared" si="5"/>
        <v>0</v>
      </c>
      <c r="H123" s="1291">
        <f t="shared" si="5"/>
        <v>0</v>
      </c>
      <c r="I123" s="1292">
        <f t="shared" si="5"/>
        <v>0</v>
      </c>
      <c r="J123" s="1289">
        <f t="shared" si="6"/>
        <v>0</v>
      </c>
      <c r="S123" s="1245"/>
      <c r="T123" s="1245"/>
      <c r="U123" s="1174"/>
      <c r="V123" s="1174"/>
    </row>
    <row r="124" spans="1:22" ht="15.75" hidden="1" outlineLevel="2" x14ac:dyDescent="0.25">
      <c r="A124" s="1174">
        <f t="shared" ref="A124:A126" si="8">1+A123</f>
        <v>3</v>
      </c>
      <c r="B124" s="65" t="str">
        <f>$B69</f>
        <v>Clark</v>
      </c>
      <c r="C124" s="1290" t="s">
        <v>1200</v>
      </c>
      <c r="D124" s="1225">
        <f>+D69</f>
        <v>7197</v>
      </c>
      <c r="E124" s="1291">
        <f t="shared" si="7"/>
        <v>3598500</v>
      </c>
      <c r="F124" s="1291">
        <f t="shared" si="5"/>
        <v>123988.50000000001</v>
      </c>
      <c r="G124" s="1291">
        <f t="shared" si="5"/>
        <v>17272.8</v>
      </c>
      <c r="H124" s="1291">
        <f t="shared" si="5"/>
        <v>31091.040000000001</v>
      </c>
      <c r="I124" s="1292">
        <f t="shared" si="5"/>
        <v>44045.64</v>
      </c>
      <c r="J124" s="1289">
        <f t="shared" si="6"/>
        <v>3814897.98</v>
      </c>
      <c r="S124" s="1245"/>
      <c r="T124" s="1245"/>
      <c r="U124" s="1174"/>
      <c r="V124" s="1174"/>
    </row>
    <row r="125" spans="1:22" ht="15.75" hidden="1" outlineLevel="2" x14ac:dyDescent="0.25">
      <c r="A125" s="1174">
        <f t="shared" si="8"/>
        <v>4</v>
      </c>
      <c r="B125" s="65" t="str">
        <f>$B70</f>
        <v>Elko</v>
      </c>
      <c r="C125" s="1290"/>
      <c r="D125" s="1225">
        <f>+D70</f>
        <v>7715</v>
      </c>
      <c r="E125" s="1293">
        <f t="shared" si="7"/>
        <v>0</v>
      </c>
      <c r="F125" s="1293">
        <f t="shared" si="5"/>
        <v>0</v>
      </c>
      <c r="G125" s="1293">
        <f t="shared" si="5"/>
        <v>0</v>
      </c>
      <c r="H125" s="1293">
        <f t="shared" si="5"/>
        <v>0</v>
      </c>
      <c r="I125" s="1294">
        <f t="shared" si="5"/>
        <v>0</v>
      </c>
      <c r="J125" s="1289">
        <f t="shared" si="6"/>
        <v>0</v>
      </c>
      <c r="S125" s="1245"/>
      <c r="T125" s="1245"/>
      <c r="U125" s="1174"/>
      <c r="V125" s="1174"/>
    </row>
    <row r="126" spans="1:22" ht="15.75" hidden="1" outlineLevel="2" x14ac:dyDescent="0.25">
      <c r="A126" s="1174">
        <f t="shared" si="8"/>
        <v>5</v>
      </c>
      <c r="B126" s="65" t="str">
        <f t="shared" ref="B126" si="9">$B72</f>
        <v>Washoe</v>
      </c>
      <c r="C126" s="1290"/>
      <c r="D126" s="1225">
        <f t="shared" ref="D126:D127" si="10">+D72</f>
        <v>6980</v>
      </c>
      <c r="E126" s="1293">
        <f t="shared" si="7"/>
        <v>0</v>
      </c>
      <c r="F126" s="1293">
        <f t="shared" si="5"/>
        <v>0</v>
      </c>
      <c r="G126" s="1293">
        <f t="shared" si="5"/>
        <v>0</v>
      </c>
      <c r="H126" s="1293">
        <f t="shared" si="5"/>
        <v>0</v>
      </c>
      <c r="I126" s="1294">
        <f t="shared" si="5"/>
        <v>0</v>
      </c>
      <c r="J126" s="1289">
        <f t="shared" si="6"/>
        <v>0</v>
      </c>
      <c r="S126" s="1245"/>
      <c r="T126" s="1245"/>
      <c r="U126" s="1174"/>
      <c r="V126" s="1174"/>
    </row>
    <row r="127" spans="1:22" ht="15.75" hidden="1" outlineLevel="2" x14ac:dyDescent="0.25">
      <c r="A127" s="1174">
        <f>1+A126</f>
        <v>6</v>
      </c>
      <c r="B127" t="str">
        <f>$B73</f>
        <v>White Pine</v>
      </c>
      <c r="C127" s="1286"/>
      <c r="D127" s="1224">
        <f t="shared" si="10"/>
        <v>10367</v>
      </c>
      <c r="E127" s="1295">
        <f t="shared" si="7"/>
        <v>0</v>
      </c>
      <c r="F127" s="1295">
        <f t="shared" si="5"/>
        <v>0</v>
      </c>
      <c r="G127" s="1295">
        <f t="shared" si="5"/>
        <v>0</v>
      </c>
      <c r="H127" s="1295">
        <f t="shared" si="5"/>
        <v>0</v>
      </c>
      <c r="I127" s="1296">
        <f t="shared" si="5"/>
        <v>0</v>
      </c>
      <c r="J127" s="1297">
        <f t="shared" si="6"/>
        <v>0</v>
      </c>
      <c r="S127" s="1245"/>
      <c r="T127" s="1245"/>
      <c r="U127" s="1174"/>
      <c r="V127" s="1174"/>
    </row>
    <row r="128" spans="1:22" ht="15.75" hidden="1" outlineLevel="2" x14ac:dyDescent="0.25">
      <c r="A128" s="1174"/>
      <c r="B128" s="1298" t="s">
        <v>1201</v>
      </c>
      <c r="C128" s="1299"/>
      <c r="D128" s="1300">
        <f>+D50</f>
        <v>8966</v>
      </c>
      <c r="E128" s="1301">
        <f>IF($C128="y",$J$115*$D128,0)</f>
        <v>0</v>
      </c>
      <c r="F128" s="1301">
        <f t="shared" si="5"/>
        <v>0</v>
      </c>
      <c r="G128" s="1301">
        <f t="shared" si="5"/>
        <v>0</v>
      </c>
      <c r="H128" s="1301">
        <f t="shared" si="5"/>
        <v>0</v>
      </c>
      <c r="I128" s="1302">
        <f t="shared" si="5"/>
        <v>0</v>
      </c>
      <c r="J128" s="1303">
        <f t="shared" si="6"/>
        <v>0</v>
      </c>
      <c r="K128" t="s">
        <v>1202</v>
      </c>
      <c r="S128" s="1245"/>
      <c r="T128" s="1245"/>
      <c r="U128" s="1174"/>
      <c r="V128" s="1174"/>
    </row>
    <row r="129" spans="1:22" ht="15.75" hidden="1" outlineLevel="2" x14ac:dyDescent="0.25">
      <c r="A129" s="1174"/>
      <c r="C129" s="1304" t="str">
        <f>IF(COUNTIF(C122:C128,"y")&gt;1,"Error: Select 1 area","ok")</f>
        <v>ok</v>
      </c>
      <c r="E129" s="1305">
        <f>SUM(E122:E128)</f>
        <v>3598500</v>
      </c>
      <c r="F129" s="1305">
        <f>SUM(F122:F128)</f>
        <v>123988.50000000001</v>
      </c>
      <c r="G129" s="1305">
        <f>SUM(G122:G128)</f>
        <v>17272.8</v>
      </c>
      <c r="H129" s="1305">
        <f>SUM(H122:H128)</f>
        <v>31091.040000000001</v>
      </c>
      <c r="I129" s="1305">
        <f>SUM(I122:I128)</f>
        <v>44045.64</v>
      </c>
      <c r="J129" s="1306">
        <f t="shared" si="6"/>
        <v>3814897.98</v>
      </c>
      <c r="S129" s="1245"/>
      <c r="T129" s="1245"/>
      <c r="U129" s="1174"/>
      <c r="V129" s="1174"/>
    </row>
    <row r="130" spans="1:22" ht="15.75" hidden="1" outlineLevel="2" x14ac:dyDescent="0.25">
      <c r="A130" s="1174"/>
      <c r="B130" s="1307"/>
      <c r="C130" s="1307"/>
      <c r="D130" s="1307" t="s">
        <v>1198</v>
      </c>
      <c r="E130" s="1308">
        <f>+E129/J115</f>
        <v>7197</v>
      </c>
      <c r="F130" s="1308">
        <f>+F129/F115</f>
        <v>2755.3</v>
      </c>
      <c r="G130" s="1308">
        <f>+G129/G115</f>
        <v>1727.28</v>
      </c>
      <c r="H130" s="1308">
        <f>+H129/H115</f>
        <v>215.91</v>
      </c>
      <c r="I130" s="1308">
        <f>+I129/I115</f>
        <v>863.64</v>
      </c>
      <c r="J130" s="1308">
        <f>+J129/J115</f>
        <v>7629.7959600000004</v>
      </c>
      <c r="S130" s="1245"/>
      <c r="T130" s="1245"/>
      <c r="U130" s="1174"/>
      <c r="V130" s="1174"/>
    </row>
    <row r="131" spans="1:22" ht="15.75" hidden="1" outlineLevel="2" x14ac:dyDescent="0.25">
      <c r="A131" s="1174"/>
      <c r="B131" s="1307"/>
      <c r="C131" s="1307"/>
      <c r="D131" s="1307"/>
      <c r="E131" s="1309">
        <f t="shared" ref="E131:J131" si="11">+E130/$E$130</f>
        <v>1</v>
      </c>
      <c r="F131" s="1309">
        <f t="shared" si="11"/>
        <v>0.38284007225232736</v>
      </c>
      <c r="G131" s="1309">
        <f t="shared" si="11"/>
        <v>0.24</v>
      </c>
      <c r="H131" s="1309">
        <f t="shared" si="11"/>
        <v>0.03</v>
      </c>
      <c r="I131" s="1309">
        <f t="shared" si="11"/>
        <v>0.12</v>
      </c>
      <c r="J131" s="1309">
        <f t="shared" si="11"/>
        <v>1.0601356065027094</v>
      </c>
      <c r="S131" s="1245"/>
      <c r="T131" s="1245"/>
      <c r="U131" s="1174"/>
      <c r="V131" s="1174"/>
    </row>
    <row r="132" spans="1:22" ht="15.75" hidden="1" outlineLevel="2" collapsed="1" x14ac:dyDescent="0.25">
      <c r="A132" s="1174"/>
      <c r="B132" s="1307"/>
      <c r="C132" s="1307"/>
      <c r="D132" s="1307"/>
      <c r="E132" s="1309"/>
      <c r="F132" s="1309"/>
      <c r="G132" s="1309"/>
      <c r="H132" s="1309"/>
      <c r="I132" s="1309"/>
      <c r="J132" s="1309"/>
      <c r="S132" s="1245"/>
      <c r="T132" s="1245"/>
      <c r="U132" s="1174"/>
      <c r="V132" s="1174"/>
    </row>
    <row r="133" spans="1:22" ht="15.75" hidden="1" outlineLevel="2" x14ac:dyDescent="0.25">
      <c r="A133" s="1174"/>
      <c r="E133" s="1273" t="s">
        <v>570</v>
      </c>
      <c r="F133" s="1273" t="s">
        <v>1186</v>
      </c>
      <c r="G133" s="1273" t="s">
        <v>1187</v>
      </c>
      <c r="H133" s="1273" t="s">
        <v>1176</v>
      </c>
      <c r="I133" s="1273" t="s">
        <v>1188</v>
      </c>
      <c r="J133" s="1273" t="s">
        <v>157</v>
      </c>
      <c r="S133" s="1245"/>
      <c r="T133" s="1245"/>
      <c r="U133" s="1174"/>
      <c r="V133" s="1174"/>
    </row>
    <row r="134" spans="1:22" ht="15.75" hidden="1" outlineLevel="2" x14ac:dyDescent="0.25">
      <c r="A134" s="1174"/>
      <c r="E134" s="1275">
        <f>+E115</f>
        <v>250</v>
      </c>
      <c r="F134" s="1275">
        <f>+F115</f>
        <v>45</v>
      </c>
      <c r="G134" s="1275">
        <f>+G115</f>
        <v>10</v>
      </c>
      <c r="H134" s="1275">
        <f>+H115</f>
        <v>144</v>
      </c>
      <c r="I134" s="1275">
        <f>+I115</f>
        <v>51</v>
      </c>
      <c r="J134" s="1276">
        <f>SUM(E134:I134)</f>
        <v>500</v>
      </c>
      <c r="S134" s="1245"/>
      <c r="T134" s="1245"/>
      <c r="U134" s="1174"/>
      <c r="V134" s="1174"/>
    </row>
    <row r="135" spans="1:22" ht="15.75" hidden="1" outlineLevel="2" x14ac:dyDescent="0.25">
      <c r="A135" s="1174"/>
      <c r="D135" s="1277" t="s">
        <v>1190</v>
      </c>
      <c r="E135" s="1278">
        <f>+E134/$J134</f>
        <v>0.5</v>
      </c>
      <c r="F135" s="1278">
        <f t="shared" ref="F135:J135" si="12">+F134/$J134</f>
        <v>0.09</v>
      </c>
      <c r="G135" s="1278">
        <f t="shared" si="12"/>
        <v>0.02</v>
      </c>
      <c r="H135" s="1278">
        <f t="shared" si="12"/>
        <v>0.28799999999999998</v>
      </c>
      <c r="I135" s="1278">
        <f t="shared" si="12"/>
        <v>0.10199999999999999</v>
      </c>
      <c r="J135" s="1278">
        <f t="shared" si="12"/>
        <v>1</v>
      </c>
      <c r="S135" s="1245"/>
      <c r="T135" s="1245"/>
      <c r="U135" s="1174"/>
      <c r="V135" s="1174"/>
    </row>
    <row r="136" spans="1:22" ht="15.75" hidden="1" outlineLevel="2" x14ac:dyDescent="0.25">
      <c r="A136" s="1174"/>
      <c r="D136" s="1277" t="s">
        <v>1191</v>
      </c>
      <c r="E136" s="1280">
        <v>0</v>
      </c>
      <c r="F136" s="1280">
        <f>E77</f>
        <v>0.33</v>
      </c>
      <c r="G136" s="1280">
        <f>E78</f>
        <v>0.23</v>
      </c>
      <c r="H136" s="1280">
        <f>E79</f>
        <v>0.03</v>
      </c>
      <c r="I136" s="1280">
        <f>E80</f>
        <v>0.12</v>
      </c>
      <c r="J136" s="1270"/>
      <c r="S136" s="1245"/>
      <c r="T136" s="1245"/>
      <c r="U136" s="1174"/>
      <c r="V136" s="1174"/>
    </row>
    <row r="137" spans="1:22" ht="15.75" hidden="1" outlineLevel="1" collapsed="1" x14ac:dyDescent="0.25">
      <c r="A137" s="1174"/>
      <c r="D137" s="1277"/>
      <c r="E137" s="1281"/>
      <c r="F137" s="1281"/>
      <c r="G137" s="1281"/>
      <c r="H137" s="1281"/>
      <c r="I137" s="1281"/>
      <c r="J137" s="1270"/>
      <c r="S137" s="1245"/>
      <c r="T137" s="1245"/>
      <c r="U137" s="1174"/>
      <c r="V137" s="1174"/>
    </row>
    <row r="138" spans="1:22" ht="18.75" hidden="1" outlineLevel="1" x14ac:dyDescent="0.3">
      <c r="A138" s="1174"/>
      <c r="B138" t="s">
        <v>1203</v>
      </c>
      <c r="C138" s="1310" t="str">
        <f>+E48</f>
        <v>SYE 25</v>
      </c>
      <c r="D138" s="1277"/>
      <c r="E138" s="1281"/>
      <c r="F138" s="1281"/>
      <c r="G138" s="1281"/>
      <c r="H138" s="1281"/>
      <c r="I138" s="1281"/>
      <c r="J138" s="1270"/>
      <c r="S138" s="1245"/>
      <c r="T138" s="1245"/>
      <c r="U138" s="1174"/>
      <c r="V138" s="1174"/>
    </row>
    <row r="139" spans="1:22" ht="15.75" hidden="1" outlineLevel="1" x14ac:dyDescent="0.25">
      <c r="A139" s="1174"/>
      <c r="D139" s="1277"/>
      <c r="E139" s="1281"/>
      <c r="F139" s="1281"/>
      <c r="G139" s="1281"/>
      <c r="H139" s="1281"/>
      <c r="I139" s="1281"/>
      <c r="J139" s="1270"/>
      <c r="S139" s="1245"/>
      <c r="T139" s="1245"/>
      <c r="U139" s="1174"/>
      <c r="V139" s="1174"/>
    </row>
    <row r="140" spans="1:22" ht="15.75" hidden="1" outlineLevel="1" x14ac:dyDescent="0.25">
      <c r="A140" s="1174"/>
      <c r="B140" s="16" t="s">
        <v>1192</v>
      </c>
      <c r="E140" s="1281"/>
      <c r="F140" s="1281"/>
      <c r="G140" s="1281"/>
      <c r="H140" s="1281"/>
      <c r="I140" s="1281"/>
      <c r="J140" s="1270"/>
      <c r="S140" s="1245"/>
      <c r="T140" s="1245"/>
      <c r="U140" s="1174"/>
      <c r="V140" s="1174"/>
    </row>
    <row r="141" spans="1:22" ht="15.75" hidden="1" outlineLevel="1" x14ac:dyDescent="0.25">
      <c r="A141" s="1174"/>
      <c r="C141" s="1283" t="s">
        <v>1194</v>
      </c>
      <c r="D141" s="16"/>
      <c r="E141" s="1282" t="s">
        <v>1204</v>
      </c>
      <c r="F141" s="1282"/>
      <c r="G141" s="1282"/>
      <c r="H141" s="1282"/>
      <c r="I141" s="1282"/>
      <c r="J141" s="1256" t="s">
        <v>157</v>
      </c>
      <c r="S141" s="1245"/>
      <c r="T141" s="1245"/>
      <c r="U141" s="1174"/>
      <c r="V141" s="1174"/>
    </row>
    <row r="142" spans="1:22" ht="15.75" hidden="1" outlineLevel="1" x14ac:dyDescent="0.25">
      <c r="A142" s="1174"/>
      <c r="B142" s="1311" t="s">
        <v>1196</v>
      </c>
      <c r="C142" s="1273" t="s">
        <v>1197</v>
      </c>
      <c r="D142" s="1273" t="str">
        <f t="shared" ref="D142:D149" si="13">+E66</f>
        <v>SYE 23</v>
      </c>
      <c r="E142" s="1284">
        <f>+J134</f>
        <v>500</v>
      </c>
      <c r="F142" s="1285" t="s">
        <v>1199</v>
      </c>
      <c r="G142" s="1282"/>
      <c r="H142" s="1282"/>
      <c r="I142" s="1282"/>
      <c r="J142" s="1254" t="s">
        <v>1195</v>
      </c>
      <c r="S142" s="1245"/>
      <c r="T142" s="1245"/>
      <c r="U142" s="1174"/>
      <c r="V142" s="1174"/>
    </row>
    <row r="143" spans="1:22" ht="15.75" hidden="1" outlineLevel="1" x14ac:dyDescent="0.25">
      <c r="A143" s="1174">
        <v>1</v>
      </c>
      <c r="B143" s="1203" t="str">
        <f>$B67</f>
        <v xml:space="preserve">Carson City </v>
      </c>
      <c r="C143" s="1286"/>
      <c r="D143" s="1312">
        <f t="shared" si="13"/>
        <v>7594</v>
      </c>
      <c r="E143" s="1313">
        <f t="shared" ref="E143:E150" si="14">IF($C143="y",$J$134*$D143,0)</f>
        <v>0</v>
      </c>
      <c r="F143" s="1313">
        <f t="shared" ref="F143:I150" si="15">IF($C143="y",F$134*F$136*$D143,0)</f>
        <v>0</v>
      </c>
      <c r="G143" s="1313">
        <f t="shared" si="15"/>
        <v>0</v>
      </c>
      <c r="H143" s="1313">
        <f t="shared" si="15"/>
        <v>0</v>
      </c>
      <c r="I143" s="1314">
        <f t="shared" si="15"/>
        <v>0</v>
      </c>
      <c r="J143" s="1315">
        <f t="shared" ref="J143:J151" si="16">SUM(E143:I143)</f>
        <v>0</v>
      </c>
      <c r="S143" s="1245"/>
      <c r="T143" s="1245"/>
      <c r="U143" s="1174"/>
      <c r="V143" s="1174"/>
    </row>
    <row r="144" spans="1:22" ht="15.75" hidden="1" outlineLevel="1" x14ac:dyDescent="0.25">
      <c r="A144" s="1174">
        <f>1+A143</f>
        <v>2</v>
      </c>
      <c r="B144" s="1316" t="str">
        <f>$B68</f>
        <v>Churchill</v>
      </c>
      <c r="C144" s="1290"/>
      <c r="D144" s="1317">
        <f t="shared" si="13"/>
        <v>8197</v>
      </c>
      <c r="E144" s="1318">
        <f t="shared" si="14"/>
        <v>0</v>
      </c>
      <c r="F144" s="1318">
        <f t="shared" si="15"/>
        <v>0</v>
      </c>
      <c r="G144" s="1318">
        <f t="shared" si="15"/>
        <v>0</v>
      </c>
      <c r="H144" s="1318">
        <f t="shared" si="15"/>
        <v>0</v>
      </c>
      <c r="I144" s="1319">
        <f t="shared" si="15"/>
        <v>0</v>
      </c>
      <c r="J144" s="1289">
        <f t="shared" si="16"/>
        <v>0</v>
      </c>
      <c r="S144" s="1245"/>
      <c r="T144" s="1245"/>
      <c r="U144" s="1174"/>
      <c r="V144" s="1174"/>
    </row>
    <row r="145" spans="1:22" ht="15.75" hidden="1" outlineLevel="1" x14ac:dyDescent="0.25">
      <c r="A145" s="1174">
        <f t="shared" ref="A145:A146" si="17">1+A144</f>
        <v>3</v>
      </c>
      <c r="B145" s="1316" t="str">
        <f>$B69</f>
        <v>Clark</v>
      </c>
      <c r="C145" s="1290"/>
      <c r="D145" s="1317">
        <f t="shared" si="13"/>
        <v>7293</v>
      </c>
      <c r="E145" s="1318">
        <f t="shared" si="14"/>
        <v>0</v>
      </c>
      <c r="F145" s="1318">
        <f t="shared" si="15"/>
        <v>0</v>
      </c>
      <c r="G145" s="1318">
        <f t="shared" si="15"/>
        <v>0</v>
      </c>
      <c r="H145" s="1318">
        <f t="shared" si="15"/>
        <v>0</v>
      </c>
      <c r="I145" s="1319">
        <f t="shared" si="15"/>
        <v>0</v>
      </c>
      <c r="J145" s="1289">
        <f t="shared" si="16"/>
        <v>0</v>
      </c>
      <c r="S145" s="1245"/>
      <c r="T145" s="1245"/>
      <c r="U145" s="1174"/>
      <c r="V145" s="1174"/>
    </row>
    <row r="146" spans="1:22" ht="15.75" hidden="1" outlineLevel="1" x14ac:dyDescent="0.25">
      <c r="A146" s="1174">
        <f t="shared" si="17"/>
        <v>4</v>
      </c>
      <c r="B146" s="1316" t="str">
        <f>$B70</f>
        <v>Elko</v>
      </c>
      <c r="C146" s="1290"/>
      <c r="D146" s="1317">
        <f t="shared" si="13"/>
        <v>7818</v>
      </c>
      <c r="E146" s="1320">
        <f t="shared" si="14"/>
        <v>0</v>
      </c>
      <c r="F146" s="1320">
        <f t="shared" si="15"/>
        <v>0</v>
      </c>
      <c r="G146" s="1320">
        <f t="shared" si="15"/>
        <v>0</v>
      </c>
      <c r="H146" s="1320">
        <f t="shared" si="15"/>
        <v>0</v>
      </c>
      <c r="I146" s="1321">
        <f t="shared" si="15"/>
        <v>0</v>
      </c>
      <c r="J146" s="1289">
        <f t="shared" si="16"/>
        <v>0</v>
      </c>
      <c r="S146" s="1245"/>
      <c r="T146" s="1245"/>
      <c r="U146" s="1174"/>
      <c r="V146" s="1174"/>
    </row>
    <row r="147" spans="1:22" ht="15.75" hidden="1" outlineLevel="1" x14ac:dyDescent="0.25">
      <c r="A147" s="1174">
        <f>1+A146</f>
        <v>5</v>
      </c>
      <c r="B147" s="1316" t="s">
        <v>1110</v>
      </c>
      <c r="C147" s="1290"/>
      <c r="D147" s="1317">
        <f t="shared" si="13"/>
        <v>8881</v>
      </c>
      <c r="E147" s="1320"/>
      <c r="F147" s="1320"/>
      <c r="G147" s="1320"/>
      <c r="H147" s="1320"/>
      <c r="I147" s="1321"/>
      <c r="J147" s="1289"/>
      <c r="S147" s="1245"/>
      <c r="T147" s="1245"/>
      <c r="U147" s="1174"/>
      <c r="V147" s="1174"/>
    </row>
    <row r="148" spans="1:22" ht="15.75" hidden="1" outlineLevel="1" x14ac:dyDescent="0.25">
      <c r="A148" s="1174">
        <f>1+A147</f>
        <v>6</v>
      </c>
      <c r="B148" s="1316" t="str">
        <f>$B72</f>
        <v>Washoe</v>
      </c>
      <c r="C148" s="1290"/>
      <c r="D148" s="1317">
        <f t="shared" si="13"/>
        <v>7074</v>
      </c>
      <c r="E148" s="1320">
        <f t="shared" si="14"/>
        <v>0</v>
      </c>
      <c r="F148" s="1320">
        <f t="shared" si="15"/>
        <v>0</v>
      </c>
      <c r="G148" s="1320">
        <f t="shared" si="15"/>
        <v>0</v>
      </c>
      <c r="H148" s="1320">
        <f t="shared" si="15"/>
        <v>0</v>
      </c>
      <c r="I148" s="1321">
        <f t="shared" si="15"/>
        <v>0</v>
      </c>
      <c r="J148" s="1289">
        <f t="shared" si="16"/>
        <v>0</v>
      </c>
      <c r="S148" s="1245"/>
      <c r="T148" s="1245"/>
      <c r="U148" s="1174"/>
      <c r="V148" s="1174"/>
    </row>
    <row r="149" spans="1:22" ht="15.75" hidden="1" outlineLevel="1" x14ac:dyDescent="0.25">
      <c r="A149" s="1174">
        <f>1+A148</f>
        <v>7</v>
      </c>
      <c r="B149" s="1203" t="str">
        <f>$B73</f>
        <v>White Pine</v>
      </c>
      <c r="C149" s="1286"/>
      <c r="D149" s="1312">
        <f t="shared" si="13"/>
        <v>10501</v>
      </c>
      <c r="E149" s="1322">
        <f t="shared" si="14"/>
        <v>0</v>
      </c>
      <c r="F149" s="1322">
        <f t="shared" si="15"/>
        <v>0</v>
      </c>
      <c r="G149" s="1322">
        <f t="shared" si="15"/>
        <v>0</v>
      </c>
      <c r="H149" s="1322">
        <f t="shared" si="15"/>
        <v>0</v>
      </c>
      <c r="I149" s="1323">
        <f t="shared" si="15"/>
        <v>0</v>
      </c>
      <c r="J149" s="1297">
        <f t="shared" si="16"/>
        <v>0</v>
      </c>
      <c r="S149" s="1245"/>
      <c r="T149" s="1245"/>
      <c r="U149" s="1174"/>
      <c r="V149" s="1174"/>
    </row>
    <row r="150" spans="1:22" ht="15.75" hidden="1" outlineLevel="1" x14ac:dyDescent="0.25">
      <c r="A150" s="1174"/>
      <c r="B150" s="1298" t="s">
        <v>1201</v>
      </c>
      <c r="C150" s="1299" t="s">
        <v>1200</v>
      </c>
      <c r="D150" s="1324">
        <f>+E50</f>
        <v>9414</v>
      </c>
      <c r="E150" s="1301">
        <f t="shared" si="14"/>
        <v>4707000</v>
      </c>
      <c r="F150" s="1301">
        <f t="shared" si="15"/>
        <v>139797.90000000002</v>
      </c>
      <c r="G150" s="1301">
        <f t="shared" si="15"/>
        <v>21652.2</v>
      </c>
      <c r="H150" s="1301">
        <f t="shared" si="15"/>
        <v>40668.480000000003</v>
      </c>
      <c r="I150" s="1302">
        <f t="shared" si="15"/>
        <v>57613.68</v>
      </c>
      <c r="J150" s="1303">
        <f t="shared" si="16"/>
        <v>4966732.2600000007</v>
      </c>
      <c r="K150" t="s">
        <v>1202</v>
      </c>
      <c r="S150" s="1245"/>
      <c r="T150" s="1245"/>
      <c r="U150" s="1174"/>
      <c r="V150" s="1174"/>
    </row>
    <row r="151" spans="1:22" ht="15.75" hidden="1" outlineLevel="1" x14ac:dyDescent="0.25">
      <c r="A151" s="1174"/>
      <c r="B151" t="s">
        <v>1205</v>
      </c>
      <c r="C151" s="1304"/>
      <c r="D151" s="1224">
        <v>7074</v>
      </c>
      <c r="E151" s="1305">
        <f>SUM(E143:E150)</f>
        <v>4707000</v>
      </c>
      <c r="F151" s="1305">
        <f>SUM(F143:F150)</f>
        <v>139797.90000000002</v>
      </c>
      <c r="G151" s="1305">
        <f>SUM(G143:G150)</f>
        <v>21652.2</v>
      </c>
      <c r="H151" s="1305">
        <f>SUM(H143:H150)</f>
        <v>40668.480000000003</v>
      </c>
      <c r="I151" s="1305">
        <f>SUM(I143:I150)</f>
        <v>57613.68</v>
      </c>
      <c r="J151" s="1306">
        <f t="shared" si="16"/>
        <v>4966732.2600000007</v>
      </c>
      <c r="S151" s="1245"/>
      <c r="T151" s="1245"/>
      <c r="U151" s="1174"/>
      <c r="V151" s="1174"/>
    </row>
    <row r="152" spans="1:22" ht="15.75" hidden="1" outlineLevel="1" x14ac:dyDescent="0.25">
      <c r="A152" s="1174"/>
      <c r="B152" t="s">
        <v>1206</v>
      </c>
      <c r="D152" s="1325">
        <f>+D153</f>
        <v>7074</v>
      </c>
      <c r="E152" s="1270"/>
      <c r="F152" s="1270"/>
      <c r="G152" s="1270"/>
      <c r="H152" s="1270"/>
      <c r="S152" s="1245"/>
      <c r="T152" s="1245"/>
      <c r="U152" s="1174"/>
      <c r="V152" s="1174"/>
    </row>
    <row r="153" spans="1:22" ht="15.75" hidden="1" outlineLevel="1" x14ac:dyDescent="0.25">
      <c r="A153" s="1174"/>
      <c r="D153" s="1326">
        <f>+D151*D46</f>
        <v>7074</v>
      </c>
      <c r="E153" s="1270"/>
      <c r="F153" s="1270"/>
      <c r="G153" s="1270"/>
      <c r="H153" s="1270"/>
      <c r="S153" s="1245"/>
      <c r="T153" s="1245"/>
      <c r="U153" s="1174"/>
      <c r="V153" s="1174"/>
    </row>
    <row r="154" spans="1:22" ht="15.75" hidden="1" outlineLevel="1" x14ac:dyDescent="0.25">
      <c r="A154" s="1174"/>
      <c r="D154" s="1326"/>
      <c r="E154" s="1270"/>
      <c r="F154" s="1270"/>
      <c r="G154" s="1270"/>
      <c r="H154" s="1270"/>
      <c r="S154" s="1245"/>
      <c r="T154" s="1245"/>
      <c r="U154" s="1174"/>
      <c r="V154" s="1174"/>
    </row>
    <row r="155" spans="1:22" ht="31.5" hidden="1" outlineLevel="1" x14ac:dyDescent="0.25">
      <c r="A155" s="1174"/>
      <c r="E155" s="1327" t="s">
        <v>1207</v>
      </c>
      <c r="F155" s="1327" t="s">
        <v>1208</v>
      </c>
      <c r="G155" s="1327" t="s">
        <v>1209</v>
      </c>
      <c r="H155" s="1270"/>
      <c r="S155" s="1245"/>
      <c r="T155" s="1245"/>
      <c r="U155" s="1174"/>
      <c r="V155" s="1174"/>
    </row>
    <row r="156" spans="1:22" ht="31.5" hidden="1" outlineLevel="1" x14ac:dyDescent="0.25">
      <c r="A156" s="1174"/>
      <c r="D156" s="1240"/>
      <c r="E156" s="1327" t="s">
        <v>380</v>
      </c>
      <c r="F156" s="1327" t="s">
        <v>1210</v>
      </c>
      <c r="G156" s="1327" t="s">
        <v>1211</v>
      </c>
      <c r="H156" s="1241"/>
      <c r="S156" s="1245"/>
      <c r="T156" s="1245"/>
      <c r="U156" s="1174"/>
      <c r="V156" s="1174"/>
    </row>
    <row r="157" spans="1:22" ht="63" hidden="1" outlineLevel="1" x14ac:dyDescent="0.25">
      <c r="A157" s="1174"/>
      <c r="E157" s="1327" t="s">
        <v>161</v>
      </c>
      <c r="F157" s="1327" t="s">
        <v>1212</v>
      </c>
      <c r="G157" s="1327" t="s">
        <v>1213</v>
      </c>
      <c r="S157" s="1245"/>
      <c r="T157" s="1245"/>
      <c r="U157" s="1174"/>
      <c r="V157" s="1174"/>
    </row>
    <row r="158" spans="1:22" ht="31.5" hidden="1" outlineLevel="1" x14ac:dyDescent="0.25">
      <c r="A158" s="1174"/>
      <c r="E158" s="1327" t="s">
        <v>384</v>
      </c>
      <c r="F158" s="1327" t="s">
        <v>1214</v>
      </c>
      <c r="G158" s="1327" t="s">
        <v>1213</v>
      </c>
      <c r="S158" s="1245"/>
      <c r="T158" s="1245"/>
      <c r="U158" s="1174"/>
      <c r="V158" s="1174"/>
    </row>
    <row r="159" spans="1:22" ht="47.25" hidden="1" outlineLevel="1" x14ac:dyDescent="0.25">
      <c r="A159" s="1174"/>
      <c r="E159" s="1327" t="s">
        <v>1215</v>
      </c>
      <c r="F159" s="1327" t="s">
        <v>1216</v>
      </c>
      <c r="G159" s="1327" t="s">
        <v>1217</v>
      </c>
      <c r="J159" s="1244"/>
      <c r="S159" s="1245"/>
      <c r="T159" s="1245"/>
      <c r="U159" s="1174"/>
      <c r="V159" s="1174"/>
    </row>
    <row r="160" spans="1:22" ht="15.75" hidden="1" outlineLevel="2" x14ac:dyDescent="0.25">
      <c r="A160" s="1174"/>
      <c r="B160" s="1328" t="s">
        <v>1218</v>
      </c>
      <c r="C160" s="1328"/>
      <c r="D160" s="1328"/>
      <c r="E160" s="1329"/>
      <c r="F160" s="1330"/>
      <c r="G160" s="1328"/>
      <c r="H160" s="1330"/>
      <c r="I160" s="1330"/>
      <c r="J160" s="1331"/>
      <c r="S160" s="1245"/>
      <c r="T160" s="1245"/>
      <c r="U160" s="1174"/>
      <c r="V160" s="1174"/>
    </row>
    <row r="161" spans="1:22" ht="15.75" hidden="1" outlineLevel="2" x14ac:dyDescent="0.25">
      <c r="A161" s="1174"/>
      <c r="B161" s="1332" t="s">
        <v>1196</v>
      </c>
      <c r="C161" s="1332"/>
      <c r="D161" s="1332"/>
      <c r="E161" s="1209"/>
      <c r="F161" s="1209"/>
      <c r="G161" s="1332"/>
      <c r="H161" s="1209"/>
      <c r="I161" s="1209"/>
      <c r="J161" s="1333"/>
      <c r="S161" s="1245"/>
      <c r="T161" s="1245"/>
      <c r="U161" s="1174"/>
      <c r="V161" s="1174"/>
    </row>
    <row r="162" spans="1:22" ht="15.75" hidden="1" outlineLevel="2" x14ac:dyDescent="0.25">
      <c r="A162" s="1174"/>
      <c r="B162" s="1311"/>
      <c r="C162" s="1311"/>
      <c r="D162" s="1311"/>
      <c r="E162" s="1311" t="s">
        <v>1219</v>
      </c>
      <c r="F162" s="49"/>
      <c r="G162" s="1311"/>
      <c r="H162" s="49"/>
      <c r="I162" s="49"/>
      <c r="J162" s="1334"/>
      <c r="S162" s="1245"/>
      <c r="T162" s="1245"/>
      <c r="U162" s="1174"/>
      <c r="V162" s="1174"/>
    </row>
    <row r="163" spans="1:22" ht="15.75" hidden="1" outlineLevel="2" x14ac:dyDescent="0.25">
      <c r="A163" s="1174"/>
      <c r="B163" s="1179"/>
      <c r="C163" s="1179"/>
      <c r="D163" s="1179"/>
      <c r="E163" s="1179" t="s">
        <v>570</v>
      </c>
      <c r="F163" s="1179" t="s">
        <v>1186</v>
      </c>
      <c r="G163" s="1179" t="s">
        <v>1187</v>
      </c>
      <c r="H163" s="1179" t="s">
        <v>1176</v>
      </c>
      <c r="I163" s="1179" t="s">
        <v>1188</v>
      </c>
      <c r="J163" s="1179" t="s">
        <v>157</v>
      </c>
      <c r="S163" s="1245"/>
      <c r="T163" s="1245"/>
      <c r="U163" s="1174"/>
      <c r="V163" s="1174"/>
    </row>
    <row r="164" spans="1:22" ht="15.75" hidden="1" outlineLevel="2" x14ac:dyDescent="0.25">
      <c r="A164" s="1174">
        <v>1</v>
      </c>
      <c r="B164" t="str">
        <f>+B$67</f>
        <v xml:space="preserve">Carson City </v>
      </c>
      <c r="E164" s="1335">
        <v>10</v>
      </c>
      <c r="F164" s="1335">
        <v>4</v>
      </c>
      <c r="G164" s="1335">
        <v>5</v>
      </c>
      <c r="H164" s="1335">
        <v>5</v>
      </c>
      <c r="I164" s="1335">
        <v>1</v>
      </c>
      <c r="J164" s="1336">
        <f t="shared" ref="J164:J170" si="18">SUM(E164:I164)</f>
        <v>25</v>
      </c>
      <c r="S164" s="1245"/>
      <c r="T164" s="1245"/>
      <c r="U164" s="1174"/>
      <c r="V164" s="1174"/>
    </row>
    <row r="165" spans="1:22" ht="15.75" hidden="1" outlineLevel="2" x14ac:dyDescent="0.25">
      <c r="A165" s="1174">
        <f>1+A164</f>
        <v>2</v>
      </c>
      <c r="B165" t="str">
        <f>+$B$68</f>
        <v>Churchill</v>
      </c>
      <c r="E165" s="1335">
        <v>10</v>
      </c>
      <c r="F165" s="1335">
        <v>4</v>
      </c>
      <c r="G165" s="1335">
        <v>5</v>
      </c>
      <c r="H165" s="1335">
        <v>5</v>
      </c>
      <c r="I165" s="1335">
        <v>1</v>
      </c>
      <c r="J165" s="1337">
        <f t="shared" si="18"/>
        <v>25</v>
      </c>
      <c r="S165" s="1245"/>
      <c r="T165" s="1245"/>
      <c r="U165" s="1174"/>
      <c r="V165" s="1174"/>
    </row>
    <row r="166" spans="1:22" ht="15.75" hidden="1" outlineLevel="2" x14ac:dyDescent="0.25">
      <c r="A166" s="1174">
        <f t="shared" ref="A166:A169" si="19">1+A165</f>
        <v>3</v>
      </c>
      <c r="B166" t="str">
        <f>+$B$69</f>
        <v>Clark</v>
      </c>
      <c r="E166" s="1335">
        <v>10</v>
      </c>
      <c r="F166" s="1335">
        <v>4</v>
      </c>
      <c r="G166" s="1335">
        <v>5</v>
      </c>
      <c r="H166" s="1335">
        <v>5</v>
      </c>
      <c r="I166" s="1335">
        <v>1</v>
      </c>
      <c r="J166" s="1337">
        <f t="shared" si="18"/>
        <v>25</v>
      </c>
      <c r="S166" s="1245"/>
      <c r="T166" s="1245"/>
      <c r="U166" s="1174"/>
      <c r="V166" s="1174"/>
    </row>
    <row r="167" spans="1:22" ht="15.75" hidden="1" outlineLevel="2" x14ac:dyDescent="0.25">
      <c r="A167" s="1174">
        <f t="shared" si="19"/>
        <v>4</v>
      </c>
      <c r="B167" t="str">
        <f>+$B$70</f>
        <v>Elko</v>
      </c>
      <c r="E167" s="1335">
        <v>10</v>
      </c>
      <c r="F167" s="1335">
        <v>4</v>
      </c>
      <c r="G167" s="1335">
        <v>5</v>
      </c>
      <c r="H167" s="1335">
        <v>5</v>
      </c>
      <c r="I167" s="1335">
        <v>1</v>
      </c>
      <c r="J167" s="1337">
        <f t="shared" si="18"/>
        <v>25</v>
      </c>
      <c r="S167" s="1245"/>
      <c r="T167" s="1245"/>
      <c r="U167" s="1174"/>
      <c r="V167" s="1174"/>
    </row>
    <row r="168" spans="1:22" ht="15.75" hidden="1" outlineLevel="2" x14ac:dyDescent="0.25">
      <c r="A168" s="1174">
        <f t="shared" si="19"/>
        <v>5</v>
      </c>
      <c r="B168" t="str">
        <f>+$B$72</f>
        <v>Washoe</v>
      </c>
      <c r="E168" s="1338">
        <v>10</v>
      </c>
      <c r="F168" s="1338">
        <v>4</v>
      </c>
      <c r="G168" s="1338">
        <v>5</v>
      </c>
      <c r="H168" s="1338">
        <v>5</v>
      </c>
      <c r="I168" s="1338">
        <v>1</v>
      </c>
      <c r="J168" s="1337">
        <f t="shared" si="18"/>
        <v>25</v>
      </c>
      <c r="S168" s="1245"/>
      <c r="T168" s="1245"/>
      <c r="U168" s="1174"/>
      <c r="V168" s="1174"/>
    </row>
    <row r="169" spans="1:22" ht="15.75" hidden="1" outlineLevel="2" x14ac:dyDescent="0.25">
      <c r="A169" s="1174">
        <f t="shared" si="19"/>
        <v>6</v>
      </c>
      <c r="B169" t="str">
        <f>+$B$73</f>
        <v>White Pine</v>
      </c>
      <c r="E169" s="1338">
        <v>10</v>
      </c>
      <c r="F169" s="1338">
        <v>4</v>
      </c>
      <c r="G169" s="1338">
        <v>5</v>
      </c>
      <c r="H169" s="1338">
        <v>5</v>
      </c>
      <c r="I169" s="1338">
        <v>1</v>
      </c>
      <c r="J169" s="1339">
        <f t="shared" si="18"/>
        <v>25</v>
      </c>
      <c r="S169" s="1245"/>
      <c r="T169" s="1245"/>
      <c r="U169" s="1174"/>
      <c r="V169" s="1174"/>
    </row>
    <row r="170" spans="1:22" ht="15.75" hidden="1" outlineLevel="2" x14ac:dyDescent="0.25">
      <c r="A170" s="1174"/>
      <c r="B170" s="1340" t="s">
        <v>157</v>
      </c>
      <c r="C170" s="1340"/>
      <c r="D170" s="1340"/>
      <c r="E170" s="1341">
        <f>SUM(E164:E169)</f>
        <v>60</v>
      </c>
      <c r="F170" s="1341">
        <f>SUM(F164:F169)</f>
        <v>24</v>
      </c>
      <c r="G170" s="1341">
        <f t="shared" ref="G170:I170" si="20">SUM(G164:G169)</f>
        <v>30</v>
      </c>
      <c r="H170" s="1341">
        <f t="shared" si="20"/>
        <v>30</v>
      </c>
      <c r="I170" s="1341">
        <f t="shared" si="20"/>
        <v>6</v>
      </c>
      <c r="J170" s="1341">
        <f t="shared" si="18"/>
        <v>150</v>
      </c>
      <c r="P170" s="1244"/>
      <c r="Q170" s="1245"/>
      <c r="R170" s="1245"/>
      <c r="S170" s="1245"/>
      <c r="T170" s="1245"/>
      <c r="U170" s="1174"/>
      <c r="V170" s="1174"/>
    </row>
    <row r="171" spans="1:22" ht="15.75" hidden="1" outlineLevel="2" x14ac:dyDescent="0.25">
      <c r="A171" s="1174"/>
      <c r="J171" s="1342"/>
      <c r="O171" s="1243"/>
      <c r="P171" s="1244"/>
      <c r="Q171" s="1245"/>
      <c r="R171" s="1245"/>
      <c r="S171" s="1245"/>
      <c r="T171" s="1245"/>
      <c r="U171" s="1174"/>
      <c r="V171" s="1174"/>
    </row>
    <row r="172" spans="1:22" ht="15.75" hidden="1" outlineLevel="2" x14ac:dyDescent="0.25">
      <c r="A172" s="1174"/>
      <c r="E172" s="1311" t="s">
        <v>1220</v>
      </c>
      <c r="F172" s="49"/>
      <c r="G172" s="1311"/>
      <c r="H172" s="1311"/>
      <c r="I172" s="1311"/>
      <c r="J172" s="49"/>
      <c r="O172" s="1243"/>
      <c r="P172" s="1244"/>
      <c r="Q172" s="1245"/>
      <c r="R172" s="1245"/>
      <c r="S172" s="1245"/>
      <c r="T172" s="1245"/>
      <c r="U172" s="1174"/>
      <c r="V172" s="1174"/>
    </row>
    <row r="173" spans="1:22" ht="15.75" hidden="1" outlineLevel="2" x14ac:dyDescent="0.25">
      <c r="A173" s="1174"/>
      <c r="E173" s="1179" t="s">
        <v>570</v>
      </c>
      <c r="F173" s="1179" t="s">
        <v>1186</v>
      </c>
      <c r="G173" s="1179" t="s">
        <v>1187</v>
      </c>
      <c r="H173" s="1179" t="s">
        <v>1176</v>
      </c>
      <c r="I173" s="1179" t="s">
        <v>1188</v>
      </c>
      <c r="J173" s="1343"/>
      <c r="O173" s="1243"/>
      <c r="P173" s="1244"/>
      <c r="Q173" s="1245"/>
      <c r="R173" s="1245"/>
      <c r="S173" s="1245"/>
      <c r="T173" s="1245"/>
      <c r="U173" s="1174"/>
      <c r="V173" s="1174"/>
    </row>
    <row r="174" spans="1:22" ht="15.75" hidden="1" outlineLevel="2" x14ac:dyDescent="0.25">
      <c r="A174" s="1174"/>
      <c r="B174" s="1179" t="s">
        <v>1221</v>
      </c>
      <c r="C174" s="1179"/>
      <c r="D174" s="1179"/>
      <c r="E174" s="1344">
        <v>0</v>
      </c>
      <c r="F174" s="1345">
        <f>+D77</f>
        <v>0.38284007225232736</v>
      </c>
      <c r="G174" s="1345">
        <f>+D78</f>
        <v>0.24</v>
      </c>
      <c r="H174" s="1345">
        <f>+D79</f>
        <v>0.03</v>
      </c>
      <c r="I174" s="1345">
        <f>+D80</f>
        <v>0.12</v>
      </c>
      <c r="J174" s="1179" t="s">
        <v>157</v>
      </c>
      <c r="P174" s="1244"/>
      <c r="Q174" s="1245"/>
      <c r="R174" s="1245"/>
      <c r="S174" s="1245"/>
      <c r="T174" s="1245"/>
      <c r="U174" s="1174"/>
      <c r="V174" s="1174"/>
    </row>
    <row r="175" spans="1:22" ht="15.75" hidden="1" outlineLevel="2" x14ac:dyDescent="0.25">
      <c r="A175" s="1174">
        <v>1</v>
      </c>
      <c r="B175" t="str">
        <f>+B$67</f>
        <v xml:space="preserve">Carson City </v>
      </c>
      <c r="E175" s="1346"/>
      <c r="F175" s="1347">
        <v>4</v>
      </c>
      <c r="G175" s="1347">
        <v>2</v>
      </c>
      <c r="H175" s="1347">
        <v>3</v>
      </c>
      <c r="I175" s="1347">
        <v>1</v>
      </c>
      <c r="J175" s="1336">
        <f t="shared" ref="J175:J181" si="21">SUM(E175:I175)</f>
        <v>10</v>
      </c>
      <c r="P175" s="1244"/>
      <c r="Q175" s="1245"/>
      <c r="R175" s="1245"/>
      <c r="S175" s="1245"/>
      <c r="T175" s="1245"/>
      <c r="U175" s="1174"/>
      <c r="V175" s="1174"/>
    </row>
    <row r="176" spans="1:22" ht="15.75" hidden="1" outlineLevel="2" x14ac:dyDescent="0.25">
      <c r="A176" s="1174">
        <f>1+A175</f>
        <v>2</v>
      </c>
      <c r="B176" t="str">
        <f>+$B$68</f>
        <v>Churchill</v>
      </c>
      <c r="E176" s="1346"/>
      <c r="F176" s="1348">
        <v>4</v>
      </c>
      <c r="G176" s="1348">
        <v>2</v>
      </c>
      <c r="H176" s="1348">
        <v>3</v>
      </c>
      <c r="I176" s="1348">
        <v>1</v>
      </c>
      <c r="J176" s="1337">
        <f t="shared" si="21"/>
        <v>10</v>
      </c>
      <c r="P176" s="1244"/>
      <c r="Q176" s="1245"/>
      <c r="R176" s="1245"/>
      <c r="S176" s="1245"/>
      <c r="T176" s="1245"/>
      <c r="U176" s="1174"/>
      <c r="V176" s="1174"/>
    </row>
    <row r="177" spans="1:22" ht="15.75" hidden="1" outlineLevel="2" x14ac:dyDescent="0.25">
      <c r="A177" s="1174">
        <f t="shared" ref="A177:A180" si="22">1+A176</f>
        <v>3</v>
      </c>
      <c r="B177" t="str">
        <f>+$B$69</f>
        <v>Clark</v>
      </c>
      <c r="E177" s="1346"/>
      <c r="F177" s="1348">
        <v>4</v>
      </c>
      <c r="G177" s="1348">
        <v>2</v>
      </c>
      <c r="H177" s="1348">
        <v>3</v>
      </c>
      <c r="I177" s="1348">
        <v>1</v>
      </c>
      <c r="J177" s="1337">
        <f t="shared" si="21"/>
        <v>10</v>
      </c>
      <c r="P177" s="1244"/>
      <c r="Q177" s="1245"/>
      <c r="R177" s="1245"/>
      <c r="S177" s="1245"/>
      <c r="T177" s="1245"/>
      <c r="U177" s="1174"/>
      <c r="V177" s="1174"/>
    </row>
    <row r="178" spans="1:22" ht="15.75" hidden="1" outlineLevel="2" x14ac:dyDescent="0.25">
      <c r="A178" s="1174">
        <f t="shared" si="22"/>
        <v>4</v>
      </c>
      <c r="B178" t="str">
        <f>+$B$70</f>
        <v>Elko</v>
      </c>
      <c r="E178" s="1346"/>
      <c r="F178" s="1348">
        <v>4</v>
      </c>
      <c r="G178" s="1348">
        <v>2</v>
      </c>
      <c r="H178" s="1348">
        <v>3</v>
      </c>
      <c r="I178" s="1348">
        <v>1</v>
      </c>
      <c r="J178" s="1337">
        <f t="shared" si="21"/>
        <v>10</v>
      </c>
      <c r="P178" s="1244"/>
      <c r="Q178" s="1245"/>
      <c r="R178" s="1245"/>
      <c r="S178" s="1245"/>
      <c r="T178" s="1245"/>
      <c r="U178" s="1174"/>
      <c r="V178" s="1174"/>
    </row>
    <row r="179" spans="1:22" ht="15.75" hidden="1" outlineLevel="2" x14ac:dyDescent="0.25">
      <c r="A179" s="1174">
        <f t="shared" si="22"/>
        <v>5</v>
      </c>
      <c r="B179" t="str">
        <f>+$B$72</f>
        <v>Washoe</v>
      </c>
      <c r="E179" s="1346"/>
      <c r="F179" s="1348">
        <v>4</v>
      </c>
      <c r="G179" s="1348">
        <v>2</v>
      </c>
      <c r="H179" s="1348">
        <v>3</v>
      </c>
      <c r="I179" s="1348">
        <v>1</v>
      </c>
      <c r="J179" s="1337">
        <f t="shared" si="21"/>
        <v>10</v>
      </c>
      <c r="P179" s="1244"/>
      <c r="Q179" s="1245"/>
      <c r="R179" s="1245"/>
      <c r="S179" s="1245"/>
      <c r="T179" s="1245"/>
      <c r="U179" s="1174"/>
      <c r="V179" s="1174"/>
    </row>
    <row r="180" spans="1:22" ht="15.75" hidden="1" outlineLevel="2" x14ac:dyDescent="0.25">
      <c r="A180" s="1174">
        <f t="shared" si="22"/>
        <v>6</v>
      </c>
      <c r="B180" t="str">
        <f>+$B$73</f>
        <v>White Pine</v>
      </c>
      <c r="E180" s="1346"/>
      <c r="F180" s="1349">
        <v>4</v>
      </c>
      <c r="G180" s="1349">
        <v>2</v>
      </c>
      <c r="H180" s="1349">
        <v>3</v>
      </c>
      <c r="I180" s="1349">
        <v>1</v>
      </c>
      <c r="J180" s="1339">
        <f t="shared" si="21"/>
        <v>10</v>
      </c>
      <c r="P180" s="1244"/>
      <c r="Q180" s="1245"/>
      <c r="R180" s="1245"/>
      <c r="S180" s="1245"/>
      <c r="T180" s="1245"/>
      <c r="U180" s="1174"/>
      <c r="V180" s="1174"/>
    </row>
    <row r="181" spans="1:22" ht="15.75" hidden="1" outlineLevel="2" x14ac:dyDescent="0.25">
      <c r="A181" s="1174"/>
      <c r="B181" s="1340" t="s">
        <v>157</v>
      </c>
      <c r="C181" s="1340"/>
      <c r="D181" s="1340"/>
      <c r="E181" s="1350"/>
      <c r="F181" s="1350">
        <f t="shared" ref="F181:I181" si="23">SUM(F175:F180)</f>
        <v>24</v>
      </c>
      <c r="G181" s="1350">
        <f t="shared" si="23"/>
        <v>12</v>
      </c>
      <c r="H181" s="1350">
        <f t="shared" si="23"/>
        <v>18</v>
      </c>
      <c r="I181" s="1350">
        <f t="shared" si="23"/>
        <v>6</v>
      </c>
      <c r="J181" s="1341">
        <f t="shared" si="21"/>
        <v>60</v>
      </c>
      <c r="O181" s="1243"/>
      <c r="P181" s="1244"/>
      <c r="Q181" s="1245"/>
      <c r="R181" s="1245"/>
      <c r="S181" s="1245"/>
      <c r="T181" s="1245"/>
      <c r="U181" s="1174"/>
      <c r="V181" s="1174"/>
    </row>
    <row r="182" spans="1:22" ht="15.75" hidden="1" outlineLevel="2" x14ac:dyDescent="0.25">
      <c r="A182" s="1174"/>
      <c r="O182" s="1243"/>
      <c r="P182" s="1244"/>
      <c r="Q182" s="1245"/>
      <c r="R182" s="1245"/>
      <c r="S182" s="1245"/>
      <c r="T182" s="1245"/>
      <c r="U182" s="1174"/>
      <c r="V182" s="1174"/>
    </row>
    <row r="183" spans="1:22" ht="15.75" hidden="1" outlineLevel="2" x14ac:dyDescent="0.25">
      <c r="A183" s="1174"/>
      <c r="E183" s="16" t="s">
        <v>1222</v>
      </c>
      <c r="F183" s="16"/>
      <c r="G183" s="49"/>
      <c r="H183" s="49"/>
      <c r="I183" s="49"/>
      <c r="O183" s="1243"/>
      <c r="P183" s="1244"/>
      <c r="Q183" s="1245"/>
      <c r="R183" s="1245"/>
      <c r="S183" s="1245"/>
      <c r="T183" s="1245"/>
      <c r="U183" s="1174"/>
      <c r="V183" s="1174"/>
    </row>
    <row r="184" spans="1:22" ht="15.75" hidden="1" outlineLevel="2" x14ac:dyDescent="0.25">
      <c r="A184" s="1174"/>
      <c r="E184" s="1351" t="s">
        <v>570</v>
      </c>
      <c r="F184" s="1351" t="s">
        <v>1186</v>
      </c>
      <c r="G184" s="1179" t="s">
        <v>1187</v>
      </c>
      <c r="H184" s="1179" t="s">
        <v>1176</v>
      </c>
      <c r="I184" s="1179" t="s">
        <v>1188</v>
      </c>
      <c r="J184" s="1351" t="s">
        <v>157</v>
      </c>
      <c r="K184" s="1245"/>
      <c r="O184" s="1243"/>
      <c r="P184" s="1244"/>
      <c r="Q184" s="1245"/>
      <c r="R184" s="1245"/>
      <c r="S184" s="1245"/>
      <c r="T184" s="1245"/>
      <c r="U184" s="1174"/>
      <c r="V184" s="1174"/>
    </row>
    <row r="185" spans="1:22" ht="15.75" hidden="1" outlineLevel="2" x14ac:dyDescent="0.25">
      <c r="A185" s="1174">
        <v>1</v>
      </c>
      <c r="B185" t="str">
        <f>+B$67</f>
        <v xml:space="preserve">Carson City </v>
      </c>
      <c r="E185" s="1352">
        <f>+E164-E175</f>
        <v>10</v>
      </c>
      <c r="F185" s="1352">
        <f t="shared" ref="F185:I185" si="24">+F164-F175</f>
        <v>0</v>
      </c>
      <c r="G185" s="1352">
        <f t="shared" si="24"/>
        <v>3</v>
      </c>
      <c r="H185" s="1352">
        <f t="shared" si="24"/>
        <v>2</v>
      </c>
      <c r="I185" s="1352">
        <f t="shared" si="24"/>
        <v>0</v>
      </c>
      <c r="J185" s="1342">
        <f t="shared" ref="J185:J191" si="25">SUM(E185:I185)</f>
        <v>15</v>
      </c>
      <c r="O185" s="1243"/>
      <c r="P185" s="1244"/>
      <c r="Q185" s="1245"/>
      <c r="R185" s="1245"/>
      <c r="S185" s="1245"/>
      <c r="T185" s="1245"/>
      <c r="U185" s="1174"/>
      <c r="V185" s="1174"/>
    </row>
    <row r="186" spans="1:22" ht="15.75" hidden="1" outlineLevel="2" x14ac:dyDescent="0.25">
      <c r="A186" s="1174">
        <f>1+A185</f>
        <v>2</v>
      </c>
      <c r="B186" t="str">
        <f>+$B$68</f>
        <v>Churchill</v>
      </c>
      <c r="E186" s="1353">
        <f t="shared" ref="E186:I190" si="26">+E165-E176</f>
        <v>10</v>
      </c>
      <c r="F186" s="1353">
        <f t="shared" si="26"/>
        <v>0</v>
      </c>
      <c r="G186" s="1353">
        <f t="shared" si="26"/>
        <v>3</v>
      </c>
      <c r="H186" s="1353">
        <f t="shared" si="26"/>
        <v>2</v>
      </c>
      <c r="I186" s="1353">
        <f t="shared" si="26"/>
        <v>0</v>
      </c>
      <c r="J186" s="1342">
        <f t="shared" si="25"/>
        <v>15</v>
      </c>
      <c r="O186" s="1243"/>
      <c r="P186" s="1244"/>
      <c r="Q186" s="1245"/>
      <c r="R186" s="1245"/>
      <c r="S186" s="1245"/>
      <c r="T186" s="1245"/>
      <c r="U186" s="1174"/>
      <c r="V186" s="1174"/>
    </row>
    <row r="187" spans="1:22" ht="15.75" hidden="1" outlineLevel="2" x14ac:dyDescent="0.25">
      <c r="A187" s="1174">
        <f t="shared" ref="A187:A190" si="27">1+A186</f>
        <v>3</v>
      </c>
      <c r="B187" t="str">
        <f>+$B$69</f>
        <v>Clark</v>
      </c>
      <c r="E187" s="1353">
        <f t="shared" si="26"/>
        <v>10</v>
      </c>
      <c r="F187" s="1353">
        <f t="shared" si="26"/>
        <v>0</v>
      </c>
      <c r="G187" s="1353">
        <f t="shared" si="26"/>
        <v>3</v>
      </c>
      <c r="H187" s="1353">
        <f t="shared" si="26"/>
        <v>2</v>
      </c>
      <c r="I187" s="1353">
        <f t="shared" si="26"/>
        <v>0</v>
      </c>
      <c r="J187" s="1342">
        <f t="shared" si="25"/>
        <v>15</v>
      </c>
      <c r="O187" s="1243"/>
      <c r="P187" s="1244"/>
      <c r="Q187" s="1245"/>
      <c r="R187" s="1245"/>
      <c r="S187" s="1245"/>
      <c r="T187" s="1245"/>
      <c r="U187" s="1174"/>
      <c r="V187" s="1174"/>
    </row>
    <row r="188" spans="1:22" ht="15.75" hidden="1" outlineLevel="2" x14ac:dyDescent="0.25">
      <c r="A188" s="1174">
        <f t="shared" si="27"/>
        <v>4</v>
      </c>
      <c r="B188" t="str">
        <f>+$B$70</f>
        <v>Elko</v>
      </c>
      <c r="E188" s="1353">
        <f t="shared" si="26"/>
        <v>10</v>
      </c>
      <c r="F188" s="1353">
        <f t="shared" si="26"/>
        <v>0</v>
      </c>
      <c r="G188" s="1353">
        <f t="shared" si="26"/>
        <v>3</v>
      </c>
      <c r="H188" s="1353">
        <f t="shared" si="26"/>
        <v>2</v>
      </c>
      <c r="I188" s="1353">
        <f t="shared" si="26"/>
        <v>0</v>
      </c>
      <c r="J188" s="1342">
        <f t="shared" si="25"/>
        <v>15</v>
      </c>
      <c r="O188" s="1243"/>
      <c r="P188" s="1244"/>
      <c r="Q188" s="1245"/>
      <c r="R188" s="1245"/>
      <c r="S188" s="1245"/>
      <c r="T188" s="1245"/>
      <c r="U188" s="1174"/>
      <c r="V188" s="1174"/>
    </row>
    <row r="189" spans="1:22" ht="15.75" hidden="1" outlineLevel="2" x14ac:dyDescent="0.25">
      <c r="A189" s="1174">
        <f t="shared" si="27"/>
        <v>5</v>
      </c>
      <c r="B189" t="str">
        <f>+$B$72</f>
        <v>Washoe</v>
      </c>
      <c r="E189" s="1353">
        <f t="shared" si="26"/>
        <v>10</v>
      </c>
      <c r="F189" s="1353">
        <f t="shared" si="26"/>
        <v>0</v>
      </c>
      <c r="G189" s="1353">
        <f t="shared" si="26"/>
        <v>3</v>
      </c>
      <c r="H189" s="1353">
        <f t="shared" si="26"/>
        <v>2</v>
      </c>
      <c r="I189" s="1353">
        <f t="shared" si="26"/>
        <v>0</v>
      </c>
      <c r="J189" s="1342">
        <f t="shared" si="25"/>
        <v>15</v>
      </c>
      <c r="O189" s="1243"/>
      <c r="P189" s="1244"/>
      <c r="Q189" s="1245"/>
      <c r="R189" s="1245"/>
      <c r="S189" s="1245"/>
      <c r="T189" s="1245"/>
      <c r="U189" s="1174"/>
      <c r="V189" s="1174"/>
    </row>
    <row r="190" spans="1:22" ht="15.75" hidden="1" outlineLevel="2" x14ac:dyDescent="0.25">
      <c r="A190" s="1174">
        <f t="shared" si="27"/>
        <v>6</v>
      </c>
      <c r="B190" t="str">
        <f>+$B$73</f>
        <v>White Pine</v>
      </c>
      <c r="E190" s="1354">
        <f t="shared" si="26"/>
        <v>10</v>
      </c>
      <c r="F190" s="1354">
        <f t="shared" si="26"/>
        <v>0</v>
      </c>
      <c r="G190" s="1354">
        <f t="shared" si="26"/>
        <v>3</v>
      </c>
      <c r="H190" s="1354">
        <f t="shared" si="26"/>
        <v>2</v>
      </c>
      <c r="I190" s="1354">
        <f t="shared" si="26"/>
        <v>0</v>
      </c>
      <c r="J190" s="1342">
        <f t="shared" si="25"/>
        <v>15</v>
      </c>
      <c r="O190" s="1243"/>
      <c r="P190" s="1244"/>
      <c r="Q190" s="1245"/>
      <c r="R190" s="1245"/>
      <c r="S190" s="1245"/>
      <c r="T190" s="1245"/>
      <c r="U190" s="1174"/>
      <c r="V190" s="1174"/>
    </row>
    <row r="191" spans="1:22" ht="15.75" hidden="1" outlineLevel="2" x14ac:dyDescent="0.25">
      <c r="A191" s="1174"/>
      <c r="B191" s="1340" t="s">
        <v>157</v>
      </c>
      <c r="C191" s="1340"/>
      <c r="D191" s="1340"/>
      <c r="E191" s="1350">
        <f>SUM(E185:E190)</f>
        <v>60</v>
      </c>
      <c r="F191" s="1350">
        <f t="shared" ref="F191:I191" si="28">SUM(F185:F190)</f>
        <v>0</v>
      </c>
      <c r="G191" s="1350">
        <f t="shared" si="28"/>
        <v>18</v>
      </c>
      <c r="H191" s="1350">
        <f t="shared" si="28"/>
        <v>12</v>
      </c>
      <c r="I191" s="1350">
        <f t="shared" si="28"/>
        <v>0</v>
      </c>
      <c r="J191" s="1350">
        <f t="shared" si="25"/>
        <v>90</v>
      </c>
      <c r="O191" s="1243"/>
      <c r="P191" s="1244"/>
      <c r="Q191" s="1245"/>
      <c r="R191" s="1245"/>
      <c r="S191" s="1245"/>
      <c r="T191" s="1245"/>
      <c r="U191" s="1174"/>
      <c r="V191" s="1174"/>
    </row>
    <row r="192" spans="1:22" ht="15.75" hidden="1" outlineLevel="2" x14ac:dyDescent="0.25">
      <c r="A192" s="1174"/>
      <c r="O192" s="1243"/>
      <c r="P192" s="1244"/>
      <c r="Q192" s="1245"/>
      <c r="R192" s="1245"/>
      <c r="S192" s="1245"/>
      <c r="T192" s="1245"/>
      <c r="U192" s="1174"/>
      <c r="V192" s="1174"/>
    </row>
    <row r="193" spans="1:22" ht="15.75" hidden="1" outlineLevel="2" x14ac:dyDescent="0.25">
      <c r="A193" s="1174"/>
      <c r="B193" s="1340" t="s">
        <v>1223</v>
      </c>
      <c r="C193" s="1340"/>
      <c r="D193" s="1340"/>
      <c r="E193" s="1350">
        <f>+E181+E191</f>
        <v>60</v>
      </c>
      <c r="F193" s="1350">
        <f t="shared" ref="F193:I193" si="29">+F181+F191</f>
        <v>24</v>
      </c>
      <c r="G193" s="1350">
        <f t="shared" si="29"/>
        <v>30</v>
      </c>
      <c r="H193" s="1350">
        <f t="shared" si="29"/>
        <v>30</v>
      </c>
      <c r="I193" s="1350">
        <f t="shared" si="29"/>
        <v>6</v>
      </c>
      <c r="J193" s="1350">
        <f>SUM(E193:I193)</f>
        <v>150</v>
      </c>
      <c r="O193" s="1243"/>
      <c r="P193" s="1244"/>
      <c r="Q193" s="1245"/>
      <c r="R193" s="1245"/>
      <c r="S193" s="1245"/>
      <c r="T193" s="1245"/>
      <c r="U193" s="1174"/>
      <c r="V193" s="1174"/>
    </row>
    <row r="194" spans="1:22" ht="15.75" hidden="1" outlineLevel="2" x14ac:dyDescent="0.25">
      <c r="A194" s="1174"/>
      <c r="O194" s="1243"/>
      <c r="P194" s="1244"/>
      <c r="Q194" s="1245"/>
      <c r="R194" s="1245"/>
      <c r="S194" s="1245"/>
      <c r="T194" s="1245"/>
      <c r="U194" s="1174"/>
      <c r="V194" s="1174"/>
    </row>
    <row r="195" spans="1:22" ht="15.75" hidden="1" outlineLevel="2" x14ac:dyDescent="0.25">
      <c r="A195" s="1174"/>
      <c r="B195" s="1328" t="s">
        <v>1218</v>
      </c>
      <c r="C195" s="1328"/>
      <c r="D195" s="1328"/>
      <c r="E195" s="1329"/>
      <c r="F195" s="1330"/>
      <c r="G195" s="1328"/>
      <c r="H195" s="1330"/>
      <c r="I195" s="1330"/>
      <c r="J195" s="1331"/>
      <c r="O195" s="1243"/>
      <c r="P195" s="1244"/>
      <c r="Q195" s="1245"/>
      <c r="R195" s="1245"/>
      <c r="S195" s="1245"/>
      <c r="T195" s="1245"/>
      <c r="U195" s="1174"/>
      <c r="V195" s="1174"/>
    </row>
    <row r="196" spans="1:22" ht="15.75" hidden="1" outlineLevel="2" x14ac:dyDescent="0.25">
      <c r="A196" s="1174"/>
      <c r="B196" s="1332" t="s">
        <v>1224</v>
      </c>
      <c r="C196" s="1332"/>
      <c r="D196" s="1332"/>
      <c r="E196" s="1332"/>
      <c r="F196" s="1209"/>
      <c r="G196" s="1332"/>
      <c r="H196" s="1209"/>
      <c r="I196" s="1209"/>
      <c r="J196" s="1333"/>
      <c r="O196" s="1243"/>
      <c r="P196" s="1244"/>
      <c r="Q196" s="1245"/>
      <c r="R196" s="1245"/>
      <c r="S196" s="1245"/>
      <c r="T196" s="1245"/>
      <c r="U196" s="1174"/>
      <c r="V196" s="1174"/>
    </row>
    <row r="197" spans="1:22" ht="15.75" hidden="1" outlineLevel="3" x14ac:dyDescent="0.25">
      <c r="A197" s="1174"/>
      <c r="B197" s="1311"/>
      <c r="C197" s="1311"/>
      <c r="D197" s="1311"/>
      <c r="E197" s="1311" t="s">
        <v>1219</v>
      </c>
      <c r="F197" s="49"/>
      <c r="G197" s="1311"/>
      <c r="H197" s="49"/>
      <c r="I197" s="49"/>
      <c r="J197" s="1334"/>
      <c r="O197" s="1243"/>
      <c r="P197" s="1244"/>
      <c r="Q197" s="1245"/>
      <c r="R197" s="1245"/>
      <c r="S197" s="1245"/>
      <c r="T197" s="1245"/>
      <c r="U197" s="1174"/>
      <c r="V197" s="1174"/>
    </row>
    <row r="198" spans="1:22" ht="15.75" hidden="1" outlineLevel="3" x14ac:dyDescent="0.25">
      <c r="A198" s="1174"/>
      <c r="B198" s="1179"/>
      <c r="C198" s="1179"/>
      <c r="D198" s="1179"/>
      <c r="E198" s="1179" t="s">
        <v>570</v>
      </c>
      <c r="F198" s="1179" t="s">
        <v>1186</v>
      </c>
      <c r="G198" s="1179" t="s">
        <v>1187</v>
      </c>
      <c r="H198" s="1179" t="s">
        <v>1176</v>
      </c>
      <c r="I198" s="1179" t="s">
        <v>1188</v>
      </c>
      <c r="J198" s="1179" t="s">
        <v>157</v>
      </c>
      <c r="O198" s="1243"/>
      <c r="P198" s="1244"/>
      <c r="Q198" s="1245"/>
      <c r="R198" s="1245"/>
      <c r="S198" s="1245"/>
      <c r="T198" s="1245"/>
      <c r="U198" s="1174"/>
      <c r="V198" s="1174"/>
    </row>
    <row r="199" spans="1:22" ht="15.75" hidden="1" outlineLevel="3" x14ac:dyDescent="0.25">
      <c r="A199" s="1174">
        <v>1</v>
      </c>
      <c r="B199" t="str">
        <f>+B$67</f>
        <v xml:space="preserve">Carson City </v>
      </c>
      <c r="E199" s="1355">
        <v>100</v>
      </c>
      <c r="F199" s="1355">
        <v>40</v>
      </c>
      <c r="G199" s="1355">
        <v>50</v>
      </c>
      <c r="H199" s="1355">
        <v>50</v>
      </c>
      <c r="I199" s="1355">
        <v>2</v>
      </c>
      <c r="J199" s="1356">
        <f t="shared" ref="J199:J205" si="30">SUM(E199:I199)</f>
        <v>242</v>
      </c>
      <c r="O199" s="1243"/>
      <c r="P199" s="1244"/>
      <c r="Q199" s="1245"/>
      <c r="R199" s="1245"/>
      <c r="S199" s="1245"/>
      <c r="T199" s="1245"/>
      <c r="U199" s="1174"/>
      <c r="V199" s="1174"/>
    </row>
    <row r="200" spans="1:22" ht="15.75" hidden="1" outlineLevel="3" x14ac:dyDescent="0.25">
      <c r="A200" s="1174">
        <f>1+A199</f>
        <v>2</v>
      </c>
      <c r="B200" t="str">
        <f>+$B$68</f>
        <v>Churchill</v>
      </c>
      <c r="E200" s="1355"/>
      <c r="F200" s="1355">
        <v>30</v>
      </c>
      <c r="G200" s="1355">
        <v>0</v>
      </c>
      <c r="H200" s="1355">
        <v>0</v>
      </c>
      <c r="I200" s="1355">
        <v>0</v>
      </c>
      <c r="J200" s="1337">
        <f t="shared" si="30"/>
        <v>30</v>
      </c>
      <c r="O200" s="1243"/>
      <c r="P200" s="1244"/>
      <c r="Q200" s="1245"/>
      <c r="R200" s="1245"/>
      <c r="S200" s="1245"/>
      <c r="T200" s="1245"/>
      <c r="U200" s="1174"/>
      <c r="V200" s="1174"/>
    </row>
    <row r="201" spans="1:22" ht="15.75" hidden="1" outlineLevel="3" x14ac:dyDescent="0.25">
      <c r="A201" s="1174">
        <f t="shared" ref="A201:A204" si="31">1+A200</f>
        <v>3</v>
      </c>
      <c r="B201" t="str">
        <f>+$B$69</f>
        <v>Clark</v>
      </c>
      <c r="E201" s="1355"/>
      <c r="F201" s="1355">
        <v>30</v>
      </c>
      <c r="G201" s="1355">
        <v>0</v>
      </c>
      <c r="H201" s="1355">
        <v>0</v>
      </c>
      <c r="I201" s="1355">
        <v>0</v>
      </c>
      <c r="J201" s="1337">
        <f t="shared" si="30"/>
        <v>30</v>
      </c>
      <c r="O201" s="1243"/>
      <c r="P201" s="1244"/>
      <c r="Q201" s="1245"/>
      <c r="R201" s="1245"/>
      <c r="S201" s="1245"/>
      <c r="T201" s="1245"/>
      <c r="U201" s="1174"/>
      <c r="V201" s="1174"/>
    </row>
    <row r="202" spans="1:22" ht="15.75" hidden="1" outlineLevel="3" x14ac:dyDescent="0.25">
      <c r="A202" s="1174">
        <f t="shared" si="31"/>
        <v>4</v>
      </c>
      <c r="B202" t="str">
        <f>+$B$70</f>
        <v>Elko</v>
      </c>
      <c r="E202" s="1355"/>
      <c r="F202" s="1355">
        <v>5</v>
      </c>
      <c r="G202" s="1355">
        <v>0</v>
      </c>
      <c r="H202" s="1355">
        <v>0</v>
      </c>
      <c r="I202" s="1355">
        <v>0</v>
      </c>
      <c r="J202" s="1337">
        <f t="shared" si="30"/>
        <v>5</v>
      </c>
      <c r="O202" s="1243"/>
      <c r="P202" s="1244"/>
      <c r="Q202" s="1245"/>
      <c r="R202" s="1245"/>
      <c r="S202" s="1245"/>
      <c r="T202" s="1245"/>
      <c r="U202" s="1174"/>
      <c r="V202" s="1174"/>
    </row>
    <row r="203" spans="1:22" ht="15.75" hidden="1" outlineLevel="3" x14ac:dyDescent="0.25">
      <c r="A203" s="1174">
        <f t="shared" si="31"/>
        <v>5</v>
      </c>
      <c r="B203" t="str">
        <f>+$B$72</f>
        <v>Washoe</v>
      </c>
      <c r="E203" s="1357"/>
      <c r="F203" s="1357">
        <v>10</v>
      </c>
      <c r="G203" s="1357">
        <v>0</v>
      </c>
      <c r="H203" s="1357">
        <v>0</v>
      </c>
      <c r="I203" s="1357">
        <v>0</v>
      </c>
      <c r="J203" s="1337">
        <f t="shared" si="30"/>
        <v>10</v>
      </c>
      <c r="O203" s="1243"/>
      <c r="P203" s="1244"/>
      <c r="Q203" s="1245"/>
      <c r="R203" s="1245"/>
      <c r="S203" s="1245"/>
      <c r="T203" s="1245"/>
      <c r="U203" s="1174"/>
      <c r="V203" s="1174"/>
    </row>
    <row r="204" spans="1:22" ht="15.75" hidden="1" outlineLevel="3" x14ac:dyDescent="0.25">
      <c r="A204" s="1174">
        <f t="shared" si="31"/>
        <v>6</v>
      </c>
      <c r="B204" t="str">
        <f>+$B$73</f>
        <v>White Pine</v>
      </c>
      <c r="E204" s="1357"/>
      <c r="F204" s="1357">
        <v>10</v>
      </c>
      <c r="G204" s="1357">
        <v>0</v>
      </c>
      <c r="H204" s="1357">
        <v>0</v>
      </c>
      <c r="I204" s="1357">
        <v>0</v>
      </c>
      <c r="J204" s="1339">
        <f t="shared" si="30"/>
        <v>10</v>
      </c>
      <c r="O204" s="1243"/>
      <c r="P204" s="1244"/>
      <c r="Q204" s="1245"/>
      <c r="R204" s="1245"/>
      <c r="S204" s="1245"/>
      <c r="T204" s="1245"/>
      <c r="U204" s="1174"/>
      <c r="V204" s="1174"/>
    </row>
    <row r="205" spans="1:22" ht="15.75" hidden="1" outlineLevel="3" x14ac:dyDescent="0.25">
      <c r="A205" s="1174"/>
      <c r="B205" s="1340" t="s">
        <v>157</v>
      </c>
      <c r="C205" s="1340"/>
      <c r="D205" s="1340"/>
      <c r="E205" s="1341">
        <f>SUM(E199:E204)</f>
        <v>100</v>
      </c>
      <c r="F205" s="1341">
        <f>SUM(F199:F204)</f>
        <v>125</v>
      </c>
      <c r="G205" s="1341">
        <f t="shared" ref="G205:I205" si="32">SUM(G199:G204)</f>
        <v>50</v>
      </c>
      <c r="H205" s="1341">
        <f t="shared" si="32"/>
        <v>50</v>
      </c>
      <c r="I205" s="1341">
        <f t="shared" si="32"/>
        <v>2</v>
      </c>
      <c r="J205" s="1341">
        <f t="shared" si="30"/>
        <v>327</v>
      </c>
      <c r="O205" s="1243"/>
      <c r="P205" s="1244"/>
      <c r="Q205" s="1245"/>
      <c r="R205" s="1245"/>
      <c r="S205" s="1245"/>
      <c r="T205" s="1245"/>
      <c r="U205" s="1174"/>
      <c r="V205" s="1174"/>
    </row>
    <row r="206" spans="1:22" ht="15.75" hidden="1" outlineLevel="3" x14ac:dyDescent="0.25">
      <c r="A206" s="1174"/>
      <c r="J206" s="1342"/>
      <c r="O206" s="1243"/>
      <c r="P206" s="1244"/>
      <c r="Q206" s="1245"/>
      <c r="R206" s="1245"/>
      <c r="S206" s="1245"/>
      <c r="T206" s="1245"/>
      <c r="U206" s="1174"/>
      <c r="V206" s="1174"/>
    </row>
    <row r="207" spans="1:22" ht="15.75" hidden="1" outlineLevel="3" x14ac:dyDescent="0.25">
      <c r="A207" s="1174"/>
      <c r="E207" s="1311" t="s">
        <v>1225</v>
      </c>
      <c r="F207" s="49"/>
      <c r="G207" s="1311"/>
      <c r="H207" s="1311"/>
      <c r="I207" s="1311"/>
      <c r="J207" s="49"/>
      <c r="O207" s="1243"/>
      <c r="P207" s="1244"/>
      <c r="Q207" s="1245"/>
      <c r="R207" s="1245"/>
      <c r="S207" s="1245"/>
      <c r="T207" s="1245"/>
      <c r="U207" s="1174"/>
      <c r="V207" s="1174"/>
    </row>
    <row r="208" spans="1:22" ht="15.75" hidden="1" outlineLevel="3" x14ac:dyDescent="0.25">
      <c r="A208" s="1174"/>
      <c r="E208" s="1179" t="s">
        <v>570</v>
      </c>
      <c r="F208" s="1179" t="s">
        <v>1186</v>
      </c>
      <c r="G208" s="1179" t="s">
        <v>1187</v>
      </c>
      <c r="H208" s="1179" t="s">
        <v>1176</v>
      </c>
      <c r="I208" s="1179" t="s">
        <v>1188</v>
      </c>
      <c r="J208" s="1343"/>
      <c r="O208" s="1243"/>
      <c r="P208" s="1244"/>
      <c r="Q208" s="1245"/>
      <c r="R208" s="1245"/>
      <c r="S208" s="1245"/>
      <c r="T208" s="1245"/>
      <c r="U208" s="1174"/>
      <c r="V208" s="1174"/>
    </row>
    <row r="209" spans="1:22" ht="15.75" hidden="1" outlineLevel="3" x14ac:dyDescent="0.25">
      <c r="A209" s="1174"/>
      <c r="E209" s="1343"/>
      <c r="F209" s="1358">
        <f>+E185</f>
        <v>10</v>
      </c>
      <c r="G209" s="1358">
        <f>+E186</f>
        <v>10</v>
      </c>
      <c r="H209" s="1358">
        <f>+E187</f>
        <v>10</v>
      </c>
      <c r="I209" s="1358">
        <f>+E188</f>
        <v>10</v>
      </c>
      <c r="J209" s="1179" t="s">
        <v>157</v>
      </c>
      <c r="O209" s="1243"/>
      <c r="P209" s="1244"/>
      <c r="Q209" s="1245"/>
      <c r="R209" s="1245"/>
      <c r="S209" s="1245"/>
      <c r="T209" s="1245"/>
      <c r="U209" s="1174"/>
      <c r="V209" s="1174"/>
    </row>
    <row r="210" spans="1:22" ht="15.75" hidden="1" outlineLevel="3" x14ac:dyDescent="0.25">
      <c r="A210" s="1174">
        <v>1</v>
      </c>
      <c r="B210" t="str">
        <f>+B$67</f>
        <v xml:space="preserve">Carson City </v>
      </c>
      <c r="E210" s="1346"/>
      <c r="F210" s="1347">
        <v>20</v>
      </c>
      <c r="G210" s="1347">
        <v>20</v>
      </c>
      <c r="H210" s="1347">
        <v>30</v>
      </c>
      <c r="I210" s="1347">
        <v>1</v>
      </c>
      <c r="J210" s="1356">
        <f t="shared" ref="J210:J216" si="33">SUM(E210:I210)</f>
        <v>71</v>
      </c>
      <c r="O210" s="1243"/>
      <c r="P210" s="1244"/>
      <c r="Q210" s="1245"/>
      <c r="R210" s="1245"/>
      <c r="S210" s="1245"/>
      <c r="T210" s="1245"/>
      <c r="U210" s="1174"/>
      <c r="V210" s="1174"/>
    </row>
    <row r="211" spans="1:22" ht="15.75" hidden="1" outlineLevel="3" x14ac:dyDescent="0.25">
      <c r="A211" s="1174">
        <f>1+A210</f>
        <v>2</v>
      </c>
      <c r="B211" t="str">
        <f>+$B$68</f>
        <v>Churchill</v>
      </c>
      <c r="E211" s="1346"/>
      <c r="F211" s="1348">
        <v>0</v>
      </c>
      <c r="G211" s="1348"/>
      <c r="H211" s="1348"/>
      <c r="I211" s="1348"/>
      <c r="J211" s="1337">
        <f t="shared" si="33"/>
        <v>0</v>
      </c>
      <c r="O211" s="1243"/>
      <c r="P211" s="1244"/>
      <c r="Q211" s="1245"/>
      <c r="R211" s="1245"/>
      <c r="S211" s="1245"/>
      <c r="T211" s="1245"/>
      <c r="U211" s="1174"/>
      <c r="V211" s="1174"/>
    </row>
    <row r="212" spans="1:22" ht="15.75" hidden="1" outlineLevel="3" x14ac:dyDescent="0.25">
      <c r="A212" s="1174">
        <f t="shared" ref="A212:A215" si="34">1+A211</f>
        <v>3</v>
      </c>
      <c r="B212" t="str">
        <f>+$B$69</f>
        <v>Clark</v>
      </c>
      <c r="E212" s="1346"/>
      <c r="F212" s="1348">
        <v>30</v>
      </c>
      <c r="G212" s="1348"/>
      <c r="H212" s="1348"/>
      <c r="I212" s="1348"/>
      <c r="J212" s="1337">
        <f t="shared" si="33"/>
        <v>30</v>
      </c>
      <c r="O212" s="1243"/>
      <c r="P212" s="1244"/>
      <c r="Q212" s="1245"/>
      <c r="R212" s="1245"/>
      <c r="S212" s="1245"/>
      <c r="T212" s="1245"/>
      <c r="U212" s="1174"/>
      <c r="V212" s="1174"/>
    </row>
    <row r="213" spans="1:22" ht="15.75" hidden="1" outlineLevel="3" x14ac:dyDescent="0.25">
      <c r="A213" s="1174">
        <f t="shared" si="34"/>
        <v>4</v>
      </c>
      <c r="B213" t="str">
        <f>+$B$70</f>
        <v>Elko</v>
      </c>
      <c r="E213" s="1346"/>
      <c r="F213" s="1348">
        <v>5</v>
      </c>
      <c r="G213" s="1348"/>
      <c r="H213" s="1348"/>
      <c r="I213" s="1348"/>
      <c r="J213" s="1337">
        <f t="shared" si="33"/>
        <v>5</v>
      </c>
      <c r="O213" s="1243"/>
      <c r="P213" s="1244"/>
      <c r="Q213" s="1245"/>
      <c r="R213" s="1245"/>
      <c r="S213" s="1245"/>
      <c r="T213" s="1245"/>
      <c r="U213" s="1174"/>
      <c r="V213" s="1174"/>
    </row>
    <row r="214" spans="1:22" ht="15.75" hidden="1" outlineLevel="3" x14ac:dyDescent="0.25">
      <c r="A214" s="1174">
        <f t="shared" si="34"/>
        <v>5</v>
      </c>
      <c r="B214" t="str">
        <f>+$B$72</f>
        <v>Washoe</v>
      </c>
      <c r="E214" s="1346"/>
      <c r="F214" s="1348">
        <v>10</v>
      </c>
      <c r="G214" s="1348"/>
      <c r="H214" s="1348"/>
      <c r="I214" s="1348"/>
      <c r="J214" s="1337">
        <f t="shared" si="33"/>
        <v>10</v>
      </c>
      <c r="O214" s="1243"/>
      <c r="P214" s="1244"/>
      <c r="Q214" s="1245"/>
      <c r="R214" s="1245"/>
      <c r="S214" s="1245"/>
      <c r="T214" s="1245"/>
      <c r="U214" s="1174"/>
      <c r="V214" s="1174"/>
    </row>
    <row r="215" spans="1:22" ht="15.75" hidden="1" outlineLevel="3" x14ac:dyDescent="0.25">
      <c r="A215" s="1174">
        <f t="shared" si="34"/>
        <v>6</v>
      </c>
      <c r="B215" t="str">
        <f>+$B$73</f>
        <v>White Pine</v>
      </c>
      <c r="E215" s="1346"/>
      <c r="F215" s="1349">
        <v>0</v>
      </c>
      <c r="G215" s="1349"/>
      <c r="H215" s="1349"/>
      <c r="I215" s="1349"/>
      <c r="J215" s="1339">
        <f t="shared" si="33"/>
        <v>0</v>
      </c>
      <c r="O215" s="1243"/>
      <c r="P215" s="1244"/>
      <c r="Q215" s="1245"/>
      <c r="R215" s="1245"/>
      <c r="S215" s="1245"/>
      <c r="T215" s="1245"/>
      <c r="U215" s="1174"/>
      <c r="V215" s="1174"/>
    </row>
    <row r="216" spans="1:22" ht="15.75" hidden="1" outlineLevel="3" x14ac:dyDescent="0.25">
      <c r="A216" s="1174"/>
      <c r="B216" s="1340" t="s">
        <v>157</v>
      </c>
      <c r="C216" s="1340"/>
      <c r="D216" s="1340"/>
      <c r="E216" s="1359"/>
      <c r="F216" s="1350">
        <f t="shared" ref="F216:I216" si="35">SUM(F210:F215)</f>
        <v>65</v>
      </c>
      <c r="G216" s="1350">
        <f t="shared" si="35"/>
        <v>20</v>
      </c>
      <c r="H216" s="1350">
        <f t="shared" si="35"/>
        <v>30</v>
      </c>
      <c r="I216" s="1350">
        <f t="shared" si="35"/>
        <v>1</v>
      </c>
      <c r="J216" s="1341">
        <f t="shared" si="33"/>
        <v>116</v>
      </c>
      <c r="O216" s="1243"/>
      <c r="P216" s="1244"/>
      <c r="Q216" s="1245"/>
      <c r="R216" s="1245"/>
      <c r="S216" s="1245"/>
      <c r="T216" s="1245"/>
      <c r="U216" s="1174"/>
      <c r="V216" s="1174"/>
    </row>
    <row r="217" spans="1:22" ht="15.75" hidden="1" outlineLevel="3" x14ac:dyDescent="0.25">
      <c r="A217" s="1174"/>
      <c r="O217" s="1243"/>
      <c r="P217" s="1244"/>
      <c r="Q217" s="1245"/>
      <c r="R217" s="1245"/>
      <c r="S217" s="1245"/>
      <c r="T217" s="1245"/>
      <c r="U217" s="1174"/>
      <c r="V217" s="1174"/>
    </row>
    <row r="218" spans="1:22" ht="15.75" hidden="1" outlineLevel="3" x14ac:dyDescent="0.25">
      <c r="A218" s="1174"/>
      <c r="E218" s="1311"/>
      <c r="F218" s="16" t="s">
        <v>1222</v>
      </c>
      <c r="G218" s="49"/>
      <c r="H218" s="49"/>
      <c r="I218" s="49"/>
      <c r="O218" s="1243"/>
      <c r="P218" s="1244"/>
      <c r="Q218" s="1245"/>
      <c r="R218" s="1245"/>
      <c r="S218" s="1245"/>
      <c r="T218" s="1245"/>
      <c r="U218" s="1174"/>
      <c r="V218" s="1174"/>
    </row>
    <row r="219" spans="1:22" ht="15.75" hidden="1" outlineLevel="3" x14ac:dyDescent="0.25">
      <c r="A219" s="1174"/>
      <c r="E219" s="1179" t="s">
        <v>570</v>
      </c>
      <c r="F219" s="1351" t="s">
        <v>1186</v>
      </c>
      <c r="G219" s="1179" t="s">
        <v>1187</v>
      </c>
      <c r="H219" s="1179" t="s">
        <v>1176</v>
      </c>
      <c r="I219" s="1179" t="s">
        <v>1188</v>
      </c>
      <c r="O219" s="1243"/>
      <c r="P219" s="1244"/>
      <c r="Q219" s="1245"/>
      <c r="R219" s="1245"/>
      <c r="S219" s="1245"/>
      <c r="T219" s="1245"/>
      <c r="U219" s="1174"/>
      <c r="V219" s="1174"/>
    </row>
    <row r="220" spans="1:22" ht="15.75" hidden="1" outlineLevel="3" x14ac:dyDescent="0.25">
      <c r="A220" s="1174">
        <v>1</v>
      </c>
      <c r="B220" t="str">
        <f>+B$67</f>
        <v xml:space="preserve">Carson City </v>
      </c>
      <c r="E220" s="1352">
        <f>+E199-E210</f>
        <v>100</v>
      </c>
      <c r="F220" s="1352">
        <f t="shared" ref="F220:I220" si="36">+F199-F210</f>
        <v>20</v>
      </c>
      <c r="G220" s="1352">
        <f t="shared" si="36"/>
        <v>30</v>
      </c>
      <c r="H220" s="1352">
        <f t="shared" si="36"/>
        <v>20</v>
      </c>
      <c r="I220" s="1352">
        <f t="shared" si="36"/>
        <v>1</v>
      </c>
      <c r="J220" s="1342">
        <f t="shared" ref="J220:J226" si="37">SUM(E220:I220)</f>
        <v>171</v>
      </c>
      <c r="O220" s="1243"/>
      <c r="P220" s="1244"/>
      <c r="Q220" s="1245"/>
      <c r="R220" s="1245"/>
      <c r="S220" s="1245"/>
      <c r="T220" s="1245"/>
      <c r="U220" s="1174"/>
      <c r="V220" s="1174"/>
    </row>
    <row r="221" spans="1:22" ht="15.75" hidden="1" outlineLevel="3" x14ac:dyDescent="0.25">
      <c r="A221" s="1174">
        <f>1+A220</f>
        <v>2</v>
      </c>
      <c r="B221" t="str">
        <f>+$B$68</f>
        <v>Churchill</v>
      </c>
      <c r="E221" s="1353">
        <f t="shared" ref="E221:I225" si="38">+E200-E211</f>
        <v>0</v>
      </c>
      <c r="F221" s="1353">
        <f t="shared" si="38"/>
        <v>30</v>
      </c>
      <c r="G221" s="1353">
        <f t="shared" si="38"/>
        <v>0</v>
      </c>
      <c r="H221" s="1353">
        <f t="shared" si="38"/>
        <v>0</v>
      </c>
      <c r="I221" s="1353">
        <f t="shared" si="38"/>
        <v>0</v>
      </c>
      <c r="J221" s="1342">
        <f t="shared" si="37"/>
        <v>30</v>
      </c>
      <c r="O221" s="1243"/>
      <c r="P221" s="1244"/>
      <c r="Q221" s="1245"/>
      <c r="R221" s="1245"/>
      <c r="S221" s="1245"/>
      <c r="T221" s="1245"/>
      <c r="U221" s="1174"/>
      <c r="V221" s="1174"/>
    </row>
    <row r="222" spans="1:22" ht="15.75" hidden="1" outlineLevel="3" x14ac:dyDescent="0.25">
      <c r="A222" s="1174">
        <f t="shared" ref="A222:A225" si="39">1+A221</f>
        <v>3</v>
      </c>
      <c r="B222" t="str">
        <f>+$B$69</f>
        <v>Clark</v>
      </c>
      <c r="E222" s="1353">
        <f t="shared" si="38"/>
        <v>0</v>
      </c>
      <c r="F222" s="1353">
        <f t="shared" si="38"/>
        <v>0</v>
      </c>
      <c r="G222" s="1353">
        <f t="shared" si="38"/>
        <v>0</v>
      </c>
      <c r="H222" s="1353">
        <f t="shared" si="38"/>
        <v>0</v>
      </c>
      <c r="I222" s="1353">
        <f t="shared" si="38"/>
        <v>0</v>
      </c>
      <c r="J222" s="1342">
        <f t="shared" si="37"/>
        <v>0</v>
      </c>
      <c r="O222" s="1243"/>
      <c r="P222" s="1244"/>
      <c r="Q222" s="1245"/>
      <c r="R222" s="1245"/>
      <c r="S222" s="1245"/>
      <c r="T222" s="1245"/>
      <c r="U222" s="1174"/>
      <c r="V222" s="1174"/>
    </row>
    <row r="223" spans="1:22" ht="15.75" hidden="1" outlineLevel="3" x14ac:dyDescent="0.25">
      <c r="A223" s="1174">
        <f t="shared" si="39"/>
        <v>4</v>
      </c>
      <c r="B223" t="str">
        <f>+$B$70</f>
        <v>Elko</v>
      </c>
      <c r="E223" s="1353">
        <f t="shared" si="38"/>
        <v>0</v>
      </c>
      <c r="F223" s="1353">
        <f t="shared" si="38"/>
        <v>0</v>
      </c>
      <c r="G223" s="1353">
        <f t="shared" si="38"/>
        <v>0</v>
      </c>
      <c r="H223" s="1353">
        <f t="shared" si="38"/>
        <v>0</v>
      </c>
      <c r="I223" s="1353">
        <f t="shared" si="38"/>
        <v>0</v>
      </c>
      <c r="J223" s="1342">
        <f t="shared" si="37"/>
        <v>0</v>
      </c>
      <c r="O223" s="1243"/>
      <c r="P223" s="1244"/>
      <c r="Q223" s="1245"/>
      <c r="R223" s="1245"/>
      <c r="S223" s="1245"/>
      <c r="T223" s="1245"/>
      <c r="U223" s="1174"/>
      <c r="V223" s="1174"/>
    </row>
    <row r="224" spans="1:22" ht="15.75" hidden="1" outlineLevel="3" x14ac:dyDescent="0.25">
      <c r="A224" s="1174">
        <f t="shared" si="39"/>
        <v>5</v>
      </c>
      <c r="B224" t="str">
        <f>+$B$72</f>
        <v>Washoe</v>
      </c>
      <c r="E224" s="1353">
        <f t="shared" si="38"/>
        <v>0</v>
      </c>
      <c r="F224" s="1353">
        <f t="shared" si="38"/>
        <v>0</v>
      </c>
      <c r="G224" s="1353">
        <f t="shared" si="38"/>
        <v>0</v>
      </c>
      <c r="H224" s="1353">
        <f t="shared" si="38"/>
        <v>0</v>
      </c>
      <c r="I224" s="1353">
        <f t="shared" si="38"/>
        <v>0</v>
      </c>
      <c r="J224" s="1342">
        <f t="shared" si="37"/>
        <v>0</v>
      </c>
      <c r="O224" s="1243"/>
      <c r="P224" s="1244"/>
      <c r="Q224" s="1245"/>
      <c r="R224" s="1245"/>
      <c r="S224" s="1245"/>
      <c r="T224" s="1245"/>
      <c r="U224" s="1174"/>
      <c r="V224" s="1174"/>
    </row>
    <row r="225" spans="1:22" ht="15.75" hidden="1" outlineLevel="3" x14ac:dyDescent="0.25">
      <c r="A225" s="1174">
        <f t="shared" si="39"/>
        <v>6</v>
      </c>
      <c r="B225" t="str">
        <f>+$B$73</f>
        <v>White Pine</v>
      </c>
      <c r="E225" s="1354">
        <f t="shared" si="38"/>
        <v>0</v>
      </c>
      <c r="F225" s="1354">
        <f t="shared" si="38"/>
        <v>10</v>
      </c>
      <c r="G225" s="1354">
        <f t="shared" si="38"/>
        <v>0</v>
      </c>
      <c r="H225" s="1354">
        <f t="shared" si="38"/>
        <v>0</v>
      </c>
      <c r="I225" s="1354">
        <f t="shared" si="38"/>
        <v>0</v>
      </c>
      <c r="J225" s="1342">
        <f t="shared" si="37"/>
        <v>10</v>
      </c>
      <c r="O225" s="1243"/>
      <c r="P225" s="1244"/>
      <c r="Q225" s="1245"/>
      <c r="R225" s="1245"/>
      <c r="S225" s="1245"/>
      <c r="T225" s="1245"/>
      <c r="U225" s="1174"/>
      <c r="V225" s="1174"/>
    </row>
    <row r="226" spans="1:22" ht="15.75" hidden="1" outlineLevel="3" x14ac:dyDescent="0.25">
      <c r="A226" s="1174"/>
      <c r="B226" s="1340" t="s">
        <v>157</v>
      </c>
      <c r="C226" s="1340"/>
      <c r="D226" s="1340"/>
      <c r="E226" s="1350">
        <f>SUM(E220:E225)</f>
        <v>100</v>
      </c>
      <c r="F226" s="1350">
        <f t="shared" ref="F226:I226" si="40">SUM(F220:F225)</f>
        <v>60</v>
      </c>
      <c r="G226" s="1350">
        <f t="shared" si="40"/>
        <v>30</v>
      </c>
      <c r="H226" s="1350">
        <f t="shared" si="40"/>
        <v>20</v>
      </c>
      <c r="I226" s="1350">
        <f t="shared" si="40"/>
        <v>1</v>
      </c>
      <c r="J226" s="1350">
        <f t="shared" si="37"/>
        <v>211</v>
      </c>
      <c r="O226" s="1243"/>
      <c r="P226" s="1244"/>
      <c r="Q226" s="1245"/>
      <c r="R226" s="1245"/>
      <c r="S226" s="1245"/>
      <c r="T226" s="1245"/>
      <c r="U226" s="1174"/>
      <c r="V226" s="1174"/>
    </row>
    <row r="227" spans="1:22" ht="15.75" hidden="1" outlineLevel="3" x14ac:dyDescent="0.25">
      <c r="A227" s="1174"/>
      <c r="O227" s="1243"/>
      <c r="P227" s="1244"/>
      <c r="Q227" s="1245"/>
      <c r="R227" s="1245"/>
      <c r="S227" s="1245"/>
      <c r="T227" s="1245"/>
      <c r="U227" s="1174"/>
      <c r="V227" s="1174"/>
    </row>
    <row r="228" spans="1:22" ht="15.75" hidden="1" outlineLevel="3" x14ac:dyDescent="0.25">
      <c r="A228" s="1174"/>
      <c r="B228" s="1340" t="s">
        <v>1223</v>
      </c>
      <c r="C228" s="1340"/>
      <c r="D228" s="1340"/>
      <c r="E228" s="1350">
        <f>+E216+E226</f>
        <v>100</v>
      </c>
      <c r="F228" s="1350">
        <f t="shared" ref="F228:I228" si="41">+F216+F226</f>
        <v>125</v>
      </c>
      <c r="G228" s="1350">
        <f t="shared" si="41"/>
        <v>50</v>
      </c>
      <c r="H228" s="1350">
        <f t="shared" si="41"/>
        <v>50</v>
      </c>
      <c r="I228" s="1350">
        <f t="shared" si="41"/>
        <v>2</v>
      </c>
      <c r="J228" s="1350">
        <f>SUM(E228:I228)</f>
        <v>327</v>
      </c>
      <c r="O228" s="1243"/>
      <c r="P228" s="1244"/>
      <c r="Q228" s="1245"/>
      <c r="R228" s="1245"/>
      <c r="S228" s="1245"/>
      <c r="T228" s="1245"/>
      <c r="U228" s="1174"/>
      <c r="V228" s="1174"/>
    </row>
    <row r="229" spans="1:22" ht="15.75" hidden="1" outlineLevel="2" collapsed="1" x14ac:dyDescent="0.25">
      <c r="A229" s="1174"/>
      <c r="O229" s="1243"/>
      <c r="P229" s="1244"/>
      <c r="Q229" s="1245"/>
      <c r="R229" s="1245"/>
      <c r="S229" s="1245"/>
      <c r="T229" s="1245"/>
      <c r="U229" s="1174"/>
      <c r="V229" s="1174"/>
    </row>
    <row r="230" spans="1:22" ht="15.75" hidden="1" outlineLevel="2" x14ac:dyDescent="0.25">
      <c r="A230" s="1174"/>
      <c r="B230" s="1360" t="s">
        <v>430</v>
      </c>
      <c r="C230" s="1360"/>
      <c r="D230" s="1360"/>
      <c r="E230" s="1361"/>
      <c r="F230" s="1361"/>
      <c r="G230" s="1361"/>
      <c r="H230" s="1361"/>
      <c r="I230" s="1361"/>
      <c r="J230" s="1361"/>
      <c r="O230" s="1243"/>
      <c r="P230" s="1244"/>
      <c r="Q230" s="1245"/>
      <c r="R230" s="1245"/>
      <c r="S230" s="1245"/>
      <c r="T230" s="1245"/>
      <c r="U230" s="1174"/>
      <c r="V230" s="1174"/>
    </row>
    <row r="231" spans="1:22" ht="15.75" hidden="1" outlineLevel="2" x14ac:dyDescent="0.25">
      <c r="A231" s="1174"/>
      <c r="B231" s="1332" t="s">
        <v>1196</v>
      </c>
      <c r="C231" s="1332"/>
      <c r="D231" s="1332"/>
      <c r="E231" s="1209"/>
      <c r="F231" s="1209"/>
      <c r="G231" s="1332"/>
      <c r="H231" s="1209"/>
      <c r="I231" s="1209"/>
      <c r="J231" s="1333"/>
      <c r="O231" s="1243"/>
      <c r="P231" s="1244"/>
      <c r="Q231" s="1245"/>
      <c r="R231" s="1245"/>
      <c r="S231" s="1245"/>
      <c r="T231" s="1245"/>
      <c r="U231" s="1174"/>
      <c r="V231" s="1174"/>
    </row>
    <row r="232" spans="1:22" ht="15.75" hidden="1" outlineLevel="2" x14ac:dyDescent="0.25">
      <c r="A232" s="1174"/>
      <c r="B232" s="1311"/>
      <c r="C232" s="1311"/>
      <c r="D232" s="1311"/>
      <c r="E232" s="1311" t="s">
        <v>1219</v>
      </c>
      <c r="F232" s="49"/>
      <c r="G232" s="1311"/>
      <c r="H232" s="49"/>
      <c r="I232" s="49"/>
      <c r="J232" s="1334"/>
      <c r="O232" s="1243"/>
      <c r="P232" s="1244"/>
      <c r="Q232" s="1245"/>
      <c r="R232" s="1245"/>
      <c r="S232" s="1245"/>
      <c r="T232" s="1245"/>
      <c r="U232" s="1174"/>
      <c r="V232" s="1174"/>
    </row>
    <row r="233" spans="1:22" ht="15.75" hidden="1" outlineLevel="2" x14ac:dyDescent="0.25">
      <c r="A233" s="1174"/>
      <c r="B233" s="1179"/>
      <c r="C233" s="1179"/>
      <c r="D233" s="1179"/>
      <c r="E233" s="1179" t="s">
        <v>570</v>
      </c>
      <c r="F233" s="1179" t="s">
        <v>1186</v>
      </c>
      <c r="G233" s="1179" t="s">
        <v>1187</v>
      </c>
      <c r="H233" s="1179" t="s">
        <v>1176</v>
      </c>
      <c r="I233" s="1179" t="s">
        <v>1188</v>
      </c>
      <c r="J233" s="1179" t="s">
        <v>157</v>
      </c>
      <c r="O233" s="1243"/>
      <c r="P233" s="1244"/>
      <c r="Q233" s="1245"/>
      <c r="R233" s="1245"/>
      <c r="S233" s="1245"/>
      <c r="T233" s="1245"/>
      <c r="U233" s="1174"/>
      <c r="V233" s="1174"/>
    </row>
    <row r="234" spans="1:22" ht="15.75" hidden="1" outlineLevel="2" x14ac:dyDescent="0.25">
      <c r="A234" s="1174">
        <v>1</v>
      </c>
      <c r="B234" t="str">
        <f>+B$67</f>
        <v xml:space="preserve">Carson City </v>
      </c>
      <c r="C234" s="1224"/>
      <c r="D234" s="1224">
        <f>D67</f>
        <v>7494</v>
      </c>
      <c r="E234" s="1362">
        <f>+E247+E257</f>
        <v>74940</v>
      </c>
      <c r="F234" s="1362">
        <f t="shared" ref="F234:I234" si="42">+F247+F257</f>
        <v>41452.014005835765</v>
      </c>
      <c r="G234" s="1362">
        <f t="shared" si="42"/>
        <v>41067.120000000003</v>
      </c>
      <c r="H234" s="1362">
        <f t="shared" si="42"/>
        <v>38144.46</v>
      </c>
      <c r="I234" s="1362">
        <f t="shared" si="42"/>
        <v>8393.2800000000007</v>
      </c>
      <c r="J234" s="1363">
        <f t="shared" ref="J234:J241" si="43">SUM(E234:I234)</f>
        <v>203996.87400583577</v>
      </c>
      <c r="O234" s="1243"/>
      <c r="P234" s="1244"/>
      <c r="Q234" s="1245"/>
      <c r="R234" s="1245"/>
      <c r="S234" s="1245"/>
      <c r="T234" s="1245"/>
      <c r="U234" s="1174"/>
      <c r="V234" s="1174"/>
    </row>
    <row r="235" spans="1:22" ht="15.75" hidden="1" outlineLevel="2" x14ac:dyDescent="0.25">
      <c r="A235" s="1174">
        <f>1+A234</f>
        <v>2</v>
      </c>
      <c r="B235" t="str">
        <f>+$B$68</f>
        <v>Churchill</v>
      </c>
      <c r="C235" s="1253"/>
      <c r="D235" s="1253">
        <f>D68</f>
        <v>8093</v>
      </c>
      <c r="E235" s="1337">
        <f t="shared" ref="E235:I237" si="44">+E248+E258</f>
        <v>80930</v>
      </c>
      <c r="F235" s="1337">
        <f t="shared" si="44"/>
        <v>44765.298818952338</v>
      </c>
      <c r="G235" s="1337">
        <f t="shared" si="44"/>
        <v>44349.64</v>
      </c>
      <c r="H235" s="1337">
        <f t="shared" si="44"/>
        <v>41193.370000000003</v>
      </c>
      <c r="I235" s="1337">
        <f t="shared" si="44"/>
        <v>9064.16</v>
      </c>
      <c r="J235" s="1337">
        <f t="shared" si="43"/>
        <v>220302.46881895236</v>
      </c>
      <c r="O235" s="1243"/>
      <c r="P235" s="1244"/>
      <c r="Q235" s="1245"/>
      <c r="R235" s="1245"/>
      <c r="S235" s="1245"/>
      <c r="T235" s="1245"/>
      <c r="U235" s="1174"/>
      <c r="V235" s="1174"/>
    </row>
    <row r="236" spans="1:22" ht="15.75" hidden="1" outlineLevel="2" x14ac:dyDescent="0.25">
      <c r="A236" s="1174">
        <f t="shared" ref="A236:A239" si="45">1+A235</f>
        <v>3</v>
      </c>
      <c r="B236" t="str">
        <f>+$B$69</f>
        <v>Clark</v>
      </c>
      <c r="C236" s="1253"/>
      <c r="D236" s="1253">
        <f>D69</f>
        <v>7197</v>
      </c>
      <c r="E236" s="1337">
        <f t="shared" si="44"/>
        <v>71970</v>
      </c>
      <c r="F236" s="1337">
        <f t="shared" si="44"/>
        <v>39809.199999999997</v>
      </c>
      <c r="G236" s="1337">
        <f t="shared" si="44"/>
        <v>39439.56</v>
      </c>
      <c r="H236" s="1337">
        <f t="shared" si="44"/>
        <v>36632.730000000003</v>
      </c>
      <c r="I236" s="1337">
        <f t="shared" si="44"/>
        <v>8060.64</v>
      </c>
      <c r="J236" s="1337">
        <f t="shared" si="43"/>
        <v>195912.13000000003</v>
      </c>
      <c r="O236" s="1243"/>
      <c r="P236" s="1244"/>
      <c r="Q236" s="1245"/>
      <c r="R236" s="1245"/>
      <c r="S236" s="1245"/>
      <c r="T236" s="1245"/>
      <c r="U236" s="1174"/>
      <c r="V236" s="1174"/>
    </row>
    <row r="237" spans="1:22" ht="15.75" hidden="1" outlineLevel="2" x14ac:dyDescent="0.25">
      <c r="A237" s="1174">
        <f t="shared" si="45"/>
        <v>4</v>
      </c>
      <c r="B237" t="str">
        <f>+$B$70</f>
        <v>Elko</v>
      </c>
      <c r="C237" s="1253"/>
      <c r="D237" s="1253">
        <f>D70</f>
        <v>7715</v>
      </c>
      <c r="E237" s="1337">
        <f>+E250+E260</f>
        <v>77150</v>
      </c>
      <c r="F237" s="1337">
        <f t="shared" si="44"/>
        <v>42674.444629706821</v>
      </c>
      <c r="G237" s="1337">
        <f t="shared" si="44"/>
        <v>42278.2</v>
      </c>
      <c r="H237" s="1337">
        <f t="shared" si="44"/>
        <v>39269.35</v>
      </c>
      <c r="I237" s="1337">
        <f t="shared" si="44"/>
        <v>8640.7999999999993</v>
      </c>
      <c r="J237" s="1337">
        <f t="shared" si="43"/>
        <v>210012.7946297068</v>
      </c>
      <c r="O237" s="1243"/>
      <c r="P237" s="1244"/>
      <c r="Q237" s="1245"/>
      <c r="R237" s="1245"/>
      <c r="S237" s="1245"/>
      <c r="T237" s="1245"/>
      <c r="U237" s="1174"/>
      <c r="V237" s="1174"/>
    </row>
    <row r="238" spans="1:22" ht="15.75" hidden="1" outlineLevel="2" x14ac:dyDescent="0.25">
      <c r="A238" s="1174">
        <f t="shared" si="45"/>
        <v>5</v>
      </c>
      <c r="B238" t="str">
        <f>+$B$72</f>
        <v>Washoe</v>
      </c>
      <c r="C238" s="1253"/>
      <c r="D238" s="1253">
        <f>D72</f>
        <v>6980</v>
      </c>
      <c r="E238" s="1339">
        <f t="shared" ref="E238:I239" si="46">+E251+E261</f>
        <v>69800</v>
      </c>
      <c r="F238" s="1339">
        <f t="shared" si="46"/>
        <v>38608.894817284978</v>
      </c>
      <c r="G238" s="1339">
        <f t="shared" si="46"/>
        <v>38250.400000000001</v>
      </c>
      <c r="H238" s="1339">
        <f t="shared" si="46"/>
        <v>35528.199999999997</v>
      </c>
      <c r="I238" s="1339">
        <f t="shared" si="46"/>
        <v>7817.6</v>
      </c>
      <c r="J238" s="1337">
        <f t="shared" si="43"/>
        <v>190005.09481728499</v>
      </c>
      <c r="O238" s="1243"/>
      <c r="P238" s="1244"/>
      <c r="Q238" s="1245"/>
      <c r="R238" s="1245"/>
      <c r="S238" s="1245"/>
      <c r="T238" s="1245"/>
      <c r="U238" s="1174"/>
      <c r="V238" s="1174"/>
    </row>
    <row r="239" spans="1:22" ht="15.75" hidden="1" outlineLevel="2" x14ac:dyDescent="0.25">
      <c r="A239" s="1174">
        <f t="shared" si="45"/>
        <v>6</v>
      </c>
      <c r="B239" t="str">
        <f>+$B$73</f>
        <v>White Pine</v>
      </c>
      <c r="C239" s="1253"/>
      <c r="D239" s="1253">
        <f>D73</f>
        <v>10367</v>
      </c>
      <c r="E239" s="1339">
        <f t="shared" si="46"/>
        <v>103670</v>
      </c>
      <c r="F239" s="1339">
        <f t="shared" si="46"/>
        <v>57343.612116159507</v>
      </c>
      <c r="G239" s="1339">
        <f t="shared" si="46"/>
        <v>56811.16</v>
      </c>
      <c r="H239" s="1339">
        <f t="shared" si="46"/>
        <v>52768.03</v>
      </c>
      <c r="I239" s="1339">
        <f t="shared" si="46"/>
        <v>11611.04</v>
      </c>
      <c r="J239" s="1339">
        <f t="shared" si="43"/>
        <v>282203.8421161595</v>
      </c>
      <c r="O239" s="1243"/>
      <c r="P239" s="1244"/>
      <c r="Q239" s="1245"/>
      <c r="R239" s="1245"/>
      <c r="S239" s="1245"/>
      <c r="T239" s="1245"/>
      <c r="U239" s="1174"/>
      <c r="V239" s="1174"/>
    </row>
    <row r="240" spans="1:22" ht="15.75" hidden="1" outlineLevel="2" x14ac:dyDescent="0.25">
      <c r="A240" s="1174"/>
      <c r="B240" s="1340" t="s">
        <v>460</v>
      </c>
      <c r="C240" s="1340"/>
      <c r="D240" s="1340"/>
      <c r="E240" s="1305">
        <f>SUM(E234:E239)</f>
        <v>478460</v>
      </c>
      <c r="F240" s="1305">
        <f>SUM(F234:F239)</f>
        <v>264653.46438793937</v>
      </c>
      <c r="G240" s="1305">
        <f t="shared" ref="G240:I240" si="47">SUM(G234:G239)</f>
        <v>262196.08</v>
      </c>
      <c r="H240" s="1305">
        <f t="shared" si="47"/>
        <v>243536.13999999998</v>
      </c>
      <c r="I240" s="1305">
        <f t="shared" si="47"/>
        <v>53587.520000000004</v>
      </c>
      <c r="J240" s="1306">
        <f t="shared" si="43"/>
        <v>1302433.2043879393</v>
      </c>
      <c r="O240" s="1243"/>
      <c r="P240" s="1244"/>
      <c r="Q240" s="1245"/>
      <c r="R240" s="1245"/>
      <c r="S240" s="1245"/>
      <c r="T240" s="1245"/>
      <c r="U240" s="1174"/>
      <c r="V240" s="1174"/>
    </row>
    <row r="241" spans="1:22" ht="15.75" hidden="1" outlineLevel="2" x14ac:dyDescent="0.25">
      <c r="A241" s="1174"/>
      <c r="B241" s="16" t="s">
        <v>457</v>
      </c>
      <c r="E241" s="1342">
        <f>+E170</f>
        <v>60</v>
      </c>
      <c r="F241" s="1342">
        <f t="shared" ref="F241:I241" si="48">+F170</f>
        <v>24</v>
      </c>
      <c r="G241" s="1342">
        <f t="shared" si="48"/>
        <v>30</v>
      </c>
      <c r="H241" s="1342">
        <f t="shared" si="48"/>
        <v>30</v>
      </c>
      <c r="I241" s="1342">
        <f t="shared" si="48"/>
        <v>6</v>
      </c>
      <c r="J241" s="1342">
        <f t="shared" si="43"/>
        <v>150</v>
      </c>
      <c r="O241" s="1243"/>
      <c r="P241" s="1244"/>
      <c r="Q241" s="1245"/>
      <c r="R241" s="1245"/>
      <c r="S241" s="1245"/>
      <c r="T241" s="1245"/>
      <c r="U241" s="1174"/>
      <c r="V241" s="1174"/>
    </row>
    <row r="242" spans="1:22" ht="15.75" hidden="1" outlineLevel="2" x14ac:dyDescent="0.25">
      <c r="A242" s="1174"/>
      <c r="B242" s="1340" t="s">
        <v>1226</v>
      </c>
      <c r="C242" s="1251"/>
      <c r="D242" s="1251"/>
      <c r="E242" s="1364">
        <f t="shared" ref="E242:I242" si="49">+E240/E241</f>
        <v>7974.333333333333</v>
      </c>
      <c r="F242" s="1364">
        <f t="shared" si="49"/>
        <v>11027.227682830808</v>
      </c>
      <c r="G242" s="1364">
        <f t="shared" si="49"/>
        <v>8739.869333333334</v>
      </c>
      <c r="H242" s="1364">
        <f t="shared" si="49"/>
        <v>8117.8713333333326</v>
      </c>
      <c r="I242" s="1364">
        <f t="shared" si="49"/>
        <v>8931.253333333334</v>
      </c>
      <c r="J242" s="1364">
        <f>+J240/J241</f>
        <v>8682.8880292529284</v>
      </c>
      <c r="O242" s="1243"/>
      <c r="P242" s="1244"/>
      <c r="Q242" s="1245"/>
      <c r="R242" s="1245"/>
      <c r="S242" s="1245"/>
      <c r="T242" s="1245"/>
      <c r="U242" s="1174"/>
      <c r="V242" s="1174"/>
    </row>
    <row r="243" spans="1:22" ht="15.75" hidden="1" outlineLevel="2" x14ac:dyDescent="0.25">
      <c r="A243" s="1174"/>
      <c r="B243" s="16"/>
      <c r="J243" s="1342"/>
      <c r="O243" s="1243"/>
      <c r="P243" s="1244"/>
      <c r="Q243" s="1245"/>
      <c r="R243" s="1245"/>
      <c r="S243" s="1245"/>
      <c r="T243" s="1245"/>
      <c r="U243" s="1174"/>
      <c r="V243" s="1174"/>
    </row>
    <row r="244" spans="1:22" ht="15.75" hidden="1" outlineLevel="2" x14ac:dyDescent="0.25">
      <c r="A244" s="1174"/>
      <c r="E244" s="1311" t="s">
        <v>1227</v>
      </c>
      <c r="F244" s="49"/>
      <c r="G244" s="1311"/>
      <c r="H244" s="1311"/>
      <c r="I244" s="1311"/>
      <c r="J244" s="49"/>
      <c r="O244" s="1243"/>
      <c r="P244" s="1244"/>
      <c r="Q244" s="1245"/>
      <c r="R244" s="1245"/>
      <c r="S244" s="1245"/>
      <c r="T244" s="1245"/>
      <c r="U244" s="1174"/>
      <c r="V244" s="1174"/>
    </row>
    <row r="245" spans="1:22" ht="15.75" hidden="1" outlineLevel="2" x14ac:dyDescent="0.25">
      <c r="A245" s="1174"/>
      <c r="E245" s="1179" t="s">
        <v>570</v>
      </c>
      <c r="F245" s="1179" t="s">
        <v>1186</v>
      </c>
      <c r="G245" s="1179" t="s">
        <v>1187</v>
      </c>
      <c r="H245" s="1179" t="s">
        <v>1176</v>
      </c>
      <c r="I245" s="1179" t="s">
        <v>1188</v>
      </c>
      <c r="J245" s="1343"/>
      <c r="O245" s="1243"/>
      <c r="P245" s="1244"/>
      <c r="Q245" s="1245"/>
      <c r="R245" s="1245"/>
      <c r="S245" s="1245"/>
      <c r="T245" s="1245"/>
      <c r="U245" s="1174"/>
      <c r="V245" s="1174"/>
    </row>
    <row r="246" spans="1:22" ht="15.75" hidden="1" outlineLevel="2" x14ac:dyDescent="0.25">
      <c r="A246" s="1174"/>
      <c r="B246" s="1179" t="s">
        <v>1221</v>
      </c>
      <c r="C246" s="1179"/>
      <c r="D246" s="1179"/>
      <c r="E246" s="1365">
        <v>0</v>
      </c>
      <c r="F246" s="1366">
        <f>+F174</f>
        <v>0.38284007225232736</v>
      </c>
      <c r="G246" s="1366">
        <f t="shared" ref="G246:I246" si="50">+G174</f>
        <v>0.24</v>
      </c>
      <c r="H246" s="1366">
        <f t="shared" si="50"/>
        <v>0.03</v>
      </c>
      <c r="I246" s="1366">
        <f t="shared" si="50"/>
        <v>0.12</v>
      </c>
      <c r="J246" s="1179" t="s">
        <v>157</v>
      </c>
      <c r="O246" s="1243"/>
      <c r="P246" s="1244"/>
      <c r="Q246" s="1245"/>
      <c r="R246" s="1245"/>
      <c r="S246" s="1245"/>
      <c r="T246" s="1245"/>
      <c r="U246" s="1174"/>
      <c r="V246" s="1174"/>
    </row>
    <row r="247" spans="1:22" ht="15.75" hidden="1" outlineLevel="2" x14ac:dyDescent="0.25">
      <c r="A247" s="1174">
        <v>1</v>
      </c>
      <c r="B247" t="str">
        <f>+B$67</f>
        <v xml:space="preserve">Carson City </v>
      </c>
      <c r="C247" s="1224"/>
      <c r="D247" s="1224">
        <f>D67</f>
        <v>7494</v>
      </c>
      <c r="E247" s="1346"/>
      <c r="F247" s="1367">
        <f t="shared" ref="F247:I252" si="51">F$246*F175*$D247</f>
        <v>11476.014005835765</v>
      </c>
      <c r="G247" s="1367">
        <f t="shared" si="51"/>
        <v>3597.12</v>
      </c>
      <c r="H247" s="1367">
        <f t="shared" si="51"/>
        <v>674.45999999999992</v>
      </c>
      <c r="I247" s="1367">
        <f t="shared" si="51"/>
        <v>899.28</v>
      </c>
      <c r="J247" s="1363">
        <f t="shared" ref="J247:J253" si="52">SUM(E247:I247)</f>
        <v>16646.874005835762</v>
      </c>
      <c r="O247" s="1243"/>
      <c r="P247" s="1244"/>
      <c r="Q247" s="1245"/>
      <c r="R247" s="1245"/>
      <c r="S247" s="1245"/>
      <c r="T247" s="1245"/>
      <c r="U247" s="1174"/>
      <c r="V247" s="1174"/>
    </row>
    <row r="248" spans="1:22" ht="15.75" hidden="1" outlineLevel="2" x14ac:dyDescent="0.25">
      <c r="A248" s="1174">
        <f>1+A247</f>
        <v>2</v>
      </c>
      <c r="B248" t="str">
        <f>+$B$68</f>
        <v>Churchill</v>
      </c>
      <c r="C248" s="1253"/>
      <c r="D248" s="1253">
        <f>D68</f>
        <v>8093</v>
      </c>
      <c r="E248" s="1346"/>
      <c r="F248" s="1368">
        <f t="shared" si="51"/>
        <v>12393.29881895234</v>
      </c>
      <c r="G248" s="1368">
        <f t="shared" si="51"/>
        <v>3884.64</v>
      </c>
      <c r="H248" s="1368">
        <f t="shared" si="51"/>
        <v>728.37</v>
      </c>
      <c r="I248" s="1368">
        <f t="shared" si="51"/>
        <v>971.16</v>
      </c>
      <c r="J248" s="1337">
        <f t="shared" si="52"/>
        <v>17977.46881895234</v>
      </c>
      <c r="O248" s="1243"/>
      <c r="P248" s="1244"/>
      <c r="Q248" s="1245"/>
      <c r="R248" s="1245"/>
      <c r="S248" s="1245"/>
      <c r="T248" s="1245"/>
      <c r="U248" s="1174"/>
      <c r="V248" s="1174"/>
    </row>
    <row r="249" spans="1:22" ht="15.75" hidden="1" outlineLevel="2" x14ac:dyDescent="0.25">
      <c r="A249" s="1174">
        <f t="shared" ref="A249:A252" si="53">1+A248</f>
        <v>3</v>
      </c>
      <c r="B249" t="str">
        <f>+$B$69</f>
        <v>Clark</v>
      </c>
      <c r="C249" s="1253"/>
      <c r="D249" s="1253">
        <f>D69</f>
        <v>7197</v>
      </c>
      <c r="E249" s="1346"/>
      <c r="F249" s="1368">
        <f t="shared" si="51"/>
        <v>11021.2</v>
      </c>
      <c r="G249" s="1368">
        <f t="shared" si="51"/>
        <v>3454.56</v>
      </c>
      <c r="H249" s="1368">
        <f t="shared" si="51"/>
        <v>647.73</v>
      </c>
      <c r="I249" s="1368">
        <f t="shared" si="51"/>
        <v>863.64</v>
      </c>
      <c r="J249" s="1337">
        <f t="shared" si="52"/>
        <v>15987.13</v>
      </c>
      <c r="O249" s="1243"/>
      <c r="P249" s="1244"/>
      <c r="Q249" s="1245"/>
      <c r="R249" s="1245"/>
      <c r="S249" s="1245"/>
      <c r="T249" s="1245"/>
      <c r="U249" s="1174"/>
      <c r="V249" s="1174"/>
    </row>
    <row r="250" spans="1:22" ht="15.75" hidden="1" outlineLevel="2" x14ac:dyDescent="0.25">
      <c r="A250" s="1174">
        <f t="shared" si="53"/>
        <v>4</v>
      </c>
      <c r="B250" t="str">
        <f>+$B$70</f>
        <v>Elko</v>
      </c>
      <c r="C250" s="1253"/>
      <c r="D250" s="1253">
        <f>D70</f>
        <v>7715</v>
      </c>
      <c r="E250" s="1346"/>
      <c r="F250" s="1368">
        <f t="shared" si="51"/>
        <v>11814.444629706823</v>
      </c>
      <c r="G250" s="1368">
        <f t="shared" si="51"/>
        <v>3703.2</v>
      </c>
      <c r="H250" s="1368">
        <f t="shared" si="51"/>
        <v>694.35</v>
      </c>
      <c r="I250" s="1368">
        <f t="shared" si="51"/>
        <v>925.8</v>
      </c>
      <c r="J250" s="1337">
        <f t="shared" si="52"/>
        <v>17137.794629706823</v>
      </c>
      <c r="O250" s="1243"/>
      <c r="P250" s="1244"/>
      <c r="Q250" s="1245"/>
      <c r="R250" s="1245"/>
      <c r="S250" s="1245"/>
      <c r="T250" s="1245"/>
      <c r="U250" s="1174"/>
      <c r="V250" s="1174"/>
    </row>
    <row r="251" spans="1:22" ht="15.75" hidden="1" outlineLevel="2" x14ac:dyDescent="0.25">
      <c r="A251" s="1174">
        <f t="shared" si="53"/>
        <v>5</v>
      </c>
      <c r="B251" t="str">
        <f>+$B$72</f>
        <v>Washoe</v>
      </c>
      <c r="C251" s="1253"/>
      <c r="D251" s="1253">
        <f>D72</f>
        <v>6980</v>
      </c>
      <c r="E251" s="1346"/>
      <c r="F251" s="1368">
        <f t="shared" si="51"/>
        <v>10688.89481728498</v>
      </c>
      <c r="G251" s="1368">
        <f t="shared" si="51"/>
        <v>3350.4</v>
      </c>
      <c r="H251" s="1368">
        <f t="shared" si="51"/>
        <v>628.19999999999993</v>
      </c>
      <c r="I251" s="1368">
        <f t="shared" si="51"/>
        <v>837.6</v>
      </c>
      <c r="J251" s="1337">
        <f t="shared" si="52"/>
        <v>15505.09481728498</v>
      </c>
      <c r="O251" s="1243"/>
      <c r="P251" s="1244"/>
      <c r="Q251" s="1245"/>
      <c r="R251" s="1245"/>
      <c r="S251" s="1245"/>
      <c r="T251" s="1245"/>
      <c r="U251" s="1174"/>
      <c r="V251" s="1174"/>
    </row>
    <row r="252" spans="1:22" ht="15.75" hidden="1" outlineLevel="2" x14ac:dyDescent="0.25">
      <c r="A252" s="1174">
        <f t="shared" si="53"/>
        <v>6</v>
      </c>
      <c r="B252" t="str">
        <f>+$B$73</f>
        <v>White Pine</v>
      </c>
      <c r="C252" s="1253"/>
      <c r="D252" s="1253">
        <f>D73</f>
        <v>10367</v>
      </c>
      <c r="E252" s="1346"/>
      <c r="F252" s="1369">
        <f t="shared" si="51"/>
        <v>15875.612116159511</v>
      </c>
      <c r="G252" s="1369">
        <f t="shared" si="51"/>
        <v>4976.16</v>
      </c>
      <c r="H252" s="1369">
        <f t="shared" si="51"/>
        <v>933.03</v>
      </c>
      <c r="I252" s="1369">
        <f t="shared" si="51"/>
        <v>1244.04</v>
      </c>
      <c r="J252" s="1339">
        <f t="shared" si="52"/>
        <v>23028.842116159511</v>
      </c>
      <c r="O252" s="1243"/>
      <c r="P252" s="1244"/>
      <c r="Q252" s="1245"/>
      <c r="R252" s="1245"/>
      <c r="S252" s="1245"/>
      <c r="T252" s="1245"/>
      <c r="U252" s="1174"/>
      <c r="V252" s="1174"/>
    </row>
    <row r="253" spans="1:22" ht="15.75" hidden="1" outlineLevel="2" x14ac:dyDescent="0.25">
      <c r="A253" s="1174"/>
      <c r="B253" s="1340" t="s">
        <v>157</v>
      </c>
      <c r="C253" s="1340"/>
      <c r="D253" s="1340"/>
      <c r="E253" s="1370"/>
      <c r="F253" s="1364">
        <f t="shared" ref="F253:I253" si="54">SUM(F247:F252)</f>
        <v>73269.464387939413</v>
      </c>
      <c r="G253" s="1364">
        <f t="shared" si="54"/>
        <v>22966.080000000002</v>
      </c>
      <c r="H253" s="1364">
        <f t="shared" si="54"/>
        <v>4306.1399999999994</v>
      </c>
      <c r="I253" s="1364">
        <f t="shared" si="54"/>
        <v>5741.52</v>
      </c>
      <c r="J253" s="1305">
        <f t="shared" si="52"/>
        <v>106283.20438793942</v>
      </c>
      <c r="O253" s="1243"/>
      <c r="P253" s="1244"/>
      <c r="Q253" s="1245"/>
      <c r="R253" s="1245"/>
      <c r="S253" s="1245"/>
      <c r="T253" s="1245"/>
      <c r="U253" s="1174"/>
      <c r="V253" s="1174"/>
    </row>
    <row r="254" spans="1:22" ht="15.75" hidden="1" outlineLevel="2" x14ac:dyDescent="0.25">
      <c r="A254" s="1174"/>
      <c r="O254" s="1243"/>
      <c r="P254" s="1244"/>
      <c r="Q254" s="1245"/>
      <c r="R254" s="1245"/>
      <c r="S254" s="1245"/>
      <c r="T254" s="1245"/>
      <c r="U254" s="1174"/>
      <c r="V254" s="1174"/>
    </row>
    <row r="255" spans="1:22" ht="15.75" hidden="1" outlineLevel="2" x14ac:dyDescent="0.25">
      <c r="A255" s="1174"/>
      <c r="E255" s="1311" t="s">
        <v>1228</v>
      </c>
      <c r="F255" s="16"/>
      <c r="G255" s="49"/>
      <c r="H255" s="49"/>
      <c r="I255" s="49"/>
      <c r="O255" s="1243"/>
      <c r="P255" s="1244"/>
      <c r="Q255" s="1245"/>
      <c r="R255" s="1245"/>
      <c r="S255" s="1245"/>
      <c r="T255" s="1245"/>
      <c r="U255" s="1174"/>
      <c r="V255" s="1174"/>
    </row>
    <row r="256" spans="1:22" ht="15.75" hidden="1" outlineLevel="2" x14ac:dyDescent="0.25">
      <c r="A256" s="1174"/>
      <c r="E256" s="1179" t="s">
        <v>570</v>
      </c>
      <c r="F256" s="1351" t="s">
        <v>1186</v>
      </c>
      <c r="G256" s="1179" t="s">
        <v>1187</v>
      </c>
      <c r="H256" s="1179" t="s">
        <v>1176</v>
      </c>
      <c r="I256" s="1179" t="s">
        <v>1188</v>
      </c>
      <c r="J256" s="1351" t="s">
        <v>157</v>
      </c>
      <c r="O256" s="1243"/>
      <c r="P256" s="1244"/>
      <c r="Q256" s="1245"/>
      <c r="R256" s="1245"/>
      <c r="S256" s="1245"/>
      <c r="T256" s="1245"/>
      <c r="U256" s="1174"/>
      <c r="V256" s="1174"/>
    </row>
    <row r="257" spans="1:22" ht="15.75" hidden="1" outlineLevel="2" x14ac:dyDescent="0.25">
      <c r="A257" s="1174">
        <v>1</v>
      </c>
      <c r="B257" t="str">
        <f>+B$67</f>
        <v xml:space="preserve">Carson City </v>
      </c>
      <c r="C257" s="1224"/>
      <c r="D257" s="1224">
        <f>D67</f>
        <v>7494</v>
      </c>
      <c r="E257" s="1371">
        <f>+$D67*E164</f>
        <v>74940</v>
      </c>
      <c r="F257" s="1371">
        <f>+$D257*F164</f>
        <v>29976</v>
      </c>
      <c r="G257" s="1371">
        <f t="shared" ref="G257:I260" si="55">+$D67*G164</f>
        <v>37470</v>
      </c>
      <c r="H257" s="1371">
        <f t="shared" si="55"/>
        <v>37470</v>
      </c>
      <c r="I257" s="1371">
        <f t="shared" si="55"/>
        <v>7494</v>
      </c>
      <c r="J257" s="1372">
        <f t="shared" ref="J257:J263" si="56">SUM(E257:I257)</f>
        <v>187350</v>
      </c>
      <c r="O257" s="1243"/>
      <c r="P257" s="1244"/>
      <c r="Q257" s="1245"/>
      <c r="R257" s="1245"/>
      <c r="S257" s="1245"/>
      <c r="T257" s="1245"/>
      <c r="U257" s="1174"/>
      <c r="V257" s="1174"/>
    </row>
    <row r="258" spans="1:22" ht="15.75" hidden="1" outlineLevel="2" x14ac:dyDescent="0.25">
      <c r="A258" s="1174">
        <f>1+A257</f>
        <v>2</v>
      </c>
      <c r="B258" t="str">
        <f>+$B$68</f>
        <v>Churchill</v>
      </c>
      <c r="C258" s="1253"/>
      <c r="D258" s="1253">
        <f>D68</f>
        <v>8093</v>
      </c>
      <c r="E258" s="1353">
        <f>+$D68*E165</f>
        <v>80930</v>
      </c>
      <c r="F258" s="1353">
        <f>+$D68*F165</f>
        <v>32372</v>
      </c>
      <c r="G258" s="1353">
        <f t="shared" si="55"/>
        <v>40465</v>
      </c>
      <c r="H258" s="1353">
        <f t="shared" si="55"/>
        <v>40465</v>
      </c>
      <c r="I258" s="1353">
        <f t="shared" si="55"/>
        <v>8093</v>
      </c>
      <c r="J258" s="1342">
        <f t="shared" si="56"/>
        <v>202325</v>
      </c>
      <c r="O258" s="1243"/>
      <c r="P258" s="1244"/>
      <c r="Q258" s="1245"/>
      <c r="R258" s="1245"/>
      <c r="S258" s="1245"/>
      <c r="T258" s="1245"/>
      <c r="U258" s="1174"/>
      <c r="V258" s="1174"/>
    </row>
    <row r="259" spans="1:22" ht="15.75" hidden="1" outlineLevel="2" x14ac:dyDescent="0.25">
      <c r="A259" s="1174">
        <f t="shared" ref="A259:A262" si="57">1+A258</f>
        <v>3</v>
      </c>
      <c r="B259" t="str">
        <f>+$B$69</f>
        <v>Clark</v>
      </c>
      <c r="C259" s="1253"/>
      <c r="D259" s="1253">
        <f>D69</f>
        <v>7197</v>
      </c>
      <c r="E259" s="1353">
        <f>+$D69*E166</f>
        <v>71970</v>
      </c>
      <c r="F259" s="1353">
        <f>+$D69*F166</f>
        <v>28788</v>
      </c>
      <c r="G259" s="1353">
        <f t="shared" si="55"/>
        <v>35985</v>
      </c>
      <c r="H259" s="1353">
        <f t="shared" si="55"/>
        <v>35985</v>
      </c>
      <c r="I259" s="1353">
        <f t="shared" si="55"/>
        <v>7197</v>
      </c>
      <c r="J259" s="1342">
        <f t="shared" si="56"/>
        <v>179925</v>
      </c>
      <c r="O259" s="1243"/>
      <c r="P259" s="1244"/>
      <c r="Q259" s="1245"/>
      <c r="R259" s="1245"/>
      <c r="S259" s="1245"/>
      <c r="T259" s="1245"/>
      <c r="U259" s="1174"/>
      <c r="V259" s="1174"/>
    </row>
    <row r="260" spans="1:22" ht="15.75" hidden="1" outlineLevel="2" x14ac:dyDescent="0.25">
      <c r="A260" s="1174">
        <f t="shared" si="57"/>
        <v>4</v>
      </c>
      <c r="B260" t="str">
        <f>+$B$70</f>
        <v>Elko</v>
      </c>
      <c r="C260" s="1253"/>
      <c r="D260" s="1253">
        <f>D70</f>
        <v>7715</v>
      </c>
      <c r="E260" s="1353">
        <f>+$D70*E167</f>
        <v>77150</v>
      </c>
      <c r="F260" s="1353">
        <f>+$D70*F167</f>
        <v>30860</v>
      </c>
      <c r="G260" s="1353">
        <f t="shared" si="55"/>
        <v>38575</v>
      </c>
      <c r="H260" s="1353">
        <f t="shared" si="55"/>
        <v>38575</v>
      </c>
      <c r="I260" s="1353">
        <f t="shared" si="55"/>
        <v>7715</v>
      </c>
      <c r="J260" s="1342">
        <f t="shared" si="56"/>
        <v>192875</v>
      </c>
      <c r="O260" s="1243"/>
      <c r="P260" s="1244"/>
      <c r="Q260" s="1245"/>
      <c r="R260" s="1245"/>
      <c r="S260" s="1245"/>
      <c r="T260" s="1245"/>
      <c r="U260" s="1174"/>
      <c r="V260" s="1174"/>
    </row>
    <row r="261" spans="1:22" ht="15.75" hidden="1" outlineLevel="2" x14ac:dyDescent="0.25">
      <c r="A261" s="1174">
        <f t="shared" si="57"/>
        <v>5</v>
      </c>
      <c r="B261" t="str">
        <f>+$B$72</f>
        <v>Washoe</v>
      </c>
      <c r="C261" s="1253"/>
      <c r="D261" s="1253">
        <f>D72</f>
        <v>6980</v>
      </c>
      <c r="E261" s="1353">
        <f t="shared" ref="E261:I262" si="58">+$D72*E168</f>
        <v>69800</v>
      </c>
      <c r="F261" s="1353">
        <f t="shared" si="58"/>
        <v>27920</v>
      </c>
      <c r="G261" s="1353">
        <f t="shared" si="58"/>
        <v>34900</v>
      </c>
      <c r="H261" s="1353">
        <f t="shared" si="58"/>
        <v>34900</v>
      </c>
      <c r="I261" s="1353">
        <f t="shared" si="58"/>
        <v>6980</v>
      </c>
      <c r="J261" s="1342">
        <f t="shared" si="56"/>
        <v>174500</v>
      </c>
      <c r="O261" s="1243"/>
      <c r="P261" s="1244"/>
      <c r="Q261" s="1245"/>
      <c r="R261" s="1245"/>
      <c r="S261" s="1245"/>
      <c r="T261" s="1245"/>
      <c r="U261" s="1174"/>
      <c r="V261" s="1174"/>
    </row>
    <row r="262" spans="1:22" ht="15.75" hidden="1" outlineLevel="2" x14ac:dyDescent="0.25">
      <c r="A262" s="1174">
        <f t="shared" si="57"/>
        <v>6</v>
      </c>
      <c r="B262" t="str">
        <f>+$B$73</f>
        <v>White Pine</v>
      </c>
      <c r="C262" s="1253"/>
      <c r="D262" s="1253">
        <f>D73</f>
        <v>10367</v>
      </c>
      <c r="E262" s="1354">
        <f t="shared" si="58"/>
        <v>103670</v>
      </c>
      <c r="F262" s="1354">
        <f t="shared" si="58"/>
        <v>41468</v>
      </c>
      <c r="G262" s="1354">
        <f t="shared" si="58"/>
        <v>51835</v>
      </c>
      <c r="H262" s="1354">
        <f t="shared" si="58"/>
        <v>51835</v>
      </c>
      <c r="I262" s="1354">
        <f t="shared" si="58"/>
        <v>10367</v>
      </c>
      <c r="J262" s="1342">
        <f t="shared" si="56"/>
        <v>259175</v>
      </c>
      <c r="O262" s="1243"/>
      <c r="P262" s="1244"/>
      <c r="Q262" s="1245"/>
      <c r="R262" s="1245"/>
      <c r="S262" s="1245"/>
      <c r="T262" s="1245"/>
      <c r="U262" s="1174"/>
      <c r="V262" s="1174"/>
    </row>
    <row r="263" spans="1:22" ht="15.75" hidden="1" outlineLevel="2" x14ac:dyDescent="0.25">
      <c r="A263" s="1174"/>
      <c r="B263" s="1340" t="s">
        <v>157</v>
      </c>
      <c r="C263" s="1340"/>
      <c r="D263" s="1340"/>
      <c r="E263" s="1364">
        <f>SUM(E257:E262)</f>
        <v>478460</v>
      </c>
      <c r="F263" s="1364">
        <f t="shared" ref="F263:I263" si="59">SUM(F257:F262)</f>
        <v>191384</v>
      </c>
      <c r="G263" s="1364">
        <f t="shared" si="59"/>
        <v>239230</v>
      </c>
      <c r="H263" s="1364">
        <f t="shared" si="59"/>
        <v>239230</v>
      </c>
      <c r="I263" s="1364">
        <f t="shared" si="59"/>
        <v>47846</v>
      </c>
      <c r="J263" s="1364">
        <f t="shared" si="56"/>
        <v>1196150</v>
      </c>
      <c r="O263" s="1243"/>
      <c r="P263" s="1244"/>
      <c r="Q263" s="1245"/>
      <c r="R263" s="1245"/>
      <c r="S263" s="1245"/>
      <c r="T263" s="1245"/>
      <c r="U263" s="1174"/>
      <c r="V263" s="1174"/>
    </row>
    <row r="264" spans="1:22" ht="15.75" hidden="1" outlineLevel="2" x14ac:dyDescent="0.25">
      <c r="A264" s="1174"/>
      <c r="O264" s="1243"/>
      <c r="P264" s="1244"/>
      <c r="Q264" s="1245"/>
      <c r="R264" s="1245"/>
      <c r="S264" s="1245"/>
      <c r="T264" s="1245"/>
      <c r="U264" s="1174"/>
      <c r="V264" s="1174"/>
    </row>
    <row r="265" spans="1:22" ht="15.75" hidden="1" outlineLevel="2" x14ac:dyDescent="0.25">
      <c r="A265" s="1174"/>
      <c r="B265" s="1340" t="s">
        <v>1223</v>
      </c>
      <c r="C265" s="1340"/>
      <c r="D265" s="1340"/>
      <c r="E265" s="1364">
        <f>+E253+E263</f>
        <v>478460</v>
      </c>
      <c r="F265" s="1364">
        <f t="shared" ref="F265:I265" si="60">+F253+F263</f>
        <v>264653.46438793943</v>
      </c>
      <c r="G265" s="1364">
        <f t="shared" si="60"/>
        <v>262196.08</v>
      </c>
      <c r="H265" s="1364">
        <f t="shared" si="60"/>
        <v>243536.14</v>
      </c>
      <c r="I265" s="1364">
        <f t="shared" si="60"/>
        <v>53587.520000000004</v>
      </c>
      <c r="J265" s="1373">
        <f>SUM(E265:I265)</f>
        <v>1302433.2043879395</v>
      </c>
      <c r="O265" s="1243"/>
      <c r="P265" s="1244"/>
      <c r="Q265" s="1245"/>
      <c r="R265" s="1245"/>
      <c r="S265" s="1245"/>
      <c r="T265" s="1245"/>
      <c r="U265" s="1174"/>
      <c r="V265" s="1174"/>
    </row>
    <row r="266" spans="1:22" ht="15.75" hidden="1" outlineLevel="2" x14ac:dyDescent="0.25">
      <c r="A266" s="1174"/>
      <c r="O266" s="1243"/>
      <c r="P266" s="1244"/>
      <c r="Q266" s="1245"/>
      <c r="R266" s="1245"/>
      <c r="S266" s="1245"/>
      <c r="T266" s="1245"/>
      <c r="U266" s="1174"/>
      <c r="V266" s="1174"/>
    </row>
    <row r="267" spans="1:22" ht="15.75" hidden="1" outlineLevel="2" x14ac:dyDescent="0.25">
      <c r="A267" s="1174"/>
      <c r="B267" s="1360" t="s">
        <v>430</v>
      </c>
      <c r="C267" s="1360"/>
      <c r="D267" s="1360"/>
      <c r="E267" s="1361"/>
      <c r="F267" s="1361"/>
      <c r="G267" s="1361"/>
      <c r="H267" s="1361"/>
      <c r="I267" s="1361"/>
      <c r="J267" s="1361"/>
      <c r="O267" s="1243"/>
      <c r="P267" s="1244"/>
      <c r="Q267" s="1245"/>
      <c r="R267" s="1245"/>
      <c r="S267" s="1245"/>
      <c r="T267" s="1245"/>
      <c r="U267" s="1174"/>
      <c r="V267" s="1174"/>
    </row>
    <row r="268" spans="1:22" ht="15.75" hidden="1" outlineLevel="2" x14ac:dyDescent="0.25">
      <c r="A268" s="1174"/>
      <c r="B268" s="1332" t="s">
        <v>1224</v>
      </c>
      <c r="C268" s="1332"/>
      <c r="D268" s="1332"/>
      <c r="E268" s="1332"/>
      <c r="F268" s="1209"/>
      <c r="G268" s="1332"/>
      <c r="H268" s="1209"/>
      <c r="I268" s="1209"/>
      <c r="J268" s="1333"/>
      <c r="O268" s="1243"/>
      <c r="P268" s="1244"/>
      <c r="Q268" s="1245"/>
      <c r="R268" s="1245"/>
      <c r="S268" s="1245"/>
      <c r="T268" s="1245"/>
      <c r="U268" s="1174"/>
      <c r="V268" s="1174"/>
    </row>
    <row r="269" spans="1:22" ht="15.75" hidden="1" outlineLevel="2" x14ac:dyDescent="0.25">
      <c r="A269" s="1174"/>
      <c r="B269" s="1311"/>
      <c r="C269" s="1311"/>
      <c r="D269" s="1311"/>
      <c r="E269" s="1311" t="s">
        <v>1219</v>
      </c>
      <c r="F269" s="49"/>
      <c r="G269" s="1311"/>
      <c r="H269" s="49"/>
      <c r="I269" s="49"/>
      <c r="J269" s="1334"/>
      <c r="O269" s="1243"/>
      <c r="P269" s="1244"/>
      <c r="Q269" s="1245"/>
      <c r="R269" s="1245"/>
      <c r="S269" s="1245"/>
      <c r="T269" s="1245"/>
      <c r="U269" s="1174"/>
      <c r="V269" s="1174"/>
    </row>
    <row r="270" spans="1:22" ht="15.75" hidden="1" outlineLevel="2" x14ac:dyDescent="0.25">
      <c r="A270" s="1174"/>
      <c r="B270" s="1179"/>
      <c r="C270" s="1179"/>
      <c r="D270" s="1179"/>
      <c r="E270" s="1179" t="s">
        <v>570</v>
      </c>
      <c r="F270" s="1179" t="s">
        <v>1186</v>
      </c>
      <c r="G270" s="1179" t="s">
        <v>1187</v>
      </c>
      <c r="H270" s="1179" t="s">
        <v>1176</v>
      </c>
      <c r="I270" s="1179" t="s">
        <v>1188</v>
      </c>
      <c r="J270" s="1179" t="s">
        <v>157</v>
      </c>
      <c r="O270" s="1243"/>
      <c r="P270" s="1244"/>
      <c r="Q270" s="1245"/>
      <c r="R270" s="1245"/>
      <c r="S270" s="1245"/>
      <c r="T270" s="1245"/>
      <c r="U270" s="1174"/>
      <c r="V270" s="1174"/>
    </row>
    <row r="271" spans="1:22" ht="15.75" hidden="1" outlineLevel="2" x14ac:dyDescent="0.25">
      <c r="A271" s="1174">
        <v>1</v>
      </c>
      <c r="B271" t="str">
        <f>+B$67</f>
        <v xml:space="preserve">Carson City </v>
      </c>
      <c r="C271" s="1224"/>
      <c r="D271" s="1224">
        <f>$D$50</f>
        <v>8966</v>
      </c>
      <c r="E271" s="1362">
        <f t="shared" ref="E271:I276" si="61">+E282+E292</f>
        <v>0</v>
      </c>
      <c r="F271" s="1362">
        <f>+F282+F292</f>
        <v>68650.881756287345</v>
      </c>
      <c r="G271" s="1362">
        <f t="shared" ref="G271:I271" si="62">+G282+G292</f>
        <v>43036.799999999996</v>
      </c>
      <c r="H271" s="1362">
        <f t="shared" si="62"/>
        <v>8069.4</v>
      </c>
      <c r="I271" s="1362">
        <f t="shared" si="62"/>
        <v>1075.92</v>
      </c>
      <c r="J271" s="1363">
        <f t="shared" ref="J271:J277" si="63">SUM(E271:I271)</f>
        <v>120833.00175628734</v>
      </c>
      <c r="O271" s="1243"/>
      <c r="P271" s="1244"/>
      <c r="Q271" s="1245"/>
      <c r="R271" s="1245"/>
      <c r="S271" s="1245"/>
      <c r="T271" s="1245"/>
      <c r="U271" s="1174"/>
      <c r="V271" s="1174"/>
    </row>
    <row r="272" spans="1:22" ht="15.75" hidden="1" outlineLevel="2" x14ac:dyDescent="0.25">
      <c r="A272" s="1174">
        <f>1+A271</f>
        <v>2</v>
      </c>
      <c r="B272" t="str">
        <f>+$B$68</f>
        <v>Churchill</v>
      </c>
      <c r="C272" s="1253"/>
      <c r="D272" s="1253">
        <f t="shared" ref="D272:D276" si="64">$D$50</f>
        <v>8966</v>
      </c>
      <c r="E272" s="1337">
        <f t="shared" si="61"/>
        <v>0</v>
      </c>
      <c r="F272" s="1337">
        <f t="shared" si="61"/>
        <v>0</v>
      </c>
      <c r="G272" s="1337">
        <f t="shared" si="61"/>
        <v>0</v>
      </c>
      <c r="H272" s="1337">
        <f t="shared" si="61"/>
        <v>0</v>
      </c>
      <c r="I272" s="1337">
        <f t="shared" si="61"/>
        <v>0</v>
      </c>
      <c r="J272" s="1337">
        <f t="shared" si="63"/>
        <v>0</v>
      </c>
      <c r="O272" s="1243"/>
      <c r="P272" s="1244"/>
      <c r="Q272" s="1245"/>
      <c r="R272" s="1245"/>
      <c r="S272" s="1245"/>
      <c r="T272" s="1245"/>
      <c r="U272" s="1174"/>
      <c r="V272" s="1174"/>
    </row>
    <row r="273" spans="1:22" ht="15.75" hidden="1" outlineLevel="2" x14ac:dyDescent="0.25">
      <c r="A273" s="1174">
        <f t="shared" ref="A273:A276" si="65">1+A272</f>
        <v>3</v>
      </c>
      <c r="B273" t="str">
        <f>+$B$69</f>
        <v>Clark</v>
      </c>
      <c r="C273" s="1253"/>
      <c r="D273" s="1253">
        <f t="shared" si="64"/>
        <v>8966</v>
      </c>
      <c r="E273" s="1337">
        <f t="shared" si="61"/>
        <v>0</v>
      </c>
      <c r="F273" s="1337">
        <f t="shared" si="61"/>
        <v>102976.32263443101</v>
      </c>
      <c r="G273" s="1337">
        <f t="shared" si="61"/>
        <v>0</v>
      </c>
      <c r="H273" s="1337">
        <f t="shared" si="61"/>
        <v>0</v>
      </c>
      <c r="I273" s="1337">
        <f t="shared" si="61"/>
        <v>0</v>
      </c>
      <c r="J273" s="1337">
        <f t="shared" si="63"/>
        <v>102976.32263443101</v>
      </c>
      <c r="O273" s="1243"/>
      <c r="P273" s="1244"/>
      <c r="Q273" s="1245"/>
      <c r="R273" s="1245"/>
      <c r="S273" s="1245"/>
      <c r="T273" s="1245"/>
      <c r="U273" s="1174"/>
      <c r="V273" s="1174"/>
    </row>
    <row r="274" spans="1:22" ht="15.75" hidden="1" outlineLevel="2" x14ac:dyDescent="0.25">
      <c r="A274" s="1174">
        <f t="shared" si="65"/>
        <v>4</v>
      </c>
      <c r="B274" t="str">
        <f>+$B$70</f>
        <v>Elko</v>
      </c>
      <c r="C274" s="1253"/>
      <c r="D274" s="1253">
        <f t="shared" si="64"/>
        <v>8966</v>
      </c>
      <c r="E274" s="1337">
        <f t="shared" si="61"/>
        <v>0</v>
      </c>
      <c r="F274" s="1337">
        <f t="shared" si="61"/>
        <v>17162.720439071836</v>
      </c>
      <c r="G274" s="1337">
        <f t="shared" si="61"/>
        <v>0</v>
      </c>
      <c r="H274" s="1337">
        <f t="shared" si="61"/>
        <v>0</v>
      </c>
      <c r="I274" s="1337">
        <f t="shared" si="61"/>
        <v>0</v>
      </c>
      <c r="J274" s="1337">
        <f t="shared" si="63"/>
        <v>17162.720439071836</v>
      </c>
      <c r="O274" s="1243"/>
      <c r="P274" s="1244"/>
      <c r="Q274" s="1245"/>
      <c r="R274" s="1245"/>
      <c r="S274" s="1245"/>
      <c r="T274" s="1245"/>
      <c r="U274" s="1174"/>
      <c r="V274" s="1174"/>
    </row>
    <row r="275" spans="1:22" ht="15.75" hidden="1" outlineLevel="2" x14ac:dyDescent="0.25">
      <c r="A275" s="1174">
        <f t="shared" si="65"/>
        <v>5</v>
      </c>
      <c r="B275" t="str">
        <f>+$B$72</f>
        <v>Washoe</v>
      </c>
      <c r="C275" s="1253"/>
      <c r="D275" s="1253">
        <f t="shared" si="64"/>
        <v>8966</v>
      </c>
      <c r="E275" s="1339">
        <f t="shared" si="61"/>
        <v>0</v>
      </c>
      <c r="F275" s="1339">
        <f t="shared" si="61"/>
        <v>34325.440878143672</v>
      </c>
      <c r="G275" s="1339">
        <f t="shared" si="61"/>
        <v>0</v>
      </c>
      <c r="H275" s="1339">
        <f t="shared" si="61"/>
        <v>0</v>
      </c>
      <c r="I275" s="1339">
        <f t="shared" si="61"/>
        <v>0</v>
      </c>
      <c r="J275" s="1337">
        <f t="shared" si="63"/>
        <v>34325.440878143672</v>
      </c>
      <c r="O275" s="1243"/>
      <c r="P275" s="1244"/>
      <c r="Q275" s="1245"/>
      <c r="R275" s="1245"/>
      <c r="S275" s="1245"/>
      <c r="T275" s="1245"/>
      <c r="U275" s="1174"/>
      <c r="V275" s="1174"/>
    </row>
    <row r="276" spans="1:22" ht="15.75" hidden="1" outlineLevel="2" x14ac:dyDescent="0.25">
      <c r="A276" s="1174">
        <f t="shared" si="65"/>
        <v>6</v>
      </c>
      <c r="B276" t="str">
        <f>+$B$73</f>
        <v>White Pine</v>
      </c>
      <c r="C276" s="1253"/>
      <c r="D276" s="1253">
        <f t="shared" si="64"/>
        <v>8966</v>
      </c>
      <c r="E276" s="1339">
        <f t="shared" si="61"/>
        <v>0</v>
      </c>
      <c r="F276" s="1339">
        <f t="shared" si="61"/>
        <v>0</v>
      </c>
      <c r="G276" s="1339">
        <f t="shared" si="61"/>
        <v>0</v>
      </c>
      <c r="H276" s="1339">
        <f t="shared" si="61"/>
        <v>0</v>
      </c>
      <c r="I276" s="1339">
        <f t="shared" si="61"/>
        <v>0</v>
      </c>
      <c r="J276" s="1339">
        <f t="shared" si="63"/>
        <v>0</v>
      </c>
      <c r="O276" s="1243"/>
      <c r="P276" s="1244"/>
      <c r="Q276" s="1245"/>
      <c r="R276" s="1245"/>
      <c r="S276" s="1245"/>
      <c r="T276" s="1245"/>
      <c r="U276" s="1174"/>
      <c r="V276" s="1174"/>
    </row>
    <row r="277" spans="1:22" ht="15.75" hidden="1" outlineLevel="2" x14ac:dyDescent="0.25">
      <c r="A277" s="1174"/>
      <c r="B277" s="1340" t="s">
        <v>157</v>
      </c>
      <c r="C277" s="1340"/>
      <c r="D277" s="1340"/>
      <c r="E277" s="1305">
        <f>SUM(E271:E276)</f>
        <v>0</v>
      </c>
      <c r="F277" s="1305">
        <f>SUM(F271:F276)</f>
        <v>223115.36570793387</v>
      </c>
      <c r="G277" s="1305">
        <f t="shared" ref="G277:I277" si="66">SUM(G271:G276)</f>
        <v>43036.799999999996</v>
      </c>
      <c r="H277" s="1305">
        <f t="shared" si="66"/>
        <v>8069.4</v>
      </c>
      <c r="I277" s="1305">
        <f t="shared" si="66"/>
        <v>1075.92</v>
      </c>
      <c r="J277" s="1306">
        <f t="shared" si="63"/>
        <v>275297.4857079339</v>
      </c>
      <c r="O277" s="1243"/>
      <c r="P277" s="1244"/>
      <c r="Q277" s="1245"/>
      <c r="R277" s="1245"/>
      <c r="S277" s="1245"/>
      <c r="T277" s="1245"/>
      <c r="U277" s="1174"/>
      <c r="V277" s="1174"/>
    </row>
    <row r="278" spans="1:22" ht="15.75" hidden="1" outlineLevel="2" x14ac:dyDescent="0.25">
      <c r="A278" s="1174"/>
      <c r="J278" s="1342"/>
      <c r="O278" s="1243"/>
      <c r="P278" s="1244"/>
      <c r="Q278" s="1245"/>
      <c r="R278" s="1245"/>
      <c r="S278" s="1245"/>
      <c r="T278" s="1245"/>
      <c r="U278" s="1174"/>
      <c r="V278" s="1174"/>
    </row>
    <row r="279" spans="1:22" ht="15.75" hidden="1" outlineLevel="2" x14ac:dyDescent="0.25">
      <c r="A279" s="1174"/>
      <c r="E279" s="1311" t="s">
        <v>1227</v>
      </c>
      <c r="F279" s="49"/>
      <c r="G279" s="1311"/>
      <c r="H279" s="1311"/>
      <c r="I279" s="1311"/>
      <c r="J279" s="49"/>
      <c r="O279" s="1243"/>
      <c r="P279" s="1244"/>
      <c r="Q279" s="1245"/>
      <c r="R279" s="1245"/>
      <c r="S279" s="1245"/>
      <c r="T279" s="1245"/>
      <c r="U279" s="1174"/>
      <c r="V279" s="1174"/>
    </row>
    <row r="280" spans="1:22" ht="15.75" hidden="1" outlineLevel="2" x14ac:dyDescent="0.25">
      <c r="A280" s="1174"/>
      <c r="E280" s="1179" t="s">
        <v>570</v>
      </c>
      <c r="F280" s="1179" t="s">
        <v>1186</v>
      </c>
      <c r="G280" s="1179" t="s">
        <v>1187</v>
      </c>
      <c r="H280" s="1179" t="s">
        <v>1176</v>
      </c>
      <c r="I280" s="1179" t="s">
        <v>1188</v>
      </c>
      <c r="J280" s="1343"/>
      <c r="O280" s="1243"/>
      <c r="P280" s="1244"/>
      <c r="Q280" s="1245"/>
      <c r="R280" s="1245"/>
      <c r="S280" s="1245"/>
      <c r="T280" s="1245"/>
      <c r="U280" s="1174"/>
      <c r="V280" s="1174"/>
    </row>
    <row r="281" spans="1:22" ht="15.75" hidden="1" outlineLevel="2" x14ac:dyDescent="0.25">
      <c r="A281" s="1174"/>
      <c r="E281" s="1343"/>
      <c r="F281" s="1358">
        <f>+F246</f>
        <v>0.38284007225232736</v>
      </c>
      <c r="G281" s="1358">
        <f t="shared" ref="G281:I281" si="67">+G246</f>
        <v>0.24</v>
      </c>
      <c r="H281" s="1358">
        <f t="shared" si="67"/>
        <v>0.03</v>
      </c>
      <c r="I281" s="1358">
        <f t="shared" si="67"/>
        <v>0.12</v>
      </c>
      <c r="J281" s="1179" t="s">
        <v>157</v>
      </c>
      <c r="O281" s="1243"/>
      <c r="P281" s="1244"/>
      <c r="Q281" s="1245"/>
      <c r="R281" s="1245"/>
      <c r="S281" s="1245"/>
      <c r="T281" s="1245"/>
      <c r="U281" s="1174"/>
      <c r="V281" s="1174"/>
    </row>
    <row r="282" spans="1:22" ht="15.75" hidden="1" outlineLevel="2" x14ac:dyDescent="0.25">
      <c r="A282" s="1174">
        <v>1</v>
      </c>
      <c r="B282" t="str">
        <f>+B$67</f>
        <v xml:space="preserve">Carson City </v>
      </c>
      <c r="C282" s="1253"/>
      <c r="D282" s="1253">
        <f t="shared" ref="D282:D287" si="68">$D$50</f>
        <v>8966</v>
      </c>
      <c r="E282" s="1346"/>
      <c r="F282" s="1367">
        <f t="shared" ref="F282:I287" si="69">F$246*F210*$D282</f>
        <v>68650.881756287345</v>
      </c>
      <c r="G282" s="1367">
        <f t="shared" si="69"/>
        <v>43036.799999999996</v>
      </c>
      <c r="H282" s="1367">
        <f t="shared" si="69"/>
        <v>8069.4</v>
      </c>
      <c r="I282" s="1367">
        <f t="shared" si="69"/>
        <v>1075.92</v>
      </c>
      <c r="J282" s="1363">
        <f t="shared" ref="J282:J288" si="70">SUM(E282:I282)</f>
        <v>120833.00175628734</v>
      </c>
      <c r="O282" s="1243"/>
      <c r="P282" s="1244"/>
      <c r="Q282" s="1245"/>
      <c r="R282" s="1245"/>
      <c r="S282" s="1245"/>
      <c r="T282" s="1245"/>
      <c r="U282" s="1174"/>
      <c r="V282" s="1174"/>
    </row>
    <row r="283" spans="1:22" ht="15.75" hidden="1" outlineLevel="2" x14ac:dyDescent="0.25">
      <c r="A283" s="1174">
        <f>1+A282</f>
        <v>2</v>
      </c>
      <c r="B283" t="str">
        <f>+$B$68</f>
        <v>Churchill</v>
      </c>
      <c r="C283" s="1253"/>
      <c r="D283" s="1253">
        <f t="shared" si="68"/>
        <v>8966</v>
      </c>
      <c r="E283" s="1346"/>
      <c r="F283" s="1368">
        <f t="shared" si="69"/>
        <v>0</v>
      </c>
      <c r="G283" s="1368">
        <f t="shared" si="69"/>
        <v>0</v>
      </c>
      <c r="H283" s="1368">
        <f t="shared" si="69"/>
        <v>0</v>
      </c>
      <c r="I283" s="1368">
        <f t="shared" si="69"/>
        <v>0</v>
      </c>
      <c r="J283" s="1337">
        <f t="shared" si="70"/>
        <v>0</v>
      </c>
      <c r="O283" s="1243"/>
      <c r="P283" s="1244"/>
      <c r="Q283" s="1245"/>
      <c r="R283" s="1245"/>
      <c r="S283" s="1245"/>
      <c r="T283" s="1245"/>
      <c r="U283" s="1174"/>
      <c r="V283" s="1174"/>
    </row>
    <row r="284" spans="1:22" ht="15.75" hidden="1" outlineLevel="2" x14ac:dyDescent="0.25">
      <c r="A284" s="1174">
        <f t="shared" ref="A284:A287" si="71">1+A283</f>
        <v>3</v>
      </c>
      <c r="B284" t="str">
        <f>+$B$69</f>
        <v>Clark</v>
      </c>
      <c r="C284" s="1253"/>
      <c r="D284" s="1253">
        <f t="shared" si="68"/>
        <v>8966</v>
      </c>
      <c r="E284" s="1346"/>
      <c r="F284" s="1368">
        <f t="shared" si="69"/>
        <v>102976.32263443101</v>
      </c>
      <c r="G284" s="1368">
        <f t="shared" si="69"/>
        <v>0</v>
      </c>
      <c r="H284" s="1368">
        <f t="shared" si="69"/>
        <v>0</v>
      </c>
      <c r="I284" s="1368">
        <f t="shared" si="69"/>
        <v>0</v>
      </c>
      <c r="J284" s="1337">
        <f t="shared" si="70"/>
        <v>102976.32263443101</v>
      </c>
      <c r="O284" s="1243"/>
      <c r="P284" s="1244"/>
      <c r="Q284" s="1245"/>
      <c r="R284" s="1245"/>
      <c r="S284" s="1245"/>
      <c r="T284" s="1245"/>
      <c r="U284" s="1174"/>
      <c r="V284" s="1174"/>
    </row>
    <row r="285" spans="1:22" ht="15.75" hidden="1" outlineLevel="2" x14ac:dyDescent="0.25">
      <c r="A285" s="1174">
        <f t="shared" si="71"/>
        <v>4</v>
      </c>
      <c r="B285" t="str">
        <f>+$B$70</f>
        <v>Elko</v>
      </c>
      <c r="C285" s="1253"/>
      <c r="D285" s="1253">
        <f t="shared" si="68"/>
        <v>8966</v>
      </c>
      <c r="E285" s="1346"/>
      <c r="F285" s="1368">
        <f t="shared" si="69"/>
        <v>17162.720439071836</v>
      </c>
      <c r="G285" s="1368">
        <f t="shared" si="69"/>
        <v>0</v>
      </c>
      <c r="H285" s="1368">
        <f t="shared" si="69"/>
        <v>0</v>
      </c>
      <c r="I285" s="1368">
        <f t="shared" si="69"/>
        <v>0</v>
      </c>
      <c r="J285" s="1337">
        <f t="shared" si="70"/>
        <v>17162.720439071836</v>
      </c>
      <c r="O285" s="1243"/>
      <c r="P285" s="1244"/>
      <c r="Q285" s="1245"/>
      <c r="R285" s="1245"/>
      <c r="S285" s="1245"/>
      <c r="T285" s="1245"/>
      <c r="U285" s="1174"/>
      <c r="V285" s="1174"/>
    </row>
    <row r="286" spans="1:22" ht="15.75" hidden="1" outlineLevel="2" x14ac:dyDescent="0.25">
      <c r="A286" s="1174">
        <f t="shared" si="71"/>
        <v>5</v>
      </c>
      <c r="B286" t="str">
        <f>+$B$72</f>
        <v>Washoe</v>
      </c>
      <c r="C286" s="1253"/>
      <c r="D286" s="1253">
        <f t="shared" si="68"/>
        <v>8966</v>
      </c>
      <c r="E286" s="1346"/>
      <c r="F286" s="1368">
        <f t="shared" si="69"/>
        <v>34325.440878143672</v>
      </c>
      <c r="G286" s="1368">
        <f t="shared" si="69"/>
        <v>0</v>
      </c>
      <c r="H286" s="1368">
        <f t="shared" si="69"/>
        <v>0</v>
      </c>
      <c r="I286" s="1368">
        <f t="shared" si="69"/>
        <v>0</v>
      </c>
      <c r="J286" s="1337">
        <f t="shared" si="70"/>
        <v>34325.440878143672</v>
      </c>
      <c r="O286" s="1243"/>
      <c r="P286" s="1244"/>
      <c r="Q286" s="1245"/>
      <c r="R286" s="1245"/>
      <c r="S286" s="1245"/>
      <c r="T286" s="1245"/>
      <c r="U286" s="1174"/>
      <c r="V286" s="1174"/>
    </row>
    <row r="287" spans="1:22" ht="15.75" hidden="1" outlineLevel="2" x14ac:dyDescent="0.25">
      <c r="A287" s="1174">
        <f t="shared" si="71"/>
        <v>6</v>
      </c>
      <c r="B287" t="str">
        <f>+$B$73</f>
        <v>White Pine</v>
      </c>
      <c r="C287" s="1253"/>
      <c r="D287" s="1253">
        <f t="shared" si="68"/>
        <v>8966</v>
      </c>
      <c r="E287" s="1346"/>
      <c r="F287" s="1369">
        <f t="shared" si="69"/>
        <v>0</v>
      </c>
      <c r="G287" s="1369">
        <f t="shared" si="69"/>
        <v>0</v>
      </c>
      <c r="H287" s="1369">
        <f t="shared" si="69"/>
        <v>0</v>
      </c>
      <c r="I287" s="1369">
        <f t="shared" si="69"/>
        <v>0</v>
      </c>
      <c r="J287" s="1339">
        <f t="shared" si="70"/>
        <v>0</v>
      </c>
      <c r="O287" s="1243"/>
      <c r="P287" s="1244"/>
      <c r="Q287" s="1245"/>
      <c r="R287" s="1245"/>
      <c r="S287" s="1245"/>
      <c r="T287" s="1245"/>
      <c r="U287" s="1174"/>
      <c r="V287" s="1174"/>
    </row>
    <row r="288" spans="1:22" ht="15.75" hidden="1" outlineLevel="2" x14ac:dyDescent="0.25">
      <c r="A288" s="1174"/>
      <c r="B288" s="1340" t="s">
        <v>157</v>
      </c>
      <c r="C288" s="1340"/>
      <c r="D288" s="1340"/>
      <c r="E288" s="1370"/>
      <c r="F288" s="1364">
        <f t="shared" ref="F288:I288" si="72">SUM(F282:F287)</f>
        <v>223115.36570793387</v>
      </c>
      <c r="G288" s="1364">
        <f t="shared" si="72"/>
        <v>43036.799999999996</v>
      </c>
      <c r="H288" s="1364">
        <f t="shared" si="72"/>
        <v>8069.4</v>
      </c>
      <c r="I288" s="1364">
        <f t="shared" si="72"/>
        <v>1075.92</v>
      </c>
      <c r="J288" s="1305">
        <f t="shared" si="70"/>
        <v>275297.4857079339</v>
      </c>
      <c r="O288" s="1243"/>
      <c r="P288" s="1244"/>
      <c r="Q288" s="1245"/>
      <c r="R288" s="1245"/>
      <c r="S288" s="1245"/>
      <c r="T288" s="1245"/>
      <c r="U288" s="1174"/>
      <c r="V288" s="1174"/>
    </row>
    <row r="289" spans="1:22" ht="15.75" hidden="1" outlineLevel="2" x14ac:dyDescent="0.25">
      <c r="A289" s="1174"/>
      <c r="O289" s="1243"/>
      <c r="P289" s="1244"/>
      <c r="Q289" s="1245"/>
      <c r="R289" s="1245"/>
      <c r="S289" s="1245"/>
      <c r="T289" s="1245"/>
      <c r="U289" s="1174"/>
      <c r="V289" s="1174"/>
    </row>
    <row r="290" spans="1:22" ht="15.75" hidden="1" outlineLevel="2" x14ac:dyDescent="0.25">
      <c r="A290" s="1174"/>
      <c r="E290" s="1311" t="s">
        <v>1228</v>
      </c>
      <c r="F290" s="16"/>
      <c r="G290" s="49"/>
      <c r="H290" s="49"/>
      <c r="I290" s="49"/>
      <c r="O290" s="1243"/>
      <c r="P290" s="1244"/>
      <c r="Q290" s="1245"/>
      <c r="R290" s="1245"/>
      <c r="S290" s="1245"/>
      <c r="T290" s="1245"/>
      <c r="U290" s="1174"/>
      <c r="V290" s="1174"/>
    </row>
    <row r="291" spans="1:22" ht="15.75" hidden="1" outlineLevel="2" x14ac:dyDescent="0.25">
      <c r="A291" s="1174"/>
      <c r="E291" s="1179" t="s">
        <v>570</v>
      </c>
      <c r="F291" s="1351" t="s">
        <v>1186</v>
      </c>
      <c r="G291" s="1179" t="s">
        <v>1187</v>
      </c>
      <c r="H291" s="1179" t="s">
        <v>1176</v>
      </c>
      <c r="I291" s="1179" t="s">
        <v>1188</v>
      </c>
      <c r="J291" s="1351" t="s">
        <v>157</v>
      </c>
      <c r="O291" s="1243"/>
      <c r="P291" s="1244"/>
      <c r="Q291" s="1245"/>
      <c r="R291" s="1245"/>
      <c r="S291" s="1245"/>
      <c r="T291" s="1245"/>
      <c r="U291" s="1174"/>
      <c r="V291" s="1174"/>
    </row>
    <row r="292" spans="1:22" ht="15.75" hidden="1" outlineLevel="2" x14ac:dyDescent="0.25">
      <c r="A292" s="1174">
        <v>1</v>
      </c>
      <c r="B292" t="str">
        <f>+B$67</f>
        <v xml:space="preserve">Carson City </v>
      </c>
      <c r="C292" s="1253"/>
      <c r="D292" s="1253">
        <f t="shared" ref="D292:D297" si="73">$D$50</f>
        <v>8966</v>
      </c>
      <c r="E292" s="1371">
        <f t="shared" ref="E292:I297" si="74">+$E177*E199</f>
        <v>0</v>
      </c>
      <c r="F292" s="1371">
        <f t="shared" si="74"/>
        <v>0</v>
      </c>
      <c r="G292" s="1371">
        <f t="shared" si="74"/>
        <v>0</v>
      </c>
      <c r="H292" s="1371">
        <f t="shared" si="74"/>
        <v>0</v>
      </c>
      <c r="I292" s="1371">
        <f t="shared" si="74"/>
        <v>0</v>
      </c>
      <c r="J292" s="1372">
        <f t="shared" ref="J292:J298" si="75">SUM(E292:I292)</f>
        <v>0</v>
      </c>
      <c r="O292" s="1243"/>
      <c r="P292" s="1244"/>
      <c r="Q292" s="1245"/>
      <c r="R292" s="1245"/>
      <c r="S292" s="1245"/>
      <c r="T292" s="1245"/>
      <c r="U292" s="1174"/>
      <c r="V292" s="1174"/>
    </row>
    <row r="293" spans="1:22" ht="15.75" hidden="1" outlineLevel="2" x14ac:dyDescent="0.25">
      <c r="A293" s="1174">
        <f>1+A292</f>
        <v>2</v>
      </c>
      <c r="B293" t="str">
        <f>+$B$68</f>
        <v>Churchill</v>
      </c>
      <c r="C293" s="1253"/>
      <c r="D293" s="1253">
        <f t="shared" si="73"/>
        <v>8966</v>
      </c>
      <c r="E293" s="1353">
        <f t="shared" si="74"/>
        <v>0</v>
      </c>
      <c r="F293" s="1353">
        <f t="shared" si="74"/>
        <v>0</v>
      </c>
      <c r="G293" s="1353">
        <f t="shared" si="74"/>
        <v>0</v>
      </c>
      <c r="H293" s="1353">
        <f t="shared" si="74"/>
        <v>0</v>
      </c>
      <c r="I293" s="1353">
        <f t="shared" si="74"/>
        <v>0</v>
      </c>
      <c r="J293" s="1342">
        <f t="shared" si="75"/>
        <v>0</v>
      </c>
      <c r="O293" s="1243"/>
      <c r="P293" s="1244"/>
      <c r="Q293" s="1245"/>
      <c r="R293" s="1245"/>
      <c r="S293" s="1245"/>
      <c r="T293" s="1245"/>
      <c r="U293" s="1174"/>
      <c r="V293" s="1174"/>
    </row>
    <row r="294" spans="1:22" ht="15.75" hidden="1" outlineLevel="2" x14ac:dyDescent="0.25">
      <c r="A294" s="1174">
        <f t="shared" ref="A294:A297" si="76">1+A293</f>
        <v>3</v>
      </c>
      <c r="B294" t="str">
        <f>+$B$69</f>
        <v>Clark</v>
      </c>
      <c r="C294" s="1253"/>
      <c r="D294" s="1253">
        <f t="shared" si="73"/>
        <v>8966</v>
      </c>
      <c r="E294" s="1353">
        <f t="shared" si="74"/>
        <v>0</v>
      </c>
      <c r="F294" s="1353">
        <f t="shared" si="74"/>
        <v>0</v>
      </c>
      <c r="G294" s="1353">
        <f t="shared" si="74"/>
        <v>0</v>
      </c>
      <c r="H294" s="1353">
        <f t="shared" si="74"/>
        <v>0</v>
      </c>
      <c r="I294" s="1353">
        <f t="shared" si="74"/>
        <v>0</v>
      </c>
      <c r="J294" s="1342">
        <f t="shared" si="75"/>
        <v>0</v>
      </c>
      <c r="O294" s="1243"/>
      <c r="P294" s="1244"/>
      <c r="Q294" s="1245"/>
      <c r="R294" s="1245"/>
      <c r="S294" s="1245"/>
      <c r="T294" s="1245"/>
      <c r="U294" s="1174"/>
      <c r="V294" s="1174"/>
    </row>
    <row r="295" spans="1:22" ht="15.75" hidden="1" outlineLevel="2" x14ac:dyDescent="0.25">
      <c r="A295" s="1174">
        <f t="shared" si="76"/>
        <v>4</v>
      </c>
      <c r="B295" t="str">
        <f>+$B$70</f>
        <v>Elko</v>
      </c>
      <c r="C295" s="1253"/>
      <c r="D295" s="1253">
        <f t="shared" si="73"/>
        <v>8966</v>
      </c>
      <c r="E295" s="1353">
        <f t="shared" si="74"/>
        <v>0</v>
      </c>
      <c r="F295" s="1353">
        <f t="shared" si="74"/>
        <v>0</v>
      </c>
      <c r="G295" s="1353">
        <f t="shared" si="74"/>
        <v>0</v>
      </c>
      <c r="H295" s="1353">
        <f t="shared" si="74"/>
        <v>0</v>
      </c>
      <c r="I295" s="1353">
        <f t="shared" si="74"/>
        <v>0</v>
      </c>
      <c r="J295" s="1342">
        <f t="shared" si="75"/>
        <v>0</v>
      </c>
      <c r="O295" s="1243"/>
      <c r="P295" s="1244"/>
      <c r="Q295" s="1245"/>
      <c r="R295" s="1245"/>
      <c r="S295" s="1245"/>
      <c r="T295" s="1245"/>
      <c r="U295" s="1174"/>
      <c r="V295" s="1174"/>
    </row>
    <row r="296" spans="1:22" ht="15.75" hidden="1" outlineLevel="2" x14ac:dyDescent="0.25">
      <c r="A296" s="1174">
        <f t="shared" si="76"/>
        <v>5</v>
      </c>
      <c r="B296" t="str">
        <f>+$B$72</f>
        <v>Washoe</v>
      </c>
      <c r="C296" s="1253"/>
      <c r="D296" s="1253">
        <f t="shared" si="73"/>
        <v>8966</v>
      </c>
      <c r="E296" s="1353">
        <f t="shared" si="74"/>
        <v>0</v>
      </c>
      <c r="F296" s="1353">
        <f t="shared" si="74"/>
        <v>0</v>
      </c>
      <c r="G296" s="1353">
        <f t="shared" si="74"/>
        <v>0</v>
      </c>
      <c r="H296" s="1353">
        <f t="shared" si="74"/>
        <v>0</v>
      </c>
      <c r="I296" s="1353">
        <f t="shared" si="74"/>
        <v>0</v>
      </c>
      <c r="J296" s="1342">
        <f t="shared" si="75"/>
        <v>0</v>
      </c>
      <c r="O296" s="1243"/>
      <c r="P296" s="1244"/>
      <c r="Q296" s="1245"/>
      <c r="R296" s="1245"/>
      <c r="S296" s="1245"/>
      <c r="T296" s="1245"/>
      <c r="U296" s="1174"/>
      <c r="V296" s="1174"/>
    </row>
    <row r="297" spans="1:22" ht="15.75" hidden="1" outlineLevel="2" x14ac:dyDescent="0.25">
      <c r="A297" s="1174">
        <f t="shared" si="76"/>
        <v>6</v>
      </c>
      <c r="B297" t="str">
        <f>+$B$73</f>
        <v>White Pine</v>
      </c>
      <c r="C297" s="1253"/>
      <c r="D297" s="1253">
        <f t="shared" si="73"/>
        <v>8966</v>
      </c>
      <c r="E297" s="1354">
        <f t="shared" si="74"/>
        <v>0</v>
      </c>
      <c r="F297" s="1354">
        <f t="shared" si="74"/>
        <v>0</v>
      </c>
      <c r="G297" s="1354">
        <f t="shared" si="74"/>
        <v>0</v>
      </c>
      <c r="H297" s="1354">
        <f t="shared" si="74"/>
        <v>0</v>
      </c>
      <c r="I297" s="1354">
        <f t="shared" si="74"/>
        <v>0</v>
      </c>
      <c r="J297" s="1342">
        <f t="shared" si="75"/>
        <v>0</v>
      </c>
      <c r="O297" s="1243"/>
      <c r="P297" s="1244"/>
      <c r="Q297" s="1245"/>
      <c r="R297" s="1245"/>
      <c r="S297" s="1245"/>
      <c r="T297" s="1245"/>
      <c r="U297" s="1174"/>
      <c r="V297" s="1174"/>
    </row>
    <row r="298" spans="1:22" ht="15.75" hidden="1" outlineLevel="2" x14ac:dyDescent="0.25">
      <c r="A298" s="1174"/>
      <c r="B298" s="1340" t="s">
        <v>157</v>
      </c>
      <c r="C298" s="1340"/>
      <c r="D298" s="1340"/>
      <c r="E298" s="1364">
        <f>SUM(E292:E297)</f>
        <v>0</v>
      </c>
      <c r="F298" s="1364">
        <f t="shared" ref="F298:I298" si="77">SUM(F292:F297)</f>
        <v>0</v>
      </c>
      <c r="G298" s="1364">
        <f t="shared" si="77"/>
        <v>0</v>
      </c>
      <c r="H298" s="1364">
        <f t="shared" si="77"/>
        <v>0</v>
      </c>
      <c r="I298" s="1364">
        <f t="shared" si="77"/>
        <v>0</v>
      </c>
      <c r="J298" s="1364">
        <f t="shared" si="75"/>
        <v>0</v>
      </c>
      <c r="O298" s="1243"/>
      <c r="P298" s="1244"/>
      <c r="Q298" s="1245"/>
      <c r="R298" s="1245"/>
      <c r="S298" s="1245"/>
      <c r="T298" s="1245"/>
      <c r="U298" s="1174"/>
      <c r="V298" s="1174"/>
    </row>
    <row r="299" spans="1:22" ht="15.75" hidden="1" outlineLevel="2" x14ac:dyDescent="0.25">
      <c r="A299" s="1174"/>
      <c r="O299" s="1243"/>
      <c r="P299" s="1244"/>
      <c r="Q299" s="1245"/>
      <c r="R299" s="1245"/>
      <c r="S299" s="1245"/>
      <c r="T299" s="1245"/>
      <c r="U299" s="1174"/>
      <c r="V299" s="1174"/>
    </row>
    <row r="300" spans="1:22" ht="15.75" hidden="1" outlineLevel="2" x14ac:dyDescent="0.25">
      <c r="A300" s="1174"/>
      <c r="B300" s="1340" t="s">
        <v>1223</v>
      </c>
      <c r="C300" s="1340"/>
      <c r="D300" s="1340"/>
      <c r="E300" s="1364">
        <f>+E288+E298</f>
        <v>0</v>
      </c>
      <c r="F300" s="1364">
        <f t="shared" ref="F300:I300" si="78">+F288+F298</f>
        <v>223115.36570793387</v>
      </c>
      <c r="G300" s="1364">
        <f t="shared" si="78"/>
        <v>43036.799999999996</v>
      </c>
      <c r="H300" s="1364">
        <f t="shared" si="78"/>
        <v>8069.4</v>
      </c>
      <c r="I300" s="1364">
        <f t="shared" si="78"/>
        <v>1075.92</v>
      </c>
      <c r="J300" s="1373">
        <f>SUM(E300:I300)</f>
        <v>275297.4857079339</v>
      </c>
      <c r="O300" s="1243"/>
      <c r="P300" s="1244"/>
      <c r="Q300" s="1245"/>
      <c r="R300" s="1245"/>
      <c r="S300" s="1245"/>
      <c r="T300" s="1245"/>
      <c r="U300" s="1174"/>
      <c r="V300" s="1174"/>
    </row>
    <row r="301" spans="1:22" ht="15.75" hidden="1" outlineLevel="2" x14ac:dyDescent="0.25">
      <c r="A301" s="1174"/>
      <c r="O301" s="1243"/>
      <c r="P301" s="1244"/>
      <c r="Q301" s="1245"/>
      <c r="R301" s="1245"/>
      <c r="S301" s="1245"/>
      <c r="T301" s="1245"/>
      <c r="U301" s="1174"/>
      <c r="V301" s="1174"/>
    </row>
    <row r="302" spans="1:22" ht="15.75" hidden="1" outlineLevel="2" x14ac:dyDescent="0.25">
      <c r="A302" s="1174"/>
      <c r="O302" s="1243"/>
      <c r="P302" s="1244"/>
      <c r="Q302" s="1245"/>
      <c r="R302" s="1245"/>
      <c r="S302" s="1245"/>
      <c r="T302" s="1245"/>
      <c r="U302" s="1174"/>
      <c r="V302" s="1174"/>
    </row>
    <row r="303" spans="1:22" ht="15.75" hidden="1" outlineLevel="2" x14ac:dyDescent="0.25">
      <c r="A303" s="1174"/>
      <c r="O303" s="1174"/>
      <c r="P303" s="1374"/>
      <c r="Q303" s="1174"/>
      <c r="R303" s="1174"/>
      <c r="S303" s="1174"/>
      <c r="T303" s="1174"/>
      <c r="U303" s="1174"/>
      <c r="V303" s="1174"/>
    </row>
    <row r="304" spans="1:22" ht="15.75" hidden="1" outlineLevel="2" x14ac:dyDescent="0.25">
      <c r="A304" s="1174"/>
      <c r="B304" s="1360" t="s">
        <v>430</v>
      </c>
      <c r="C304" s="1360"/>
      <c r="D304" s="1360"/>
      <c r="E304" s="1361"/>
      <c r="F304" s="1361"/>
      <c r="G304" s="1361"/>
      <c r="H304" s="1361"/>
      <c r="I304" s="1361"/>
      <c r="J304" s="1361"/>
      <c r="O304" s="1174"/>
      <c r="P304" s="1374"/>
      <c r="Q304" s="1174"/>
      <c r="R304" s="1174"/>
      <c r="S304" s="1174"/>
      <c r="T304" s="1174"/>
      <c r="U304" s="1174"/>
      <c r="V304" s="1174"/>
    </row>
    <row r="305" spans="1:22" ht="15.75" hidden="1" outlineLevel="2" x14ac:dyDescent="0.25">
      <c r="A305" s="1174"/>
      <c r="B305" s="1332" t="s">
        <v>1196</v>
      </c>
      <c r="C305" s="1332"/>
      <c r="D305" s="1332"/>
      <c r="E305" s="1209"/>
      <c r="F305" s="1209"/>
      <c r="G305" s="1332"/>
      <c r="H305" s="1209"/>
      <c r="I305" s="1209"/>
      <c r="J305" s="1333"/>
      <c r="O305" s="1174"/>
      <c r="P305" s="1374"/>
      <c r="Q305" s="1174"/>
      <c r="R305" s="1174"/>
      <c r="S305" s="1174"/>
      <c r="T305" s="1174"/>
      <c r="U305" s="1174"/>
      <c r="V305" s="1174"/>
    </row>
    <row r="306" spans="1:22" ht="15.75" hidden="1" outlineLevel="2" x14ac:dyDescent="0.25">
      <c r="A306" s="1174"/>
      <c r="B306" s="1311"/>
      <c r="C306" s="1311"/>
      <c r="D306" s="1311"/>
      <c r="E306" s="1311" t="s">
        <v>1219</v>
      </c>
      <c r="F306" s="49"/>
      <c r="G306" s="1311"/>
      <c r="H306" s="49"/>
      <c r="I306" s="49"/>
      <c r="J306" s="1334"/>
      <c r="O306" s="1174"/>
      <c r="P306" s="1374"/>
      <c r="Q306" s="1174"/>
      <c r="R306" s="1174"/>
      <c r="S306" s="1174"/>
      <c r="T306" s="1174"/>
      <c r="U306" s="1174"/>
      <c r="V306" s="1174"/>
    </row>
    <row r="307" spans="1:22" ht="15.75" hidden="1" outlineLevel="2" x14ac:dyDescent="0.25">
      <c r="A307" s="1174"/>
      <c r="B307" s="1179"/>
      <c r="C307" s="1179"/>
      <c r="D307" s="1179"/>
      <c r="E307" s="1179" t="s">
        <v>570</v>
      </c>
      <c r="F307" s="1179" t="s">
        <v>1186</v>
      </c>
      <c r="G307" s="1179" t="s">
        <v>1187</v>
      </c>
      <c r="H307" s="1179" t="s">
        <v>1176</v>
      </c>
      <c r="I307" s="1179" t="s">
        <v>1188</v>
      </c>
      <c r="J307" s="1179" t="s">
        <v>157</v>
      </c>
      <c r="O307" s="1174"/>
      <c r="P307" s="1374"/>
      <c r="Q307" s="1174"/>
      <c r="R307" s="1174"/>
      <c r="S307" s="1174"/>
      <c r="T307" s="1174"/>
      <c r="U307" s="1174"/>
      <c r="V307" s="1174"/>
    </row>
    <row r="308" spans="1:22" ht="15.75" hidden="1" outlineLevel="2" x14ac:dyDescent="0.25">
      <c r="A308" s="1174">
        <v>1</v>
      </c>
      <c r="B308" t="str">
        <f>+B$67</f>
        <v xml:space="preserve">Carson City </v>
      </c>
      <c r="C308" s="1224"/>
      <c r="D308" s="1224">
        <f>E217</f>
        <v>0</v>
      </c>
      <c r="E308" s="1362">
        <f>+E321+E331</f>
        <v>0</v>
      </c>
      <c r="F308" s="1362">
        <f t="shared" ref="F308:I308" si="79">+F321+F331</f>
        <v>0</v>
      </c>
      <c r="G308" s="1362">
        <f t="shared" si="79"/>
        <v>0</v>
      </c>
      <c r="H308" s="1362">
        <f t="shared" si="79"/>
        <v>0</v>
      </c>
      <c r="I308" s="1362">
        <f t="shared" si="79"/>
        <v>0</v>
      </c>
      <c r="J308" s="1363">
        <f t="shared" ref="J308:J315" si="80">SUM(E308:I308)</f>
        <v>0</v>
      </c>
      <c r="O308" s="1174"/>
      <c r="P308" s="1374"/>
      <c r="Q308" s="1174"/>
      <c r="R308" s="1174"/>
      <c r="S308" s="1174"/>
      <c r="T308" s="1174"/>
      <c r="U308" s="1174"/>
      <c r="V308" s="1174"/>
    </row>
    <row r="309" spans="1:22" ht="15.75" hidden="1" outlineLevel="2" x14ac:dyDescent="0.25">
      <c r="A309" s="1174">
        <f>1+A308</f>
        <v>2</v>
      </c>
      <c r="B309" t="str">
        <f>+$B$68</f>
        <v>Churchill</v>
      </c>
      <c r="C309" s="1253"/>
      <c r="D309" s="1253">
        <f t="shared" ref="D309:D313" si="81">E218</f>
        <v>0</v>
      </c>
      <c r="E309" s="1337">
        <f t="shared" ref="E309:I311" si="82">+E322+E332</f>
        <v>0</v>
      </c>
      <c r="F309" s="1337">
        <f t="shared" si="82"/>
        <v>0</v>
      </c>
      <c r="G309" s="1337">
        <f t="shared" si="82"/>
        <v>0</v>
      </c>
      <c r="H309" s="1337">
        <f t="shared" si="82"/>
        <v>0</v>
      </c>
      <c r="I309" s="1337">
        <f t="shared" si="82"/>
        <v>0</v>
      </c>
      <c r="J309" s="1337">
        <f t="shared" si="80"/>
        <v>0</v>
      </c>
      <c r="O309" s="1174"/>
      <c r="P309" s="1374"/>
      <c r="Q309" s="1174"/>
      <c r="R309" s="1174"/>
      <c r="S309" s="1174"/>
      <c r="T309" s="1174"/>
      <c r="U309" s="1174"/>
      <c r="V309" s="1174"/>
    </row>
    <row r="310" spans="1:22" ht="15.75" hidden="1" outlineLevel="2" x14ac:dyDescent="0.25">
      <c r="A310" s="1174">
        <f t="shared" ref="A310:A313" si="83">1+A309</f>
        <v>3</v>
      </c>
      <c r="B310" t="str">
        <f>+$B$69</f>
        <v>Clark</v>
      </c>
      <c r="C310" s="1253"/>
      <c r="D310" s="1253" t="str">
        <f t="shared" si="81"/>
        <v>General</v>
      </c>
      <c r="E310" s="1337" t="e">
        <f t="shared" si="82"/>
        <v>#VALUE!</v>
      </c>
      <c r="F310" s="1337" t="e">
        <f t="shared" si="82"/>
        <v>#VALUE!</v>
      </c>
      <c r="G310" s="1337" t="e">
        <f t="shared" si="82"/>
        <v>#VALUE!</v>
      </c>
      <c r="H310" s="1337" t="e">
        <f t="shared" si="82"/>
        <v>#VALUE!</v>
      </c>
      <c r="I310" s="1337" t="e">
        <f t="shared" si="82"/>
        <v>#VALUE!</v>
      </c>
      <c r="J310" s="1337" t="e">
        <f t="shared" si="80"/>
        <v>#VALUE!</v>
      </c>
      <c r="O310" s="1174"/>
      <c r="P310" s="1374"/>
      <c r="Q310" s="1174"/>
      <c r="R310" s="1174"/>
      <c r="S310" s="1174"/>
      <c r="T310" s="1174"/>
      <c r="U310" s="1174"/>
      <c r="V310" s="1174"/>
    </row>
    <row r="311" spans="1:22" ht="15.75" hidden="1" outlineLevel="2" x14ac:dyDescent="0.25">
      <c r="A311" s="1174">
        <f t="shared" si="83"/>
        <v>4</v>
      </c>
      <c r="B311" t="str">
        <f>+$B$70</f>
        <v>Elko</v>
      </c>
      <c r="C311" s="1253"/>
      <c r="D311" s="1253">
        <f t="shared" si="81"/>
        <v>100</v>
      </c>
      <c r="E311" s="1337">
        <f>+E324+E334</f>
        <v>797433.33333333326</v>
      </c>
      <c r="F311" s="1337">
        <f t="shared" si="82"/>
        <v>3907771.4722998859</v>
      </c>
      <c r="G311" s="1337">
        <f t="shared" si="82"/>
        <v>1425172.8533333335</v>
      </c>
      <c r="H311" s="1337">
        <f t="shared" si="82"/>
        <v>824705.55333333334</v>
      </c>
      <c r="I311" s="1337">
        <f t="shared" si="82"/>
        <v>962023.57333333336</v>
      </c>
      <c r="J311" s="1337">
        <f t="shared" si="80"/>
        <v>7917106.7856332194</v>
      </c>
      <c r="O311" s="1174"/>
      <c r="P311" s="1374"/>
      <c r="Q311" s="1174"/>
      <c r="R311" s="1174"/>
      <c r="S311" s="1174"/>
      <c r="T311" s="1174"/>
      <c r="U311" s="1174"/>
      <c r="V311" s="1174"/>
    </row>
    <row r="312" spans="1:22" ht="15.75" hidden="1" outlineLevel="2" x14ac:dyDescent="0.25">
      <c r="A312" s="1174">
        <f t="shared" si="83"/>
        <v>5</v>
      </c>
      <c r="B312" t="str">
        <f>+$B$72</f>
        <v>Washoe</v>
      </c>
      <c r="C312" s="1253"/>
      <c r="D312" s="1253">
        <f t="shared" si="81"/>
        <v>0</v>
      </c>
      <c r="E312" s="1339">
        <f t="shared" ref="E312:I313" si="84">+E325+E335</f>
        <v>0</v>
      </c>
      <c r="F312" s="1339">
        <f t="shared" si="84"/>
        <v>0</v>
      </c>
      <c r="G312" s="1339">
        <f t="shared" si="84"/>
        <v>0</v>
      </c>
      <c r="H312" s="1339">
        <f t="shared" si="84"/>
        <v>0</v>
      </c>
      <c r="I312" s="1339">
        <f t="shared" si="84"/>
        <v>0</v>
      </c>
      <c r="J312" s="1337">
        <f t="shared" si="80"/>
        <v>0</v>
      </c>
      <c r="O312" s="1174"/>
      <c r="P312" s="1374"/>
      <c r="Q312" s="1174"/>
      <c r="R312" s="1174"/>
      <c r="S312" s="1174"/>
      <c r="T312" s="1174"/>
      <c r="U312" s="1174"/>
      <c r="V312" s="1174"/>
    </row>
    <row r="313" spans="1:22" ht="15.75" hidden="1" outlineLevel="2" x14ac:dyDescent="0.25">
      <c r="A313" s="1174">
        <f t="shared" si="83"/>
        <v>6</v>
      </c>
      <c r="B313" t="str">
        <f>+$B$73</f>
        <v>White Pine</v>
      </c>
      <c r="C313" s="1253"/>
      <c r="D313" s="1253">
        <f t="shared" si="81"/>
        <v>0</v>
      </c>
      <c r="E313" s="1339" t="e">
        <f t="shared" si="84"/>
        <v>#VALUE!</v>
      </c>
      <c r="F313" s="1339">
        <f t="shared" si="84"/>
        <v>0</v>
      </c>
      <c r="G313" s="1339">
        <f t="shared" si="84"/>
        <v>0</v>
      </c>
      <c r="H313" s="1339">
        <f t="shared" si="84"/>
        <v>0</v>
      </c>
      <c r="I313" s="1339">
        <f t="shared" si="84"/>
        <v>0</v>
      </c>
      <c r="J313" s="1339" t="e">
        <f t="shared" si="80"/>
        <v>#VALUE!</v>
      </c>
      <c r="O313" s="1174"/>
      <c r="P313" s="1374"/>
      <c r="Q313" s="1174"/>
      <c r="R313" s="1174"/>
      <c r="S313" s="1174"/>
      <c r="T313" s="1174"/>
      <c r="U313" s="1174"/>
      <c r="V313" s="1174"/>
    </row>
    <row r="314" spans="1:22" ht="15.75" hidden="1" outlineLevel="2" x14ac:dyDescent="0.25">
      <c r="A314" s="1174"/>
      <c r="B314" s="1340" t="s">
        <v>460</v>
      </c>
      <c r="C314" s="1340"/>
      <c r="D314" s="1340"/>
      <c r="E314" s="1305" t="e">
        <f>SUM(E308:E313)</f>
        <v>#VALUE!</v>
      </c>
      <c r="F314" s="1305" t="e">
        <f>SUM(F308:F313)</f>
        <v>#VALUE!</v>
      </c>
      <c r="G314" s="1305" t="e">
        <f t="shared" ref="G314:I314" si="85">SUM(G308:G313)</f>
        <v>#VALUE!</v>
      </c>
      <c r="H314" s="1305" t="e">
        <f t="shared" si="85"/>
        <v>#VALUE!</v>
      </c>
      <c r="I314" s="1305" t="e">
        <f t="shared" si="85"/>
        <v>#VALUE!</v>
      </c>
      <c r="J314" s="1306" t="e">
        <f t="shared" si="80"/>
        <v>#VALUE!</v>
      </c>
      <c r="O314" s="1174"/>
      <c r="P314" s="1374"/>
      <c r="Q314" s="1174"/>
      <c r="R314" s="1174"/>
      <c r="S314" s="1174"/>
      <c r="T314" s="1174"/>
      <c r="U314" s="1174"/>
      <c r="V314" s="1174"/>
    </row>
    <row r="315" spans="1:22" ht="15.75" hidden="1" outlineLevel="2" x14ac:dyDescent="0.25">
      <c r="A315" s="1174"/>
      <c r="B315" s="16" t="s">
        <v>457</v>
      </c>
      <c r="E315" s="1342" t="str">
        <f>+E245</f>
        <v>General</v>
      </c>
      <c r="F315" s="1342" t="str">
        <f t="shared" ref="F315:I315" si="86">+F245</f>
        <v>SpEd</v>
      </c>
      <c r="G315" s="1342" t="str">
        <f t="shared" si="86"/>
        <v>EL</v>
      </c>
      <c r="H315" s="1342" t="str">
        <f t="shared" si="86"/>
        <v>AR</v>
      </c>
      <c r="I315" s="1342" t="str">
        <f t="shared" si="86"/>
        <v>G&amp;T</v>
      </c>
      <c r="J315" s="1342">
        <f t="shared" si="80"/>
        <v>0</v>
      </c>
      <c r="O315" s="1174"/>
      <c r="P315" s="1374"/>
      <c r="Q315" s="1174"/>
      <c r="R315" s="1174"/>
      <c r="S315" s="1174"/>
      <c r="T315" s="1174"/>
      <c r="U315" s="1174"/>
      <c r="V315" s="1174"/>
    </row>
    <row r="316" spans="1:22" ht="15.75" hidden="1" outlineLevel="2" x14ac:dyDescent="0.25">
      <c r="A316" s="1174"/>
      <c r="B316" s="1340" t="s">
        <v>1226</v>
      </c>
      <c r="C316" s="1251"/>
      <c r="D316" s="1251"/>
      <c r="E316" s="1364" t="e">
        <f t="shared" ref="E316:I316" si="87">+E314/E315</f>
        <v>#VALUE!</v>
      </c>
      <c r="F316" s="1364" t="e">
        <f t="shared" si="87"/>
        <v>#VALUE!</v>
      </c>
      <c r="G316" s="1364" t="e">
        <f t="shared" si="87"/>
        <v>#VALUE!</v>
      </c>
      <c r="H316" s="1364" t="e">
        <f t="shared" si="87"/>
        <v>#VALUE!</v>
      </c>
      <c r="I316" s="1364" t="e">
        <f t="shared" si="87"/>
        <v>#VALUE!</v>
      </c>
      <c r="J316" s="1364" t="e">
        <f>+J314/J315</f>
        <v>#VALUE!</v>
      </c>
      <c r="O316" s="1174"/>
      <c r="P316" s="1374"/>
      <c r="Q316" s="1174"/>
      <c r="R316" s="1174"/>
      <c r="S316" s="1174"/>
      <c r="T316" s="1174"/>
      <c r="U316" s="1174"/>
      <c r="V316" s="1174"/>
    </row>
    <row r="317" spans="1:22" ht="15.75" hidden="1" outlineLevel="2" x14ac:dyDescent="0.25">
      <c r="A317" s="1174"/>
      <c r="B317" s="16"/>
      <c r="J317" s="1342"/>
      <c r="O317" s="1174"/>
      <c r="P317" s="1374"/>
      <c r="Q317" s="1174"/>
      <c r="R317" s="1174"/>
      <c r="S317" s="1174"/>
      <c r="T317" s="1174"/>
      <c r="U317" s="1174"/>
      <c r="V317" s="1174"/>
    </row>
    <row r="318" spans="1:22" ht="15.75" hidden="1" outlineLevel="2" x14ac:dyDescent="0.25">
      <c r="A318" s="1174"/>
      <c r="E318" s="1311" t="s">
        <v>1227</v>
      </c>
      <c r="F318" s="49"/>
      <c r="G318" s="1311"/>
      <c r="H318" s="1311"/>
      <c r="I318" s="1311"/>
      <c r="J318" s="49"/>
      <c r="O318" s="1174"/>
      <c r="P318" s="1374"/>
      <c r="Q318" s="1174"/>
      <c r="R318" s="1174"/>
      <c r="S318" s="1174"/>
      <c r="T318" s="1174"/>
      <c r="U318" s="1174"/>
      <c r="V318" s="1174"/>
    </row>
    <row r="319" spans="1:22" ht="15.75" hidden="1" outlineLevel="2" x14ac:dyDescent="0.25">
      <c r="A319" s="1174"/>
      <c r="E319" s="1179" t="s">
        <v>570</v>
      </c>
      <c r="F319" s="1179" t="s">
        <v>1186</v>
      </c>
      <c r="G319" s="1179" t="s">
        <v>1187</v>
      </c>
      <c r="H319" s="1179" t="s">
        <v>1176</v>
      </c>
      <c r="I319" s="1179" t="s">
        <v>1188</v>
      </c>
      <c r="J319" s="1343"/>
      <c r="O319" s="1174"/>
      <c r="P319" s="1374"/>
      <c r="Q319" s="1174"/>
      <c r="R319" s="1174"/>
      <c r="S319" s="1174"/>
      <c r="T319" s="1174"/>
      <c r="U319" s="1174"/>
      <c r="V319" s="1174"/>
    </row>
    <row r="320" spans="1:22" ht="15.75" hidden="1" outlineLevel="2" x14ac:dyDescent="0.25">
      <c r="A320" s="1174"/>
      <c r="B320" s="1179" t="s">
        <v>1221</v>
      </c>
      <c r="C320" s="1179"/>
      <c r="D320" s="1179"/>
      <c r="E320" s="1365">
        <v>0</v>
      </c>
      <c r="F320" s="1366">
        <f>+F249</f>
        <v>11021.2</v>
      </c>
      <c r="G320" s="1366">
        <f t="shared" ref="G320:I320" si="88">+G249</f>
        <v>3454.56</v>
      </c>
      <c r="H320" s="1366">
        <f t="shared" si="88"/>
        <v>647.73</v>
      </c>
      <c r="I320" s="1366">
        <f t="shared" si="88"/>
        <v>863.64</v>
      </c>
      <c r="J320" s="1179" t="s">
        <v>157</v>
      </c>
      <c r="O320" s="1174"/>
      <c r="P320" s="1374"/>
      <c r="Q320" s="1174"/>
      <c r="R320" s="1174"/>
      <c r="S320" s="1174"/>
      <c r="T320" s="1174"/>
      <c r="U320" s="1174"/>
      <c r="V320" s="1174"/>
    </row>
    <row r="321" spans="1:22" ht="15.75" hidden="1" outlineLevel="2" x14ac:dyDescent="0.25">
      <c r="A321" s="1174">
        <v>1</v>
      </c>
      <c r="B321" t="str">
        <f>+B$67</f>
        <v xml:space="preserve">Carson City </v>
      </c>
      <c r="C321" s="1224"/>
      <c r="D321" s="1224">
        <f>E217</f>
        <v>0</v>
      </c>
      <c r="E321" s="1346"/>
      <c r="F321" s="1375">
        <f t="shared" ref="F321:I326" si="89">F$246*F250*$D321</f>
        <v>0</v>
      </c>
      <c r="G321" s="1375">
        <f t="shared" si="89"/>
        <v>0</v>
      </c>
      <c r="H321" s="1375">
        <f t="shared" si="89"/>
        <v>0</v>
      </c>
      <c r="I321" s="1375">
        <f t="shared" si="89"/>
        <v>0</v>
      </c>
      <c r="J321" s="1363">
        <f t="shared" ref="J321:J327" si="90">SUM(E321:I321)</f>
        <v>0</v>
      </c>
      <c r="O321" s="1174"/>
      <c r="P321" s="1374"/>
      <c r="Q321" s="1174"/>
      <c r="R321" s="1174"/>
      <c r="S321" s="1174"/>
      <c r="T321" s="1174"/>
      <c r="U321" s="1174"/>
      <c r="V321" s="1174"/>
    </row>
    <row r="322" spans="1:22" ht="15.75" hidden="1" outlineLevel="2" x14ac:dyDescent="0.25">
      <c r="A322" s="1174">
        <f>1+A321</f>
        <v>2</v>
      </c>
      <c r="B322" t="str">
        <f>+$B$68</f>
        <v>Churchill</v>
      </c>
      <c r="C322" s="1253"/>
      <c r="D322" s="1253">
        <f t="shared" ref="D322:D326" si="91">E218</f>
        <v>0</v>
      </c>
      <c r="E322" s="1346"/>
      <c r="F322" s="1368">
        <f t="shared" si="89"/>
        <v>0</v>
      </c>
      <c r="G322" s="1368">
        <f t="shared" si="89"/>
        <v>0</v>
      </c>
      <c r="H322" s="1368">
        <f t="shared" si="89"/>
        <v>0</v>
      </c>
      <c r="I322" s="1368">
        <f t="shared" si="89"/>
        <v>0</v>
      </c>
      <c r="J322" s="1337">
        <f t="shared" si="90"/>
        <v>0</v>
      </c>
      <c r="O322" s="1174"/>
      <c r="P322" s="1374"/>
      <c r="Q322" s="1174"/>
      <c r="R322" s="1174"/>
      <c r="S322" s="1174"/>
      <c r="T322" s="1174"/>
      <c r="U322" s="1174"/>
      <c r="V322" s="1174"/>
    </row>
    <row r="323" spans="1:22" ht="15.75" hidden="1" outlineLevel="2" x14ac:dyDescent="0.25">
      <c r="A323" s="1174">
        <f t="shared" ref="A323:A326" si="92">1+A322</f>
        <v>3</v>
      </c>
      <c r="B323" t="str">
        <f>+$B$69</f>
        <v>Clark</v>
      </c>
      <c r="C323" s="1253"/>
      <c r="D323" s="1253" t="str">
        <f t="shared" si="91"/>
        <v>General</v>
      </c>
      <c r="E323" s="1346"/>
      <c r="F323" s="1368" t="e">
        <f t="shared" si="89"/>
        <v>#VALUE!</v>
      </c>
      <c r="G323" s="1368" t="e">
        <f t="shared" si="89"/>
        <v>#VALUE!</v>
      </c>
      <c r="H323" s="1368" t="e">
        <f t="shared" si="89"/>
        <v>#VALUE!</v>
      </c>
      <c r="I323" s="1368" t="e">
        <f t="shared" si="89"/>
        <v>#VALUE!</v>
      </c>
      <c r="J323" s="1337" t="e">
        <f t="shared" si="90"/>
        <v>#VALUE!</v>
      </c>
      <c r="O323" s="1174"/>
      <c r="P323" s="1374"/>
      <c r="Q323" s="1174"/>
      <c r="R323" s="1174"/>
      <c r="S323" s="1174"/>
      <c r="T323" s="1174"/>
      <c r="U323" s="1174"/>
      <c r="V323" s="1174"/>
    </row>
    <row r="324" spans="1:22" ht="15.75" hidden="1" outlineLevel="2" x14ac:dyDescent="0.25">
      <c r="A324" s="1174">
        <f t="shared" si="92"/>
        <v>4</v>
      </c>
      <c r="B324" t="str">
        <f>+$B$70</f>
        <v>Elko</v>
      </c>
      <c r="C324" s="1253"/>
      <c r="D324" s="1253">
        <f t="shared" si="91"/>
        <v>100</v>
      </c>
      <c r="E324" s="1346"/>
      <c r="F324" s="1368">
        <f t="shared" si="89"/>
        <v>2805048.7040168052</v>
      </c>
      <c r="G324" s="1368">
        <f t="shared" si="89"/>
        <v>551185.92000000004</v>
      </c>
      <c r="H324" s="1368">
        <f t="shared" si="89"/>
        <v>12918.419999999998</v>
      </c>
      <c r="I324" s="1368">
        <f t="shared" si="89"/>
        <v>68898.240000000005</v>
      </c>
      <c r="J324" s="1337">
        <f t="shared" si="90"/>
        <v>3438051.2840168052</v>
      </c>
      <c r="O324" s="1174"/>
      <c r="P324" s="1374"/>
      <c r="Q324" s="1174"/>
      <c r="R324" s="1174"/>
      <c r="S324" s="1174"/>
      <c r="T324" s="1174"/>
      <c r="U324" s="1174"/>
      <c r="V324" s="1174"/>
    </row>
    <row r="325" spans="1:22" ht="15.75" hidden="1" outlineLevel="2" x14ac:dyDescent="0.25">
      <c r="A325" s="1174">
        <f t="shared" si="92"/>
        <v>5</v>
      </c>
      <c r="B325" t="str">
        <f>+$B$72</f>
        <v>Washoe</v>
      </c>
      <c r="C325" s="1253"/>
      <c r="D325" s="1253">
        <f t="shared" si="91"/>
        <v>0</v>
      </c>
      <c r="E325" s="1346"/>
      <c r="F325" s="1368">
        <f t="shared" si="89"/>
        <v>0</v>
      </c>
      <c r="G325" s="1368">
        <f t="shared" si="89"/>
        <v>0</v>
      </c>
      <c r="H325" s="1368">
        <f t="shared" si="89"/>
        <v>0</v>
      </c>
      <c r="I325" s="1368">
        <f t="shared" si="89"/>
        <v>0</v>
      </c>
      <c r="J325" s="1337">
        <f t="shared" si="90"/>
        <v>0</v>
      </c>
      <c r="O325" s="1174"/>
      <c r="P325" s="1374"/>
      <c r="Q325" s="1174"/>
      <c r="R325" s="1174"/>
      <c r="S325" s="1174"/>
      <c r="T325" s="1174"/>
      <c r="U325" s="1174"/>
      <c r="V325" s="1174"/>
    </row>
    <row r="326" spans="1:22" ht="15.75" hidden="1" outlineLevel="2" x14ac:dyDescent="0.25">
      <c r="A326" s="1174">
        <f t="shared" si="92"/>
        <v>6</v>
      </c>
      <c r="B326" t="str">
        <f>+$B$73</f>
        <v>White Pine</v>
      </c>
      <c r="C326" s="1253"/>
      <c r="D326" s="1253">
        <f t="shared" si="91"/>
        <v>0</v>
      </c>
      <c r="E326" s="1346"/>
      <c r="F326" s="1369">
        <f t="shared" si="89"/>
        <v>0</v>
      </c>
      <c r="G326" s="1369">
        <f t="shared" si="89"/>
        <v>0</v>
      </c>
      <c r="H326" s="1369">
        <f t="shared" si="89"/>
        <v>0</v>
      </c>
      <c r="I326" s="1369">
        <f t="shared" si="89"/>
        <v>0</v>
      </c>
      <c r="J326" s="1339">
        <f t="shared" si="90"/>
        <v>0</v>
      </c>
      <c r="O326" s="1174"/>
      <c r="P326" s="1374"/>
      <c r="Q326" s="1174"/>
      <c r="R326" s="1174"/>
      <c r="S326" s="1174"/>
      <c r="T326" s="1174"/>
      <c r="U326" s="1174"/>
      <c r="V326" s="1174"/>
    </row>
    <row r="327" spans="1:22" ht="15.75" hidden="1" outlineLevel="2" x14ac:dyDescent="0.25">
      <c r="A327" s="1174"/>
      <c r="B327" s="1340" t="s">
        <v>157</v>
      </c>
      <c r="C327" s="1340"/>
      <c r="D327" s="1340"/>
      <c r="E327" s="1370"/>
      <c r="F327" s="1364" t="e">
        <f t="shared" ref="F327:I327" si="93">SUM(F321:F326)</f>
        <v>#VALUE!</v>
      </c>
      <c r="G327" s="1364" t="e">
        <f t="shared" si="93"/>
        <v>#VALUE!</v>
      </c>
      <c r="H327" s="1364" t="e">
        <f t="shared" si="93"/>
        <v>#VALUE!</v>
      </c>
      <c r="I327" s="1364" t="e">
        <f t="shared" si="93"/>
        <v>#VALUE!</v>
      </c>
      <c r="J327" s="1305" t="e">
        <f t="shared" si="90"/>
        <v>#VALUE!</v>
      </c>
      <c r="O327" s="1174"/>
      <c r="P327" s="1374"/>
      <c r="Q327" s="1174"/>
      <c r="R327" s="1174"/>
      <c r="S327" s="1174"/>
      <c r="T327" s="1174"/>
      <c r="U327" s="1174"/>
      <c r="V327" s="1174"/>
    </row>
    <row r="328" spans="1:22" ht="15.75" hidden="1" outlineLevel="2" x14ac:dyDescent="0.25">
      <c r="A328" s="1174"/>
      <c r="O328" s="1174"/>
      <c r="P328" s="1374"/>
      <c r="Q328" s="1174"/>
      <c r="R328" s="1174"/>
      <c r="S328" s="1174"/>
      <c r="T328" s="1174"/>
      <c r="U328" s="1174"/>
      <c r="V328" s="1174"/>
    </row>
    <row r="329" spans="1:22" ht="15.75" hidden="1" outlineLevel="2" x14ac:dyDescent="0.25">
      <c r="A329" s="1174"/>
      <c r="E329" s="1311" t="s">
        <v>1228</v>
      </c>
      <c r="F329" s="16"/>
      <c r="G329" s="49"/>
      <c r="H329" s="49"/>
      <c r="I329" s="49"/>
      <c r="O329" s="1174"/>
      <c r="P329" s="1374"/>
      <c r="Q329" s="1174"/>
      <c r="R329" s="1174"/>
      <c r="S329" s="1174"/>
      <c r="T329" s="1174"/>
      <c r="U329" s="1174"/>
      <c r="V329" s="1174"/>
    </row>
    <row r="330" spans="1:22" ht="15.75" hidden="1" outlineLevel="2" x14ac:dyDescent="0.25">
      <c r="A330" s="1174"/>
      <c r="E330" s="1179" t="s">
        <v>570</v>
      </c>
      <c r="F330" s="1351" t="s">
        <v>1186</v>
      </c>
      <c r="G330" s="1179" t="s">
        <v>1187</v>
      </c>
      <c r="H330" s="1179" t="s">
        <v>1176</v>
      </c>
      <c r="I330" s="1179" t="s">
        <v>1188</v>
      </c>
      <c r="J330" s="1351" t="s">
        <v>157</v>
      </c>
      <c r="O330" s="1174"/>
      <c r="P330" s="1374"/>
      <c r="Q330" s="1174"/>
      <c r="R330" s="1174"/>
      <c r="S330" s="1174"/>
      <c r="T330" s="1174"/>
      <c r="U330" s="1174"/>
      <c r="V330" s="1174"/>
    </row>
    <row r="331" spans="1:22" ht="15.75" hidden="1" outlineLevel="2" x14ac:dyDescent="0.25">
      <c r="A331" s="1174">
        <v>1</v>
      </c>
      <c r="B331" t="str">
        <f>+B$67</f>
        <v xml:space="preserve">Carson City </v>
      </c>
      <c r="C331" s="1224"/>
      <c r="D331" s="1224">
        <f>E217</f>
        <v>0</v>
      </c>
      <c r="E331" s="1352">
        <f t="shared" ref="E331:I336" si="94">+$E217*E239</f>
        <v>0</v>
      </c>
      <c r="F331" s="1352">
        <f t="shared" si="94"/>
        <v>0</v>
      </c>
      <c r="G331" s="1352">
        <f t="shared" si="94"/>
        <v>0</v>
      </c>
      <c r="H331" s="1352">
        <f t="shared" si="94"/>
        <v>0</v>
      </c>
      <c r="I331" s="1352">
        <f t="shared" si="94"/>
        <v>0</v>
      </c>
      <c r="J331" s="1372">
        <f t="shared" ref="J331:J337" si="95">SUM(E331:I331)</f>
        <v>0</v>
      </c>
      <c r="O331" s="1174"/>
      <c r="P331" s="1374"/>
      <c r="Q331" s="1174"/>
      <c r="R331" s="1174"/>
      <c r="S331" s="1174"/>
      <c r="T331" s="1174"/>
      <c r="U331" s="1174"/>
      <c r="V331" s="1174"/>
    </row>
    <row r="332" spans="1:22" ht="15.75" hidden="1" outlineLevel="2" x14ac:dyDescent="0.25">
      <c r="A332" s="1174">
        <f>1+A331</f>
        <v>2</v>
      </c>
      <c r="B332" t="str">
        <f>+$B$68</f>
        <v>Churchill</v>
      </c>
      <c r="C332" s="1253"/>
      <c r="D332" s="1253">
        <f t="shared" ref="D332:D336" si="96">E218</f>
        <v>0</v>
      </c>
      <c r="E332" s="1353">
        <f t="shared" si="94"/>
        <v>0</v>
      </c>
      <c r="F332" s="1353">
        <f t="shared" si="94"/>
        <v>0</v>
      </c>
      <c r="G332" s="1353">
        <f t="shared" si="94"/>
        <v>0</v>
      </c>
      <c r="H332" s="1353">
        <f t="shared" si="94"/>
        <v>0</v>
      </c>
      <c r="I332" s="1353">
        <f t="shared" si="94"/>
        <v>0</v>
      </c>
      <c r="J332" s="1342">
        <f t="shared" si="95"/>
        <v>0</v>
      </c>
      <c r="O332" s="1174"/>
      <c r="P332" s="1374"/>
      <c r="Q332" s="1174"/>
      <c r="R332" s="1174"/>
      <c r="S332" s="1174"/>
      <c r="T332" s="1174"/>
      <c r="U332" s="1174"/>
      <c r="V332" s="1174"/>
    </row>
    <row r="333" spans="1:22" ht="15.75" hidden="1" outlineLevel="2" x14ac:dyDescent="0.25">
      <c r="A333" s="1174">
        <f t="shared" ref="A333:A336" si="97">1+A332</f>
        <v>3</v>
      </c>
      <c r="B333" t="str">
        <f>+$B$69</f>
        <v>Clark</v>
      </c>
      <c r="C333" s="1253"/>
      <c r="D333" s="1253" t="str">
        <f t="shared" si="96"/>
        <v>General</v>
      </c>
      <c r="E333" s="1353" t="e">
        <f t="shared" si="94"/>
        <v>#VALUE!</v>
      </c>
      <c r="F333" s="1353" t="e">
        <f t="shared" si="94"/>
        <v>#VALUE!</v>
      </c>
      <c r="G333" s="1353" t="e">
        <f t="shared" si="94"/>
        <v>#VALUE!</v>
      </c>
      <c r="H333" s="1353" t="e">
        <f t="shared" si="94"/>
        <v>#VALUE!</v>
      </c>
      <c r="I333" s="1353" t="e">
        <f t="shared" si="94"/>
        <v>#VALUE!</v>
      </c>
      <c r="J333" s="1342" t="e">
        <f t="shared" si="95"/>
        <v>#VALUE!</v>
      </c>
      <c r="O333" s="1174"/>
      <c r="P333" s="1374"/>
      <c r="Q333" s="1174"/>
      <c r="R333" s="1174"/>
      <c r="S333" s="1174"/>
      <c r="T333" s="1174"/>
      <c r="U333" s="1174"/>
      <c r="V333" s="1174"/>
    </row>
    <row r="334" spans="1:22" ht="15.75" hidden="1" outlineLevel="2" x14ac:dyDescent="0.25">
      <c r="A334" s="1174">
        <f t="shared" si="97"/>
        <v>4</v>
      </c>
      <c r="B334" t="str">
        <f>+$B$70</f>
        <v>Elko</v>
      </c>
      <c r="C334" s="1253"/>
      <c r="D334" s="1253">
        <f t="shared" si="96"/>
        <v>100</v>
      </c>
      <c r="E334" s="1353">
        <f t="shared" si="94"/>
        <v>797433.33333333326</v>
      </c>
      <c r="F334" s="1353">
        <f t="shared" si="94"/>
        <v>1102722.7682830808</v>
      </c>
      <c r="G334" s="1353">
        <f t="shared" si="94"/>
        <v>873986.93333333335</v>
      </c>
      <c r="H334" s="1353">
        <f t="shared" si="94"/>
        <v>811787.1333333333</v>
      </c>
      <c r="I334" s="1353">
        <f t="shared" si="94"/>
        <v>893125.33333333337</v>
      </c>
      <c r="J334" s="1342">
        <f t="shared" si="95"/>
        <v>4479055.5016164137</v>
      </c>
      <c r="O334" s="1174"/>
      <c r="P334" s="1374"/>
      <c r="Q334" s="1174"/>
      <c r="R334" s="1174"/>
      <c r="S334" s="1174"/>
      <c r="T334" s="1174"/>
      <c r="U334" s="1174"/>
      <c r="V334" s="1174"/>
    </row>
    <row r="335" spans="1:22" ht="15.75" hidden="1" outlineLevel="2" x14ac:dyDescent="0.25">
      <c r="A335" s="1174">
        <f t="shared" si="97"/>
        <v>5</v>
      </c>
      <c r="B335" t="str">
        <f>+$B$72</f>
        <v>Washoe</v>
      </c>
      <c r="C335" s="1253"/>
      <c r="D335" s="1253">
        <f t="shared" si="96"/>
        <v>0</v>
      </c>
      <c r="E335" s="1353">
        <f t="shared" si="94"/>
        <v>0</v>
      </c>
      <c r="F335" s="1353">
        <f t="shared" si="94"/>
        <v>0</v>
      </c>
      <c r="G335" s="1353">
        <f t="shared" si="94"/>
        <v>0</v>
      </c>
      <c r="H335" s="1353">
        <f t="shared" si="94"/>
        <v>0</v>
      </c>
      <c r="I335" s="1353">
        <f t="shared" si="94"/>
        <v>0</v>
      </c>
      <c r="J335" s="1342">
        <f t="shared" si="95"/>
        <v>0</v>
      </c>
      <c r="O335" s="1174"/>
      <c r="P335" s="1374"/>
      <c r="Q335" s="1174"/>
      <c r="R335" s="1174"/>
      <c r="S335" s="1174"/>
      <c r="T335" s="1174"/>
      <c r="U335" s="1174"/>
      <c r="V335" s="1174"/>
    </row>
    <row r="336" spans="1:22" ht="15.75" hidden="1" outlineLevel="2" x14ac:dyDescent="0.25">
      <c r="A336" s="1174">
        <f t="shared" si="97"/>
        <v>6</v>
      </c>
      <c r="B336" t="str">
        <f>+$B$73</f>
        <v>White Pine</v>
      </c>
      <c r="C336" s="1253"/>
      <c r="D336" s="1253">
        <f t="shared" si="96"/>
        <v>0</v>
      </c>
      <c r="E336" s="1354" t="e">
        <f t="shared" si="94"/>
        <v>#VALUE!</v>
      </c>
      <c r="F336" s="1354">
        <f t="shared" si="94"/>
        <v>0</v>
      </c>
      <c r="G336" s="1354">
        <f t="shared" si="94"/>
        <v>0</v>
      </c>
      <c r="H336" s="1354">
        <f t="shared" si="94"/>
        <v>0</v>
      </c>
      <c r="I336" s="1354">
        <f t="shared" si="94"/>
        <v>0</v>
      </c>
      <c r="J336" s="1342" t="e">
        <f t="shared" si="95"/>
        <v>#VALUE!</v>
      </c>
      <c r="O336" s="1174"/>
      <c r="P336" s="1374"/>
      <c r="Q336" s="1174"/>
      <c r="R336" s="1174"/>
      <c r="S336" s="1174"/>
      <c r="T336" s="1174"/>
      <c r="U336" s="1174"/>
      <c r="V336" s="1174"/>
    </row>
    <row r="337" spans="1:22" ht="15.75" hidden="1" outlineLevel="2" x14ac:dyDescent="0.25">
      <c r="A337" s="1174"/>
      <c r="B337" s="1340" t="s">
        <v>157</v>
      </c>
      <c r="C337" s="1340"/>
      <c r="D337" s="1340"/>
      <c r="E337" s="1364" t="e">
        <f>SUM(E331:E336)</f>
        <v>#VALUE!</v>
      </c>
      <c r="F337" s="1364" t="e">
        <f t="shared" ref="F337:I337" si="98">SUM(F331:F336)</f>
        <v>#VALUE!</v>
      </c>
      <c r="G337" s="1364" t="e">
        <f t="shared" si="98"/>
        <v>#VALUE!</v>
      </c>
      <c r="H337" s="1364" t="e">
        <f t="shared" si="98"/>
        <v>#VALUE!</v>
      </c>
      <c r="I337" s="1364" t="e">
        <f t="shared" si="98"/>
        <v>#VALUE!</v>
      </c>
      <c r="J337" s="1364" t="e">
        <f t="shared" si="95"/>
        <v>#VALUE!</v>
      </c>
      <c r="O337" s="1174"/>
      <c r="P337" s="1374"/>
      <c r="Q337" s="1174"/>
      <c r="R337" s="1174"/>
      <c r="S337" s="1174"/>
      <c r="T337" s="1174"/>
      <c r="U337" s="1174"/>
      <c r="V337" s="1174"/>
    </row>
    <row r="338" spans="1:22" ht="15.75" hidden="1" outlineLevel="2" x14ac:dyDescent="0.25">
      <c r="A338" s="1174"/>
      <c r="O338" s="1174"/>
      <c r="P338" s="1374"/>
      <c r="Q338" s="1174"/>
      <c r="R338" s="1174"/>
      <c r="S338" s="1174"/>
      <c r="T338" s="1174"/>
      <c r="U338" s="1174"/>
      <c r="V338" s="1174"/>
    </row>
    <row r="339" spans="1:22" ht="15.75" hidden="1" outlineLevel="2" x14ac:dyDescent="0.25">
      <c r="A339" s="1174"/>
      <c r="B339" s="1340" t="s">
        <v>1223</v>
      </c>
      <c r="C339" s="1340"/>
      <c r="D339" s="1340"/>
      <c r="E339" s="1364" t="e">
        <f>+E327+E337</f>
        <v>#VALUE!</v>
      </c>
      <c r="F339" s="1364" t="e">
        <f t="shared" ref="F339:I339" si="99">+F327+F337</f>
        <v>#VALUE!</v>
      </c>
      <c r="G339" s="1364" t="e">
        <f t="shared" si="99"/>
        <v>#VALUE!</v>
      </c>
      <c r="H339" s="1364" t="e">
        <f t="shared" si="99"/>
        <v>#VALUE!</v>
      </c>
      <c r="I339" s="1364" t="e">
        <f t="shared" si="99"/>
        <v>#VALUE!</v>
      </c>
      <c r="J339" s="1373" t="e">
        <f>SUM(E339:I339)</f>
        <v>#VALUE!</v>
      </c>
      <c r="O339" s="1174"/>
      <c r="P339" s="1374"/>
      <c r="Q339" s="1174"/>
      <c r="R339" s="1174"/>
      <c r="S339" s="1174"/>
      <c r="T339" s="1174"/>
      <c r="U339" s="1174"/>
      <c r="V339" s="1174"/>
    </row>
    <row r="340" spans="1:22" ht="15.75" hidden="1" outlineLevel="2" x14ac:dyDescent="0.25">
      <c r="A340" s="1174"/>
      <c r="O340" s="1174"/>
      <c r="P340" s="1374"/>
      <c r="Q340" s="1174"/>
      <c r="R340" s="1174"/>
      <c r="S340" s="1174"/>
      <c r="T340" s="1174"/>
      <c r="U340" s="1174"/>
      <c r="V340" s="1174"/>
    </row>
    <row r="341" spans="1:22" ht="15.75" hidden="1" outlineLevel="2" x14ac:dyDescent="0.25">
      <c r="A341" s="1174"/>
      <c r="O341" s="1174"/>
      <c r="P341" s="1374"/>
      <c r="Q341" s="1174"/>
      <c r="R341" s="1174"/>
      <c r="S341" s="1174"/>
      <c r="T341" s="1174"/>
      <c r="U341" s="1174"/>
      <c r="V341" s="1174"/>
    </row>
    <row r="342" spans="1:22" ht="15.75" hidden="1" outlineLevel="2" x14ac:dyDescent="0.25">
      <c r="A342" s="1174"/>
      <c r="O342" s="1174"/>
      <c r="P342" s="1374"/>
      <c r="Q342" s="1174"/>
      <c r="R342" s="1174"/>
      <c r="S342" s="1174"/>
      <c r="T342" s="1174"/>
      <c r="U342" s="1174"/>
      <c r="V342" s="1174"/>
    </row>
    <row r="343" spans="1:22" ht="15.75" hidden="1" outlineLevel="1" collapsed="1" x14ac:dyDescent="0.25">
      <c r="A343" s="1174"/>
      <c r="O343" s="1174"/>
      <c r="P343" s="1374"/>
      <c r="Q343" s="1174"/>
      <c r="R343" s="1174"/>
      <c r="S343" s="1174"/>
      <c r="T343" s="1174"/>
      <c r="U343" s="1174"/>
      <c r="V343" s="1174"/>
    </row>
    <row r="344" spans="1:22" ht="15.75" collapsed="1" x14ac:dyDescent="0.25">
      <c r="A344" s="1174"/>
      <c r="K344" s="1358"/>
      <c r="L344" s="1358"/>
      <c r="M344" s="1358"/>
      <c r="N344" s="1376"/>
      <c r="O344" s="1377"/>
      <c r="P344" s="1374"/>
      <c r="Q344" s="1174"/>
      <c r="R344" s="1174"/>
      <c r="S344" s="1174"/>
      <c r="T344" s="1174"/>
      <c r="U344" s="1174"/>
      <c r="V344" s="1174"/>
    </row>
    <row r="345" spans="1:22" ht="15.75" x14ac:dyDescent="0.25">
      <c r="A345" s="1174"/>
      <c r="J345" s="1378"/>
      <c r="N345" s="1224"/>
      <c r="O345" s="1224"/>
      <c r="P345" s="1374"/>
      <c r="Q345" s="1174"/>
      <c r="R345" s="1174"/>
      <c r="S345" s="1174"/>
      <c r="T345" s="1174"/>
      <c r="U345" s="1174"/>
      <c r="V345" s="1174"/>
    </row>
    <row r="346" spans="1:22" ht="15.75" x14ac:dyDescent="0.25">
      <c r="A346" s="1174"/>
      <c r="J346" s="1378"/>
      <c r="N346" s="1224"/>
      <c r="O346" s="1224"/>
      <c r="P346" s="1374"/>
      <c r="Q346" s="1174"/>
      <c r="R346" s="1174"/>
      <c r="S346" s="1174"/>
      <c r="T346" s="1174"/>
      <c r="U346" s="1174"/>
      <c r="V346" s="1174"/>
    </row>
    <row r="347" spans="1:22" ht="15.75" x14ac:dyDescent="0.25">
      <c r="A347" s="1174"/>
      <c r="J347" s="1378"/>
      <c r="N347" s="1224"/>
      <c r="O347" s="1224"/>
      <c r="P347" s="1374"/>
      <c r="Q347" s="1174"/>
      <c r="R347" s="1174"/>
      <c r="S347" s="1174"/>
      <c r="T347" s="1174"/>
      <c r="U347" s="1174"/>
      <c r="V347" s="1174"/>
    </row>
    <row r="348" spans="1:22" ht="15.75" x14ac:dyDescent="0.25">
      <c r="A348" s="1174"/>
      <c r="J348" s="1378"/>
      <c r="N348" s="1224"/>
      <c r="O348" s="1224"/>
      <c r="P348" s="1374"/>
      <c r="Q348" s="1174"/>
      <c r="R348" s="1174"/>
      <c r="S348" s="1174"/>
      <c r="T348" s="1174"/>
      <c r="U348" s="1174"/>
      <c r="V348" s="1174"/>
    </row>
    <row r="349" spans="1:22" ht="15.75" x14ac:dyDescent="0.25">
      <c r="A349" s="1174"/>
      <c r="O349" s="1174"/>
      <c r="P349" s="1374"/>
      <c r="Q349" s="1174"/>
      <c r="R349" s="1174"/>
      <c r="S349" s="1174"/>
      <c r="T349" s="1174"/>
      <c r="U349" s="1174"/>
      <c r="V349" s="1174"/>
    </row>
    <row r="350" spans="1:22" ht="15.75" x14ac:dyDescent="0.25">
      <c r="A350" s="1174"/>
      <c r="O350" s="1174"/>
      <c r="P350" s="1374"/>
      <c r="Q350" s="1174"/>
      <c r="R350" s="1174"/>
      <c r="S350" s="1174"/>
      <c r="T350" s="1174"/>
      <c r="U350" s="1174"/>
      <c r="V350" s="1174"/>
    </row>
    <row r="351" spans="1:22" ht="15.75" x14ac:dyDescent="0.25">
      <c r="A351" s="1174"/>
      <c r="O351" s="1174"/>
      <c r="P351" s="1374"/>
      <c r="Q351" s="1174"/>
      <c r="R351" s="1174"/>
      <c r="S351" s="1174"/>
      <c r="T351" s="1174"/>
      <c r="U351" s="1174"/>
      <c r="V351" s="1174"/>
    </row>
    <row r="352" spans="1:22" ht="15.75" x14ac:dyDescent="0.25">
      <c r="A352" s="1174"/>
      <c r="O352" s="1174"/>
      <c r="P352" s="1374"/>
      <c r="Q352" s="1174"/>
      <c r="R352" s="1174"/>
      <c r="S352" s="1174"/>
      <c r="T352" s="1174"/>
      <c r="U352" s="1174"/>
      <c r="V352" s="1174"/>
    </row>
    <row r="353" spans="1:22" ht="15.75" x14ac:dyDescent="0.25">
      <c r="A353" s="1174"/>
      <c r="O353" s="1174"/>
      <c r="P353" s="1374"/>
      <c r="Q353" s="1174"/>
      <c r="R353" s="1174"/>
      <c r="S353" s="1174"/>
      <c r="T353" s="1174"/>
      <c r="U353" s="1174"/>
      <c r="V353" s="1174"/>
    </row>
    <row r="354" spans="1:22" ht="15.75" x14ac:dyDescent="0.25">
      <c r="A354" s="1174"/>
      <c r="O354" s="1174"/>
      <c r="P354" s="1374"/>
      <c r="Q354" s="1174"/>
      <c r="R354" s="1174"/>
      <c r="S354" s="1174"/>
      <c r="T354" s="1174"/>
      <c r="U354" s="1174"/>
      <c r="V354" s="1174"/>
    </row>
    <row r="355" spans="1:22" ht="15.75" x14ac:dyDescent="0.25">
      <c r="A355" s="1174"/>
      <c r="O355" s="1174"/>
      <c r="P355" s="1374"/>
      <c r="Q355" s="1174"/>
      <c r="R355" s="1174"/>
      <c r="S355" s="1174"/>
      <c r="T355" s="1174"/>
      <c r="U355" s="1174"/>
      <c r="V355" s="1174"/>
    </row>
    <row r="356" spans="1:22" ht="15.75" x14ac:dyDescent="0.25">
      <c r="A356" s="1174"/>
      <c r="O356" s="1174"/>
      <c r="P356" s="1374"/>
      <c r="Q356" s="1174"/>
      <c r="R356" s="1174"/>
      <c r="S356" s="1174"/>
      <c r="T356" s="1174"/>
      <c r="U356" s="1174"/>
      <c r="V356" s="1174"/>
    </row>
    <row r="357" spans="1:22" ht="15.75" x14ac:dyDescent="0.25">
      <c r="A357" s="1174"/>
      <c r="O357" s="1174"/>
      <c r="P357" s="1374"/>
      <c r="Q357" s="1174"/>
      <c r="R357" s="1174"/>
      <c r="S357" s="1174"/>
      <c r="T357" s="1174"/>
      <c r="U357" s="1174"/>
      <c r="V357" s="1174"/>
    </row>
    <row r="358" spans="1:22" ht="15.75" x14ac:dyDescent="0.25">
      <c r="A358" s="1174"/>
      <c r="O358" s="1174"/>
      <c r="P358" s="1374"/>
      <c r="Q358" s="1174"/>
      <c r="R358" s="1174"/>
      <c r="S358" s="1174"/>
      <c r="T358" s="1174"/>
      <c r="U358" s="1174"/>
      <c r="V358" s="1174"/>
    </row>
    <row r="359" spans="1:22" ht="15.75" x14ac:dyDescent="0.25">
      <c r="A359" s="1174"/>
      <c r="O359" s="1174"/>
      <c r="P359" s="1374"/>
      <c r="Q359" s="1174"/>
      <c r="R359" s="1174"/>
      <c r="S359" s="1174"/>
      <c r="T359" s="1174"/>
      <c r="U359" s="1174"/>
      <c r="V359" s="1174"/>
    </row>
    <row r="360" spans="1:22" ht="15.75" x14ac:dyDescent="0.25">
      <c r="A360" s="1174"/>
      <c r="O360" s="1174"/>
      <c r="P360" s="1374"/>
      <c r="Q360" s="1174"/>
      <c r="R360" s="1174"/>
      <c r="S360" s="1174"/>
      <c r="T360" s="1174"/>
      <c r="U360" s="1174"/>
      <c r="V360" s="1174"/>
    </row>
    <row r="361" spans="1:22" ht="15.75" x14ac:dyDescent="0.25">
      <c r="A361" s="1174"/>
      <c r="O361" s="1174"/>
      <c r="P361" s="1374"/>
      <c r="Q361" s="1174"/>
      <c r="R361" s="1174"/>
      <c r="S361" s="1174"/>
      <c r="T361" s="1174"/>
      <c r="U361" s="1174"/>
      <c r="V361" s="1174"/>
    </row>
    <row r="362" spans="1:22" ht="15.75" x14ac:dyDescent="0.25">
      <c r="A362" s="1174"/>
      <c r="O362" s="1174"/>
      <c r="P362" s="1374"/>
      <c r="Q362" s="1174"/>
      <c r="R362" s="1174"/>
      <c r="S362" s="1174"/>
      <c r="T362" s="1174"/>
      <c r="U362" s="1174"/>
      <c r="V362" s="1174"/>
    </row>
    <row r="363" spans="1:22" ht="15.75" x14ac:dyDescent="0.25">
      <c r="A363" s="1174"/>
      <c r="O363" s="1174"/>
      <c r="P363" s="1374"/>
      <c r="Q363" s="1174"/>
      <c r="R363" s="1174"/>
      <c r="S363" s="1174"/>
      <c r="T363" s="1174"/>
      <c r="U363" s="1174"/>
      <c r="V363" s="1174"/>
    </row>
    <row r="364" spans="1:22" ht="15.75" x14ac:dyDescent="0.25">
      <c r="A364" s="1174"/>
      <c r="O364" s="1174"/>
      <c r="P364" s="1374"/>
      <c r="Q364" s="1174"/>
      <c r="R364" s="1174"/>
      <c r="S364" s="1174"/>
      <c r="T364" s="1174"/>
      <c r="U364" s="1174"/>
      <c r="V364" s="1174"/>
    </row>
    <row r="365" spans="1:22" ht="15.75" x14ac:dyDescent="0.25">
      <c r="A365" s="1174"/>
      <c r="O365" s="1174"/>
      <c r="P365" s="1374"/>
      <c r="Q365" s="1174"/>
      <c r="R365" s="1174"/>
      <c r="S365" s="1174"/>
      <c r="T365" s="1174"/>
      <c r="U365" s="1174"/>
      <c r="V365" s="1174"/>
    </row>
    <row r="366" spans="1:22" ht="15.75" x14ac:dyDescent="0.25">
      <c r="A366" s="1174"/>
      <c r="O366" s="1174"/>
      <c r="P366" s="1374"/>
      <c r="Q366" s="1174"/>
      <c r="R366" s="1174"/>
      <c r="S366" s="1174"/>
      <c r="T366" s="1174"/>
      <c r="U366" s="1174"/>
      <c r="V366" s="1174"/>
    </row>
    <row r="367" spans="1:22" ht="15.75" x14ac:dyDescent="0.25">
      <c r="A367" s="1174"/>
      <c r="O367" s="1174"/>
      <c r="P367" s="1374"/>
      <c r="Q367" s="1174"/>
      <c r="R367" s="1174"/>
      <c r="S367" s="1174"/>
      <c r="T367" s="1174"/>
      <c r="U367" s="1174"/>
      <c r="V367" s="1174"/>
    </row>
    <row r="368" spans="1:22" ht="15.75" x14ac:dyDescent="0.25">
      <c r="A368" s="1174"/>
      <c r="O368" s="1174"/>
      <c r="P368" s="1374"/>
      <c r="Q368" s="1174"/>
      <c r="R368" s="1174"/>
      <c r="S368" s="1174"/>
      <c r="T368" s="1174"/>
      <c r="U368" s="1174"/>
      <c r="V368" s="1174"/>
    </row>
    <row r="369" spans="1:22" ht="15.75" x14ac:dyDescent="0.25">
      <c r="A369" s="1174"/>
      <c r="O369" s="1174"/>
      <c r="P369" s="1374"/>
      <c r="Q369" s="1174"/>
      <c r="R369" s="1174"/>
      <c r="S369" s="1174"/>
      <c r="T369" s="1174"/>
      <c r="U369" s="1174"/>
      <c r="V369" s="1174"/>
    </row>
    <row r="370" spans="1:22" ht="15.75" x14ac:dyDescent="0.25">
      <c r="A370" s="1174"/>
      <c r="O370" s="1174"/>
      <c r="P370" s="1374"/>
      <c r="Q370" s="1174"/>
      <c r="R370" s="1174"/>
      <c r="S370" s="1174"/>
      <c r="T370" s="1174"/>
      <c r="U370" s="1174"/>
      <c r="V370" s="1174"/>
    </row>
    <row r="371" spans="1:22" ht="15.75" x14ac:dyDescent="0.25">
      <c r="A371" s="1174"/>
      <c r="O371" s="1174"/>
      <c r="P371" s="1374"/>
      <c r="Q371" s="1174"/>
      <c r="R371" s="1174"/>
      <c r="S371" s="1174"/>
      <c r="T371" s="1174"/>
      <c r="U371" s="1174"/>
      <c r="V371" s="1174"/>
    </row>
    <row r="372" spans="1:22" ht="15.75" x14ac:dyDescent="0.25">
      <c r="A372" s="1174"/>
      <c r="O372" s="1174"/>
      <c r="P372" s="1374"/>
      <c r="Q372" s="1174"/>
      <c r="R372" s="1174"/>
      <c r="S372" s="1174"/>
      <c r="T372" s="1174"/>
      <c r="U372" s="1174"/>
      <c r="V372" s="1174"/>
    </row>
    <row r="373" spans="1:22" ht="15.75" x14ac:dyDescent="0.25">
      <c r="A373" s="1174"/>
      <c r="O373" s="1174"/>
      <c r="P373" s="1374"/>
      <c r="Q373" s="1174"/>
      <c r="R373" s="1174"/>
      <c r="S373" s="1174"/>
      <c r="T373" s="1174"/>
      <c r="U373" s="1174"/>
      <c r="V373" s="1174"/>
    </row>
    <row r="374" spans="1:22" ht="15.75" x14ac:dyDescent="0.25">
      <c r="A374" s="1174"/>
      <c r="O374" s="1174"/>
      <c r="P374" s="1374"/>
      <c r="Q374" s="1174"/>
      <c r="R374" s="1174"/>
      <c r="S374" s="1174"/>
      <c r="T374" s="1174"/>
      <c r="U374" s="1174"/>
      <c r="V374" s="1174"/>
    </row>
    <row r="375" spans="1:22" ht="15.75" x14ac:dyDescent="0.25">
      <c r="A375" s="1174"/>
      <c r="O375" s="1174"/>
      <c r="P375" s="1374"/>
      <c r="Q375" s="1174"/>
      <c r="R375" s="1174"/>
      <c r="S375" s="1174"/>
      <c r="T375" s="1174"/>
      <c r="U375" s="1174"/>
      <c r="V375" s="1174"/>
    </row>
    <row r="376" spans="1:22" ht="15.75" x14ac:dyDescent="0.25">
      <c r="A376" s="1174"/>
      <c r="O376" s="1174"/>
      <c r="P376" s="1374"/>
      <c r="Q376" s="1174"/>
      <c r="R376" s="1174"/>
      <c r="S376" s="1174"/>
      <c r="T376" s="1174"/>
      <c r="U376" s="1174"/>
      <c r="V376" s="1174"/>
    </row>
    <row r="377" spans="1:22" ht="15.75" x14ac:dyDescent="0.25">
      <c r="A377" s="1174"/>
      <c r="O377" s="1174"/>
      <c r="P377" s="1374"/>
      <c r="Q377" s="1174"/>
      <c r="R377" s="1174"/>
      <c r="S377" s="1174"/>
      <c r="T377" s="1174"/>
      <c r="U377" s="1174"/>
      <c r="V377" s="1174"/>
    </row>
    <row r="378" spans="1:22" ht="15.75" x14ac:dyDescent="0.25">
      <c r="A378" s="1174"/>
      <c r="O378" s="1174"/>
      <c r="P378" s="1374"/>
      <c r="Q378" s="1174"/>
      <c r="R378" s="1174"/>
      <c r="S378" s="1174"/>
      <c r="T378" s="1174"/>
      <c r="U378" s="1174"/>
      <c r="V378" s="1174"/>
    </row>
    <row r="379" spans="1:22" ht="15.75" x14ac:dyDescent="0.25">
      <c r="A379" s="1174"/>
      <c r="O379" s="1174"/>
      <c r="P379" s="1374"/>
      <c r="Q379" s="1174"/>
      <c r="R379" s="1174"/>
      <c r="S379" s="1174"/>
      <c r="T379" s="1174"/>
      <c r="U379" s="1174"/>
      <c r="V379" s="1174"/>
    </row>
    <row r="380" spans="1:22" ht="15.75" x14ac:dyDescent="0.25">
      <c r="A380" s="1174"/>
      <c r="O380" s="1174"/>
      <c r="P380" s="1374"/>
      <c r="Q380" s="1174"/>
      <c r="R380" s="1174"/>
      <c r="S380" s="1174"/>
      <c r="T380" s="1174"/>
      <c r="U380" s="1174"/>
      <c r="V380" s="1174"/>
    </row>
    <row r="381" spans="1:22" ht="15.75" x14ac:dyDescent="0.25">
      <c r="A381" s="1174"/>
      <c r="O381" s="1174"/>
      <c r="P381" s="1374"/>
      <c r="Q381" s="1174"/>
      <c r="R381" s="1174"/>
      <c r="S381" s="1174"/>
      <c r="T381" s="1174"/>
      <c r="U381" s="1174"/>
      <c r="V381" s="1174"/>
    </row>
    <row r="382" spans="1:22" ht="15.75" x14ac:dyDescent="0.25">
      <c r="A382" s="1174"/>
      <c r="O382" s="1174"/>
      <c r="P382" s="1374"/>
      <c r="Q382" s="1174"/>
      <c r="R382" s="1174"/>
      <c r="S382" s="1174"/>
      <c r="T382" s="1174"/>
      <c r="U382" s="1174"/>
      <c r="V382" s="1174"/>
    </row>
    <row r="383" spans="1:22" ht="15.75" x14ac:dyDescent="0.25">
      <c r="A383" s="1174"/>
      <c r="O383" s="1174"/>
      <c r="P383" s="1374"/>
      <c r="Q383" s="1174"/>
      <c r="R383" s="1174"/>
      <c r="S383" s="1174"/>
      <c r="T383" s="1174"/>
      <c r="U383" s="1174"/>
      <c r="V383" s="1174"/>
    </row>
    <row r="384" spans="1:22" ht="15.75" x14ac:dyDescent="0.25">
      <c r="A384" s="1174"/>
      <c r="O384" s="1174"/>
      <c r="P384" s="1374"/>
      <c r="Q384" s="1174"/>
      <c r="R384" s="1174"/>
      <c r="S384" s="1174"/>
      <c r="T384" s="1174"/>
      <c r="U384" s="1174"/>
      <c r="V384" s="1174"/>
    </row>
    <row r="385" spans="1:22" ht="15.75" x14ac:dyDescent="0.25">
      <c r="A385" s="1174"/>
      <c r="O385" s="1174"/>
      <c r="P385" s="1374"/>
      <c r="Q385" s="1174"/>
      <c r="R385" s="1174"/>
      <c r="S385" s="1174"/>
      <c r="T385" s="1174"/>
      <c r="U385" s="1174"/>
      <c r="V385" s="1174"/>
    </row>
    <row r="386" spans="1:22" ht="15.75" x14ac:dyDescent="0.25">
      <c r="A386" s="1174"/>
      <c r="O386" s="1174"/>
      <c r="P386" s="1374"/>
      <c r="Q386" s="1174"/>
      <c r="R386" s="1174"/>
      <c r="S386" s="1174"/>
      <c r="T386" s="1174"/>
      <c r="U386" s="1174"/>
      <c r="V386" s="1174"/>
    </row>
    <row r="387" spans="1:22" ht="15.75" x14ac:dyDescent="0.25">
      <c r="A387" s="1174"/>
      <c r="O387" s="1174"/>
      <c r="P387" s="1374"/>
      <c r="Q387" s="1174"/>
      <c r="R387" s="1174"/>
      <c r="S387" s="1174"/>
      <c r="T387" s="1174"/>
      <c r="U387" s="1174"/>
      <c r="V387" s="1174"/>
    </row>
    <row r="388" spans="1:22" ht="15.75" x14ac:dyDescent="0.25">
      <c r="A388" s="1174"/>
      <c r="O388" s="1174"/>
      <c r="P388" s="1374"/>
      <c r="Q388" s="1174"/>
      <c r="R388" s="1174"/>
      <c r="S388" s="1174"/>
      <c r="T388" s="1174"/>
      <c r="U388" s="1174"/>
      <c r="V388" s="1174"/>
    </row>
    <row r="389" spans="1:22" ht="15.75" x14ac:dyDescent="0.25">
      <c r="A389" s="1174"/>
      <c r="O389" s="1174"/>
      <c r="P389" s="1374"/>
      <c r="Q389" s="1174"/>
      <c r="R389" s="1174"/>
      <c r="S389" s="1174"/>
      <c r="T389" s="1174"/>
      <c r="U389" s="1174"/>
      <c r="V389" s="1174"/>
    </row>
    <row r="390" spans="1:22" ht="15.75" x14ac:dyDescent="0.25">
      <c r="A390" s="1174"/>
      <c r="O390" s="1174"/>
      <c r="P390" s="1374"/>
      <c r="Q390" s="1174"/>
      <c r="R390" s="1174"/>
      <c r="S390" s="1174"/>
      <c r="T390" s="1174"/>
      <c r="U390" s="1174"/>
      <c r="V390" s="1174"/>
    </row>
    <row r="391" spans="1:22" ht="15.75" x14ac:dyDescent="0.25">
      <c r="A391" s="1174"/>
      <c r="O391" s="1174"/>
      <c r="P391" s="1374"/>
      <c r="Q391" s="1174"/>
      <c r="R391" s="1174"/>
      <c r="S391" s="1174"/>
      <c r="T391" s="1174"/>
      <c r="U391" s="1174"/>
      <c r="V391" s="1174"/>
    </row>
    <row r="392" spans="1:22" ht="15.75" x14ac:dyDescent="0.25">
      <c r="A392" s="1174"/>
      <c r="O392" s="1174"/>
      <c r="P392" s="1374"/>
      <c r="Q392" s="1174"/>
      <c r="R392" s="1174"/>
      <c r="S392" s="1174"/>
      <c r="T392" s="1174"/>
      <c r="U392" s="1174"/>
      <c r="V392" s="1174"/>
    </row>
    <row r="393" spans="1:22" ht="15.75" x14ac:dyDescent="0.25">
      <c r="A393" s="1174"/>
      <c r="O393" s="1174"/>
      <c r="P393" s="1374"/>
      <c r="Q393" s="1174"/>
      <c r="R393" s="1174"/>
      <c r="S393" s="1174"/>
      <c r="T393" s="1174"/>
      <c r="U393" s="1174"/>
      <c r="V393" s="1174"/>
    </row>
    <row r="394" spans="1:22" ht="15.75" x14ac:dyDescent="0.25">
      <c r="A394" s="1174"/>
      <c r="O394" s="1174"/>
      <c r="P394" s="1374"/>
      <c r="Q394" s="1174"/>
      <c r="R394" s="1174"/>
      <c r="S394" s="1174"/>
      <c r="T394" s="1174"/>
      <c r="U394" s="1174"/>
      <c r="V394" s="1174"/>
    </row>
    <row r="395" spans="1:22" ht="15.75" x14ac:dyDescent="0.25">
      <c r="A395" s="1174"/>
      <c r="O395" s="1174"/>
      <c r="P395" s="1374"/>
      <c r="Q395" s="1174"/>
      <c r="R395" s="1174"/>
      <c r="S395" s="1174"/>
      <c r="T395" s="1174"/>
      <c r="U395" s="1174"/>
      <c r="V395" s="1174"/>
    </row>
    <row r="396" spans="1:22" ht="15.75" x14ac:dyDescent="0.25">
      <c r="A396" s="1174"/>
      <c r="O396" s="1174"/>
      <c r="P396" s="1374"/>
      <c r="Q396" s="1174"/>
      <c r="R396" s="1174"/>
      <c r="S396" s="1174"/>
      <c r="T396" s="1174"/>
      <c r="U396" s="1174"/>
      <c r="V396" s="1174"/>
    </row>
    <row r="397" spans="1:22" ht="15.75" x14ac:dyDescent="0.25">
      <c r="A397" s="1174"/>
      <c r="O397" s="1174"/>
      <c r="P397" s="1374"/>
      <c r="Q397" s="1174"/>
      <c r="R397" s="1174"/>
      <c r="S397" s="1174"/>
      <c r="T397" s="1174"/>
      <c r="U397" s="1174"/>
      <c r="V397" s="1174"/>
    </row>
    <row r="398" spans="1:22" ht="15.75" x14ac:dyDescent="0.25">
      <c r="A398" s="1174"/>
      <c r="O398" s="1174"/>
      <c r="P398" s="1374"/>
      <c r="Q398" s="1174"/>
      <c r="R398" s="1174"/>
      <c r="S398" s="1174"/>
      <c r="T398" s="1174"/>
      <c r="U398" s="1174"/>
      <c r="V398" s="1174"/>
    </row>
    <row r="399" spans="1:22" ht="15.75" x14ac:dyDescent="0.25">
      <c r="A399" s="1174"/>
      <c r="O399" s="1174"/>
      <c r="P399" s="1374"/>
      <c r="Q399" s="1174"/>
      <c r="R399" s="1174"/>
      <c r="S399" s="1174"/>
      <c r="T399" s="1174"/>
      <c r="U399" s="1174"/>
      <c r="V399" s="1174"/>
    </row>
    <row r="400" spans="1:22" ht="15.75" x14ac:dyDescent="0.25">
      <c r="A400" s="1174"/>
      <c r="B400" s="1379" t="s">
        <v>1229</v>
      </c>
      <c r="C400" s="1380"/>
      <c r="D400" s="1380"/>
      <c r="E400" s="1380"/>
      <c r="F400" s="1380"/>
      <c r="G400" s="1380"/>
      <c r="H400" s="1380"/>
      <c r="I400" s="1380"/>
      <c r="J400" s="1380"/>
      <c r="O400" s="1174"/>
      <c r="P400" s="1374"/>
      <c r="Q400" s="1174"/>
      <c r="R400" s="1174"/>
      <c r="S400" s="1174"/>
      <c r="T400" s="1174"/>
      <c r="U400" s="1174"/>
      <c r="V400" s="1174"/>
    </row>
    <row r="401" spans="1:22" ht="15.75" x14ac:dyDescent="0.25">
      <c r="A401" s="1174"/>
      <c r="B401" s="1175" t="s">
        <v>1230</v>
      </c>
      <c r="C401" s="1175"/>
      <c r="D401" s="1174"/>
      <c r="E401" s="1174"/>
      <c r="F401" s="1174"/>
      <c r="G401" s="1174"/>
      <c r="H401" s="1174"/>
      <c r="I401" s="1174"/>
      <c r="O401" s="1174"/>
      <c r="P401" s="1374"/>
      <c r="Q401" s="1174"/>
      <c r="R401" s="1174"/>
      <c r="S401" s="1174"/>
      <c r="T401" s="1174"/>
      <c r="U401" s="1174"/>
      <c r="V401" s="1174"/>
    </row>
    <row r="402" spans="1:22" ht="15.75" x14ac:dyDescent="0.25">
      <c r="A402" s="1174"/>
      <c r="B402" s="1381">
        <v>6980</v>
      </c>
      <c r="C402" s="1381"/>
      <c r="D402" s="1175" t="s">
        <v>1231</v>
      </c>
      <c r="E402" s="1175"/>
      <c r="F402" s="1174"/>
      <c r="G402" s="1174"/>
      <c r="H402" s="1174"/>
      <c r="I402" s="1174"/>
      <c r="O402" s="1174"/>
      <c r="P402" s="1374"/>
      <c r="Q402" s="1174"/>
      <c r="R402" s="1174"/>
      <c r="S402" s="1174"/>
      <c r="T402" s="1174"/>
      <c r="U402" s="1174"/>
      <c r="V402" s="1174"/>
    </row>
    <row r="403" spans="1:22" ht="15.75" x14ac:dyDescent="0.25">
      <c r="A403" s="1174"/>
      <c r="B403" s="1174"/>
      <c r="C403" s="1174"/>
      <c r="D403" s="1174"/>
      <c r="E403" s="1174"/>
      <c r="F403" s="1175" t="s">
        <v>1101</v>
      </c>
      <c r="G403" s="1174"/>
      <c r="H403" s="1174"/>
      <c r="I403" s="1175" t="s">
        <v>1101</v>
      </c>
      <c r="O403" s="1174"/>
      <c r="P403" s="1374"/>
      <c r="Q403" s="1174"/>
      <c r="R403" s="1174"/>
      <c r="S403" s="1174"/>
      <c r="T403" s="1174"/>
      <c r="U403" s="1174"/>
      <c r="V403" s="1174"/>
    </row>
    <row r="404" spans="1:22" ht="15.75" x14ac:dyDescent="0.25">
      <c r="A404" s="1174"/>
      <c r="B404" s="1382" t="s">
        <v>1232</v>
      </c>
      <c r="C404" s="1382"/>
      <c r="D404" s="1054"/>
      <c r="F404" s="1382" t="s">
        <v>1233</v>
      </c>
      <c r="G404" s="1383"/>
      <c r="H404" s="1174"/>
      <c r="I404" s="1177" t="s">
        <v>1234</v>
      </c>
      <c r="J404" s="1094"/>
      <c r="O404" s="1174"/>
      <c r="P404" s="1374"/>
      <c r="Q404" s="1174"/>
      <c r="R404" s="1174"/>
      <c r="S404" s="1174"/>
      <c r="T404" s="1174"/>
      <c r="U404" s="1174"/>
      <c r="V404" s="1174"/>
    </row>
    <row r="405" spans="1:22" ht="15.75" x14ac:dyDescent="0.25">
      <c r="A405" s="1174"/>
      <c r="B405" s="1311" t="s">
        <v>1235</v>
      </c>
      <c r="C405" s="1311"/>
      <c r="D405" s="1179" t="s">
        <v>1198</v>
      </c>
      <c r="E405" s="1179"/>
      <c r="F405" s="1178" t="s">
        <v>1103</v>
      </c>
      <c r="G405" s="1179" t="s">
        <v>1198</v>
      </c>
      <c r="H405" s="1384"/>
      <c r="I405" s="1178" t="s">
        <v>1103</v>
      </c>
      <c r="J405" s="1179" t="s">
        <v>1198</v>
      </c>
      <c r="O405" s="1174"/>
      <c r="P405" s="1374"/>
      <c r="Q405" s="1174"/>
      <c r="R405" s="1174"/>
      <c r="S405" s="1174"/>
      <c r="T405" s="1174"/>
      <c r="U405" s="1174"/>
      <c r="V405" s="1174"/>
    </row>
    <row r="406" spans="1:22" ht="15.75" x14ac:dyDescent="0.25">
      <c r="A406" s="1174"/>
      <c r="B406" s="1383" t="s">
        <v>1133</v>
      </c>
      <c r="C406" s="1383"/>
      <c r="D406" s="1385">
        <v>7763.23</v>
      </c>
      <c r="E406" s="1381"/>
      <c r="F406" s="1383" t="s">
        <v>1133</v>
      </c>
      <c r="G406" s="1385">
        <v>6980</v>
      </c>
      <c r="H406" s="1174"/>
      <c r="I406" s="1194" t="s">
        <v>1133</v>
      </c>
      <c r="J406" s="1181">
        <v>7494.32</v>
      </c>
      <c r="O406" s="1174"/>
      <c r="P406" s="1374"/>
      <c r="Q406" s="1174"/>
      <c r="R406" s="1174"/>
      <c r="S406" s="1174"/>
      <c r="T406" s="1174"/>
      <c r="U406" s="1174"/>
      <c r="V406" s="1174"/>
    </row>
    <row r="407" spans="1:22" ht="15.75" x14ac:dyDescent="0.25">
      <c r="A407" s="1174"/>
      <c r="B407" s="1383" t="s">
        <v>1134</v>
      </c>
      <c r="C407" s="1383"/>
      <c r="D407" s="1386">
        <v>8093.24</v>
      </c>
      <c r="E407" s="1387"/>
      <c r="F407" s="1383" t="s">
        <v>1134</v>
      </c>
      <c r="G407" s="1386">
        <v>7169</v>
      </c>
      <c r="H407" s="1174"/>
      <c r="I407" s="1194" t="s">
        <v>1134</v>
      </c>
      <c r="J407" s="1388">
        <v>8093.33</v>
      </c>
      <c r="O407" s="1174"/>
      <c r="P407" s="1374"/>
      <c r="Q407" s="1174"/>
      <c r="R407" s="1174"/>
      <c r="S407" s="1174"/>
      <c r="T407" s="1174"/>
      <c r="U407" s="1174"/>
      <c r="V407" s="1174"/>
    </row>
    <row r="408" spans="1:22" ht="15.75" x14ac:dyDescent="0.25">
      <c r="A408" s="1174"/>
      <c r="B408" s="1383" t="s">
        <v>1135</v>
      </c>
      <c r="C408" s="1383"/>
      <c r="D408" s="1386">
        <v>7264.25</v>
      </c>
      <c r="E408" s="1387"/>
      <c r="F408" s="1383" t="s">
        <v>1135</v>
      </c>
      <c r="G408" s="1386">
        <v>7197</v>
      </c>
      <c r="H408" s="1174"/>
      <c r="I408" s="1194" t="s">
        <v>1135</v>
      </c>
      <c r="J408" s="1388">
        <v>7197.34</v>
      </c>
      <c r="O408" s="1174"/>
      <c r="P408" s="1374"/>
      <c r="Q408" s="1174"/>
      <c r="R408" s="1174"/>
      <c r="S408" s="1174"/>
      <c r="T408" s="1174"/>
      <c r="U408" s="1174"/>
      <c r="V408" s="1174"/>
    </row>
    <row r="409" spans="1:22" ht="15.75" x14ac:dyDescent="0.25">
      <c r="A409" s="1174"/>
      <c r="B409" s="1383" t="s">
        <v>1236</v>
      </c>
      <c r="C409" s="1383"/>
      <c r="D409" s="1386">
        <v>9177.26</v>
      </c>
      <c r="E409" s="1387"/>
      <c r="F409" s="1383" t="s">
        <v>1236</v>
      </c>
      <c r="G409" s="1386">
        <v>6980</v>
      </c>
      <c r="H409" s="1174"/>
      <c r="I409" s="1194" t="s">
        <v>1136</v>
      </c>
      <c r="J409" s="1388">
        <v>7715.35</v>
      </c>
      <c r="O409" s="1174"/>
      <c r="P409" s="1374"/>
      <c r="Q409" s="1174"/>
      <c r="R409" s="1174"/>
      <c r="S409" s="1174"/>
      <c r="T409" s="1174"/>
      <c r="U409" s="1174"/>
      <c r="V409" s="1174"/>
    </row>
    <row r="410" spans="1:22" ht="15.75" x14ac:dyDescent="0.25">
      <c r="A410" s="1174"/>
      <c r="B410" s="1383" t="s">
        <v>1136</v>
      </c>
      <c r="C410" s="1383"/>
      <c r="D410" s="1386">
        <v>9279.27</v>
      </c>
      <c r="E410" s="1387"/>
      <c r="F410" s="1383" t="s">
        <v>1136</v>
      </c>
      <c r="G410" s="1386">
        <v>7169</v>
      </c>
      <c r="H410" s="1174"/>
      <c r="I410" s="1194" t="s">
        <v>1137</v>
      </c>
      <c r="J410" s="1388">
        <v>6980.36</v>
      </c>
      <c r="O410" s="1174"/>
      <c r="P410" s="1374"/>
      <c r="Q410" s="1174"/>
      <c r="R410" s="1174"/>
      <c r="S410" s="1174"/>
      <c r="T410" s="1174"/>
      <c r="U410" s="1174"/>
      <c r="V410" s="1174"/>
    </row>
    <row r="411" spans="1:22" ht="15.75" x14ac:dyDescent="0.25">
      <c r="A411" s="1174"/>
      <c r="B411" s="1383" t="s">
        <v>1237</v>
      </c>
      <c r="C411" s="1383"/>
      <c r="D411" s="1386">
        <v>22360.28</v>
      </c>
      <c r="E411" s="1387"/>
      <c r="F411" s="1383" t="s">
        <v>1237</v>
      </c>
      <c r="G411" s="1386">
        <v>7169</v>
      </c>
      <c r="H411" s="1174"/>
      <c r="I411" s="1194" t="s">
        <v>1138</v>
      </c>
      <c r="J411" s="1388">
        <v>10367</v>
      </c>
      <c r="O411" s="1174"/>
      <c r="P411" s="1374"/>
      <c r="Q411" s="1174"/>
      <c r="R411" s="1174"/>
      <c r="S411" s="1174"/>
      <c r="T411" s="1174"/>
      <c r="U411" s="1174"/>
      <c r="V411" s="1174"/>
    </row>
    <row r="412" spans="1:22" ht="15.75" x14ac:dyDescent="0.25">
      <c r="A412" s="1174"/>
      <c r="B412" s="1383" t="s">
        <v>1238</v>
      </c>
      <c r="C412" s="1383"/>
      <c r="D412" s="1386">
        <v>33746.29</v>
      </c>
      <c r="E412" s="1387"/>
      <c r="F412" s="1383" t="s">
        <v>1238</v>
      </c>
      <c r="G412" s="1389">
        <v>7169</v>
      </c>
      <c r="H412" s="1387"/>
      <c r="I412" s="1194" t="s">
        <v>1239</v>
      </c>
      <c r="J412" s="1390">
        <v>6980</v>
      </c>
      <c r="O412" s="1174"/>
      <c r="P412" s="1374"/>
      <c r="Q412" s="1174"/>
      <c r="R412" s="1174"/>
      <c r="S412" s="1174"/>
      <c r="T412" s="1174"/>
      <c r="U412" s="1174"/>
      <c r="V412" s="1174"/>
    </row>
    <row r="413" spans="1:22" ht="15.75" x14ac:dyDescent="0.25">
      <c r="A413" s="1174"/>
      <c r="B413" s="1383" t="s">
        <v>1240</v>
      </c>
      <c r="C413" s="1383"/>
      <c r="D413" s="1386">
        <v>9713.2999999999993</v>
      </c>
      <c r="E413" s="1387"/>
      <c r="F413" s="1383" t="s">
        <v>1240</v>
      </c>
      <c r="G413" s="1389">
        <v>7169</v>
      </c>
      <c r="H413" s="1387"/>
      <c r="O413" s="1174"/>
      <c r="P413" s="1374"/>
      <c r="Q413" s="1174"/>
      <c r="R413" s="1174"/>
      <c r="S413" s="1174"/>
      <c r="T413" s="1174"/>
      <c r="U413" s="1174"/>
      <c r="V413" s="1174"/>
    </row>
    <row r="414" spans="1:22" ht="15.75" x14ac:dyDescent="0.25">
      <c r="A414" s="1174"/>
      <c r="B414" s="1383" t="s">
        <v>1241</v>
      </c>
      <c r="C414" s="1383"/>
      <c r="D414" s="1386">
        <v>10547.31</v>
      </c>
      <c r="E414" s="1387"/>
      <c r="F414" s="1383" t="s">
        <v>1241</v>
      </c>
      <c r="G414" s="1389">
        <v>7169</v>
      </c>
      <c r="H414" s="1387"/>
      <c r="I414" s="1191" t="s">
        <v>1242</v>
      </c>
      <c r="J414" s="1192"/>
      <c r="O414" s="1174"/>
      <c r="P414" s="1374"/>
      <c r="Q414" s="1174"/>
      <c r="R414" s="1174"/>
      <c r="S414" s="1174"/>
      <c r="T414" s="1174"/>
      <c r="U414" s="1174"/>
      <c r="V414" s="1174"/>
    </row>
    <row r="415" spans="1:22" ht="15.75" x14ac:dyDescent="0.25">
      <c r="A415" s="1174"/>
      <c r="B415" s="1383" t="s">
        <v>1243</v>
      </c>
      <c r="C415" s="1383"/>
      <c r="D415" s="1386">
        <v>13725.32</v>
      </c>
      <c r="E415" s="1387"/>
      <c r="F415" s="1383" t="s">
        <v>1243</v>
      </c>
      <c r="G415" s="1389">
        <v>7169</v>
      </c>
      <c r="H415" s="1387"/>
      <c r="I415" s="1194" t="s">
        <v>1186</v>
      </c>
      <c r="J415" s="1391" t="s">
        <v>1244</v>
      </c>
      <c r="O415" s="1174"/>
      <c r="P415" s="1374"/>
      <c r="Q415" s="1174"/>
      <c r="R415" s="1174"/>
      <c r="S415" s="1174"/>
      <c r="T415" s="1174"/>
      <c r="U415" s="1174"/>
      <c r="V415" s="1174"/>
    </row>
    <row r="416" spans="1:22" ht="15.75" x14ac:dyDescent="0.25">
      <c r="A416" s="1174"/>
      <c r="B416" s="1383" t="s">
        <v>1245</v>
      </c>
      <c r="C416" s="1383"/>
      <c r="D416" s="1386">
        <v>8532.33</v>
      </c>
      <c r="E416" s="1387"/>
      <c r="F416" s="1383" t="s">
        <v>1245</v>
      </c>
      <c r="G416" s="1389">
        <v>6980</v>
      </c>
      <c r="H416" s="1387"/>
      <c r="I416" s="1194" t="s">
        <v>1122</v>
      </c>
      <c r="J416" s="1194">
        <v>0.24</v>
      </c>
      <c r="O416" s="1174"/>
      <c r="P416" s="1374"/>
      <c r="Q416" s="1174"/>
      <c r="R416" s="1174"/>
      <c r="S416" s="1174"/>
      <c r="T416" s="1174"/>
      <c r="U416" s="1174"/>
      <c r="V416" s="1174"/>
    </row>
    <row r="417" spans="1:22" ht="15.75" x14ac:dyDescent="0.25">
      <c r="A417" s="1174"/>
      <c r="B417" s="1383" t="s">
        <v>1246</v>
      </c>
      <c r="C417" s="1383"/>
      <c r="D417" s="1386">
        <v>12286.34</v>
      </c>
      <c r="E417" s="1387"/>
      <c r="F417" s="1383" t="s">
        <v>1246</v>
      </c>
      <c r="G417" s="1389">
        <v>7169</v>
      </c>
      <c r="H417" s="1387"/>
      <c r="I417" s="1194" t="s">
        <v>1247</v>
      </c>
      <c r="J417" s="1194">
        <v>0.03</v>
      </c>
      <c r="K417" t="s">
        <v>1248</v>
      </c>
      <c r="O417" s="1174"/>
      <c r="P417" s="1374"/>
      <c r="Q417" s="1174"/>
      <c r="R417" s="1174"/>
      <c r="S417" s="1174"/>
      <c r="T417" s="1174"/>
      <c r="U417" s="1174"/>
      <c r="V417" s="1174"/>
    </row>
    <row r="418" spans="1:22" ht="15.75" x14ac:dyDescent="0.25">
      <c r="A418" s="1174"/>
      <c r="B418" s="1383" t="s">
        <v>1249</v>
      </c>
      <c r="C418" s="1383"/>
      <c r="D418" s="1386">
        <v>8764.35</v>
      </c>
      <c r="E418" s="1387"/>
      <c r="F418" s="1383" t="s">
        <v>1249</v>
      </c>
      <c r="G418" s="1389">
        <v>7169</v>
      </c>
      <c r="H418" s="1387"/>
      <c r="I418" s="1194" t="s">
        <v>1125</v>
      </c>
      <c r="J418" s="1194">
        <v>0.12</v>
      </c>
      <c r="O418" s="1174"/>
      <c r="P418" s="1374"/>
      <c r="Q418" s="1174"/>
      <c r="R418" s="1174"/>
      <c r="S418" s="1174"/>
      <c r="T418" s="1174"/>
      <c r="U418" s="1174"/>
      <c r="V418" s="1174"/>
    </row>
    <row r="419" spans="1:22" ht="15.75" x14ac:dyDescent="0.25">
      <c r="A419" s="1174"/>
      <c r="B419" s="1383" t="s">
        <v>1250</v>
      </c>
      <c r="C419" s="1383"/>
      <c r="D419" s="1386">
        <v>11794.36</v>
      </c>
      <c r="E419" s="1387"/>
      <c r="F419" s="1383" t="s">
        <v>1250</v>
      </c>
      <c r="G419" s="1389">
        <v>7169</v>
      </c>
      <c r="H419" s="1387"/>
      <c r="O419" s="1174"/>
      <c r="P419" s="1374"/>
      <c r="Q419" s="1174"/>
      <c r="R419" s="1174"/>
      <c r="S419" s="1174"/>
      <c r="T419" s="1174"/>
      <c r="U419" s="1174"/>
      <c r="V419" s="1174"/>
    </row>
    <row r="420" spans="1:22" ht="15.75" x14ac:dyDescent="0.25">
      <c r="A420" s="1174"/>
      <c r="B420" s="1383" t="s">
        <v>1251</v>
      </c>
      <c r="C420" s="1383"/>
      <c r="D420" s="1386">
        <v>23274.37</v>
      </c>
      <c r="E420" s="1387"/>
      <c r="F420" s="1383" t="s">
        <v>1251</v>
      </c>
      <c r="G420" s="1389">
        <v>6980</v>
      </c>
      <c r="H420" s="1387"/>
      <c r="O420" s="1174"/>
      <c r="P420" s="1374"/>
      <c r="Q420" s="1174"/>
      <c r="R420" s="1174"/>
      <c r="S420" s="1174"/>
      <c r="T420" s="1174"/>
      <c r="U420" s="1174"/>
      <c r="V420" s="1174"/>
    </row>
    <row r="421" spans="1:22" ht="15.75" x14ac:dyDescent="0.25">
      <c r="A421" s="1174"/>
      <c r="B421" s="1383" t="s">
        <v>1137</v>
      </c>
      <c r="C421" s="1383"/>
      <c r="D421" s="1386">
        <v>7222.38</v>
      </c>
      <c r="E421" s="1387"/>
      <c r="F421" s="1383" t="s">
        <v>1137</v>
      </c>
      <c r="G421" s="1389">
        <v>6980</v>
      </c>
      <c r="H421" s="1387"/>
      <c r="I421" s="1174"/>
      <c r="O421" s="1174"/>
      <c r="P421" s="1374"/>
      <c r="Q421" s="1174"/>
      <c r="R421" s="1174"/>
      <c r="S421" s="1174"/>
      <c r="T421" s="1174"/>
      <c r="U421" s="1174"/>
      <c r="V421" s="1174"/>
    </row>
    <row r="422" spans="1:22" ht="15.75" x14ac:dyDescent="0.25">
      <c r="A422" s="1174"/>
      <c r="B422" s="1383" t="s">
        <v>1138</v>
      </c>
      <c r="C422" s="1383"/>
      <c r="D422" s="1385">
        <v>11298</v>
      </c>
      <c r="E422" s="1381"/>
      <c r="F422" s="1383" t="s">
        <v>1138</v>
      </c>
      <c r="G422" s="1389">
        <v>7169</v>
      </c>
      <c r="H422" s="1387"/>
      <c r="I422" s="1174"/>
      <c r="O422" s="1174"/>
      <c r="P422" s="1374"/>
      <c r="Q422" s="1174"/>
      <c r="R422" s="1174"/>
      <c r="S422" s="1174"/>
      <c r="T422" s="1174"/>
      <c r="U422" s="1174"/>
      <c r="V422" s="1174"/>
    </row>
    <row r="423" spans="1:22" ht="15.75" x14ac:dyDescent="0.25">
      <c r="A423" s="1174"/>
      <c r="B423" s="1174"/>
      <c r="C423" s="1174"/>
      <c r="D423" s="1174"/>
      <c r="E423" s="1174"/>
      <c r="H423" s="1174"/>
      <c r="I423" s="1174"/>
      <c r="O423" s="1174"/>
      <c r="P423" s="1374"/>
      <c r="Q423" s="1174"/>
      <c r="R423" s="1174"/>
      <c r="S423" s="1174"/>
      <c r="T423" s="1174"/>
      <c r="U423" s="1174"/>
      <c r="V423" s="1174"/>
    </row>
    <row r="424" spans="1:22" ht="15.75" x14ac:dyDescent="0.25">
      <c r="A424" s="1174"/>
      <c r="B424" s="1174"/>
      <c r="C424" s="1174"/>
      <c r="D424" s="1174"/>
      <c r="E424" s="1174"/>
      <c r="F424" s="1174"/>
      <c r="G424" s="1174"/>
      <c r="H424" s="1174"/>
      <c r="I424" s="1174"/>
      <c r="O424" s="1174"/>
      <c r="P424" s="1374"/>
      <c r="Q424" s="1174"/>
      <c r="R424" s="1174"/>
      <c r="S424" s="1174"/>
      <c r="T424" s="1174"/>
      <c r="U424" s="1174"/>
      <c r="V424" s="1174"/>
    </row>
    <row r="425" spans="1:22" ht="15.75" x14ac:dyDescent="0.25">
      <c r="A425" s="1174"/>
      <c r="B425" s="1392" t="s">
        <v>1252</v>
      </c>
      <c r="C425" s="1392"/>
      <c r="D425" s="1393"/>
      <c r="E425" s="1393"/>
      <c r="F425" s="1393"/>
      <c r="G425" s="1393"/>
      <c r="H425" s="1393"/>
      <c r="I425" s="1393"/>
      <c r="J425" s="1330"/>
      <c r="O425" s="1174"/>
      <c r="P425" s="1374"/>
      <c r="Q425" s="1174"/>
      <c r="R425" s="1174"/>
      <c r="S425" s="1174"/>
      <c r="T425" s="1174"/>
      <c r="U425" s="1174"/>
      <c r="V425" s="1174"/>
    </row>
    <row r="426" spans="1:22" ht="15.75" x14ac:dyDescent="0.25">
      <c r="A426" s="1174"/>
      <c r="B426" s="1175" t="s">
        <v>1230</v>
      </c>
      <c r="C426" s="1175"/>
      <c r="D426" s="1174"/>
      <c r="E426" s="1174"/>
      <c r="F426" s="1174"/>
      <c r="G426" s="1174"/>
      <c r="H426" s="1174"/>
      <c r="I426" s="1174"/>
      <c r="O426" s="1174"/>
      <c r="P426" s="1374"/>
      <c r="Q426" s="1174"/>
      <c r="R426" s="1174"/>
      <c r="S426" s="1174"/>
      <c r="T426" s="1174"/>
      <c r="U426" s="1174"/>
      <c r="V426" s="1174"/>
    </row>
    <row r="427" spans="1:22" ht="15.75" x14ac:dyDescent="0.25">
      <c r="A427" s="1174"/>
      <c r="B427" s="1381">
        <v>7074</v>
      </c>
      <c r="C427" s="1381"/>
      <c r="D427" s="1175" t="s">
        <v>1253</v>
      </c>
      <c r="E427" s="1175"/>
      <c r="F427" s="1174"/>
      <c r="G427" s="1174"/>
      <c r="H427" s="1174"/>
      <c r="I427" s="1174"/>
      <c r="O427" s="1394"/>
      <c r="P427" s="1374"/>
      <c r="Q427" s="1174"/>
      <c r="R427" s="1174"/>
      <c r="S427" s="1174"/>
      <c r="T427" s="1174"/>
      <c r="U427" s="1174"/>
      <c r="V427" s="1174"/>
    </row>
    <row r="428" spans="1:22" ht="15.75" x14ac:dyDescent="0.25">
      <c r="A428" s="1174"/>
      <c r="B428" s="1174"/>
      <c r="C428" s="1174"/>
      <c r="D428" s="1174"/>
      <c r="E428" s="1174"/>
      <c r="F428" s="1175" t="s">
        <v>1101</v>
      </c>
      <c r="G428" s="1174"/>
      <c r="H428" s="1174"/>
      <c r="I428" s="1175" t="s">
        <v>1101</v>
      </c>
      <c r="O428" s="1394"/>
      <c r="P428" s="1374"/>
      <c r="Q428" s="1174"/>
      <c r="R428" s="1174"/>
      <c r="S428" s="1174"/>
      <c r="T428" s="1174"/>
      <c r="U428" s="1174"/>
      <c r="V428" s="1174"/>
    </row>
    <row r="429" spans="1:22" ht="15.75" x14ac:dyDescent="0.25">
      <c r="A429" s="1174"/>
      <c r="B429" s="1175" t="s">
        <v>1254</v>
      </c>
      <c r="C429" s="1175"/>
      <c r="F429" s="1175" t="s">
        <v>1255</v>
      </c>
      <c r="G429" s="1174"/>
      <c r="H429" s="1174"/>
      <c r="I429" s="1175" t="s">
        <v>1256</v>
      </c>
      <c r="O429" s="1394"/>
      <c r="P429" s="1374"/>
      <c r="Q429" s="1174"/>
      <c r="R429" s="1174"/>
      <c r="S429" s="1174"/>
      <c r="T429" s="1174"/>
      <c r="U429" s="1174"/>
      <c r="V429" s="1174"/>
    </row>
    <row r="430" spans="1:22" ht="15.75" x14ac:dyDescent="0.25">
      <c r="A430" s="1174"/>
      <c r="B430" s="1311" t="s">
        <v>1235</v>
      </c>
      <c r="C430" s="1311"/>
      <c r="D430" s="1179" t="s">
        <v>1198</v>
      </c>
      <c r="E430" s="1179"/>
      <c r="F430" s="1178" t="s">
        <v>1103</v>
      </c>
      <c r="G430" s="1179" t="s">
        <v>1198</v>
      </c>
      <c r="H430" s="1384"/>
      <c r="I430" s="1178" t="s">
        <v>1103</v>
      </c>
      <c r="J430" s="1179" t="s">
        <v>1198</v>
      </c>
      <c r="O430" s="1394"/>
      <c r="P430" s="1374"/>
      <c r="Q430" s="1174"/>
      <c r="R430" s="1174"/>
      <c r="S430" s="1174"/>
      <c r="T430" s="1174"/>
      <c r="U430" s="1174"/>
      <c r="V430" s="1174"/>
    </row>
    <row r="431" spans="1:22" ht="15.75" x14ac:dyDescent="0.25">
      <c r="A431" s="1174"/>
      <c r="B431" s="1383" t="s">
        <v>1133</v>
      </c>
      <c r="C431" s="1383"/>
      <c r="D431" s="1385">
        <v>7753</v>
      </c>
      <c r="E431" s="1381"/>
      <c r="F431" s="1383" t="s">
        <v>1133</v>
      </c>
      <c r="G431" s="1385">
        <v>7074</v>
      </c>
      <c r="H431" s="1174"/>
      <c r="I431" s="1194" t="s">
        <v>1133</v>
      </c>
      <c r="J431" s="1181">
        <v>7594</v>
      </c>
      <c r="O431" s="1174"/>
      <c r="P431" s="1374"/>
      <c r="Q431" s="1174"/>
      <c r="R431" s="1174"/>
      <c r="S431" s="1174"/>
      <c r="T431" s="1174"/>
      <c r="U431" s="1174"/>
      <c r="V431" s="1174"/>
    </row>
    <row r="432" spans="1:22" ht="15.75" x14ac:dyDescent="0.25">
      <c r="A432" s="1174"/>
      <c r="B432" s="1383" t="s">
        <v>1134</v>
      </c>
      <c r="C432" s="1383"/>
      <c r="D432" s="1386">
        <v>8197</v>
      </c>
      <c r="E432" s="1387"/>
      <c r="F432" s="1383" t="s">
        <v>1134</v>
      </c>
      <c r="G432" s="1386">
        <v>7265</v>
      </c>
      <c r="H432" s="1174"/>
      <c r="I432" s="1194" t="s">
        <v>1134</v>
      </c>
      <c r="J432" s="1388">
        <v>8197</v>
      </c>
      <c r="O432" s="1175"/>
      <c r="P432" s="1174"/>
      <c r="Q432" s="1174"/>
      <c r="R432" s="1174"/>
      <c r="S432" s="1174"/>
      <c r="T432" s="1174"/>
      <c r="U432" s="1174"/>
      <c r="V432" s="1174"/>
    </row>
    <row r="433" spans="1:22" ht="15.75" x14ac:dyDescent="0.25">
      <c r="A433" s="1174"/>
      <c r="B433" s="1383" t="s">
        <v>1135</v>
      </c>
      <c r="C433" s="1383"/>
      <c r="D433" s="1386">
        <v>7361</v>
      </c>
      <c r="E433" s="1387"/>
      <c r="F433" s="1383" t="s">
        <v>1135</v>
      </c>
      <c r="G433" s="1386">
        <v>7293</v>
      </c>
      <c r="H433" s="1174"/>
      <c r="I433" s="1194" t="s">
        <v>1135</v>
      </c>
      <c r="J433" s="1388">
        <v>7293</v>
      </c>
      <c r="P433" s="1174"/>
      <c r="Q433" s="1174"/>
      <c r="R433" s="1174"/>
      <c r="S433" s="1174"/>
      <c r="T433" s="1174"/>
      <c r="U433" s="1174"/>
      <c r="V433" s="1174"/>
    </row>
    <row r="434" spans="1:22" ht="15.75" x14ac:dyDescent="0.25">
      <c r="A434" s="1174"/>
      <c r="B434" s="1383" t="s">
        <v>1236</v>
      </c>
      <c r="C434" s="1383"/>
      <c r="D434" s="1386">
        <v>9165</v>
      </c>
      <c r="E434" s="1387"/>
      <c r="F434" s="1383" t="s">
        <v>1236</v>
      </c>
      <c r="G434" s="1386">
        <v>7074</v>
      </c>
      <c r="H434" s="1174"/>
      <c r="I434" s="1194" t="s">
        <v>1136</v>
      </c>
      <c r="J434" s="1388">
        <v>7818</v>
      </c>
      <c r="P434" s="1174"/>
      <c r="Q434" s="1174"/>
      <c r="R434" s="1174"/>
      <c r="S434" s="1174"/>
      <c r="T434" s="1174"/>
      <c r="U434" s="1174"/>
      <c r="V434" s="1174"/>
    </row>
    <row r="435" spans="1:22" ht="15.75" x14ac:dyDescent="0.25">
      <c r="A435" s="1395">
        <f t="shared" ref="A435:A451" si="100">ROW()-39</f>
        <v>396</v>
      </c>
      <c r="B435" s="1383" t="s">
        <v>1136</v>
      </c>
      <c r="C435" s="1383"/>
      <c r="D435" s="1386">
        <v>9267</v>
      </c>
      <c r="E435" s="1387"/>
      <c r="F435" s="1383" t="s">
        <v>1136</v>
      </c>
      <c r="G435" s="1386">
        <v>7265</v>
      </c>
      <c r="H435" s="1174"/>
      <c r="I435" s="1194" t="s">
        <v>1137</v>
      </c>
      <c r="J435" s="1388">
        <v>7074</v>
      </c>
      <c r="P435" s="1174"/>
      <c r="Q435" s="1174"/>
      <c r="R435" s="1174"/>
      <c r="S435" s="1174"/>
      <c r="T435" s="1174"/>
      <c r="U435" s="1174"/>
      <c r="V435" s="1174"/>
    </row>
    <row r="436" spans="1:22" ht="15.75" x14ac:dyDescent="0.25">
      <c r="A436" s="1395">
        <f t="shared" si="100"/>
        <v>397</v>
      </c>
      <c r="B436" s="1383" t="s">
        <v>1237</v>
      </c>
      <c r="C436" s="1383"/>
      <c r="D436" s="1386">
        <v>22331</v>
      </c>
      <c r="E436" s="1387"/>
      <c r="F436" s="1383" t="s">
        <v>1237</v>
      </c>
      <c r="G436" s="1386">
        <v>7265</v>
      </c>
      <c r="H436" s="1174"/>
      <c r="I436" s="1194" t="s">
        <v>1138</v>
      </c>
      <c r="J436" s="1388">
        <v>10501</v>
      </c>
      <c r="P436" s="1174"/>
      <c r="Q436" s="1174"/>
      <c r="R436" s="1174"/>
      <c r="S436" s="1174"/>
      <c r="T436" s="1174"/>
      <c r="U436" s="1174"/>
      <c r="V436" s="1174"/>
    </row>
    <row r="437" spans="1:22" ht="15.75" x14ac:dyDescent="0.25">
      <c r="A437" s="1395">
        <f t="shared" si="100"/>
        <v>398</v>
      </c>
      <c r="B437" s="1383" t="s">
        <v>1238</v>
      </c>
      <c r="C437" s="1383"/>
      <c r="D437" s="1386">
        <v>33701</v>
      </c>
      <c r="E437" s="1387"/>
      <c r="F437" s="1383" t="s">
        <v>1238</v>
      </c>
      <c r="G437" s="1389">
        <v>7265</v>
      </c>
      <c r="H437" s="1387"/>
      <c r="I437" s="1194" t="s">
        <v>1239</v>
      </c>
      <c r="J437" s="1390">
        <f>+B427</f>
        <v>7074</v>
      </c>
      <c r="P437" s="1174"/>
      <c r="Q437" s="1174"/>
      <c r="R437" s="1174"/>
      <c r="S437" s="1174"/>
      <c r="T437" s="1174"/>
      <c r="U437" s="1174"/>
      <c r="V437" s="1174"/>
    </row>
    <row r="438" spans="1:22" ht="15.75" x14ac:dyDescent="0.25">
      <c r="A438" s="1395">
        <f t="shared" si="100"/>
        <v>399</v>
      </c>
      <c r="B438" s="1383" t="s">
        <v>1240</v>
      </c>
      <c r="C438" s="1383"/>
      <c r="D438" s="1386">
        <v>9701</v>
      </c>
      <c r="E438" s="1387"/>
      <c r="F438" s="1383" t="s">
        <v>1240</v>
      </c>
      <c r="G438" s="1389">
        <v>7265</v>
      </c>
      <c r="H438" s="1387"/>
      <c r="P438" s="1174"/>
      <c r="Q438" s="1174"/>
      <c r="R438" s="1174"/>
      <c r="S438" s="1174"/>
      <c r="T438" s="1174"/>
      <c r="U438" s="1174"/>
      <c r="V438" s="1174"/>
    </row>
    <row r="439" spans="1:22" ht="15.75" x14ac:dyDescent="0.25">
      <c r="A439" s="1395">
        <f t="shared" si="100"/>
        <v>400</v>
      </c>
      <c r="B439" s="1383" t="s">
        <v>1241</v>
      </c>
      <c r="C439" s="1383"/>
      <c r="D439" s="1386">
        <v>10683</v>
      </c>
      <c r="E439" s="1387"/>
      <c r="F439" s="1383" t="s">
        <v>1241</v>
      </c>
      <c r="G439" s="1389">
        <v>7265</v>
      </c>
      <c r="H439" s="1387"/>
      <c r="I439" s="1191" t="s">
        <v>1242</v>
      </c>
      <c r="J439" s="1192"/>
      <c r="P439" s="1174"/>
      <c r="Q439" s="1174"/>
      <c r="R439" s="1174"/>
      <c r="S439" s="1174"/>
      <c r="T439" s="1174"/>
      <c r="U439" s="1174"/>
      <c r="V439" s="1174"/>
    </row>
    <row r="440" spans="1:22" ht="15.75" x14ac:dyDescent="0.25">
      <c r="A440" s="1395">
        <f t="shared" si="100"/>
        <v>401</v>
      </c>
      <c r="B440" s="1383" t="s">
        <v>1243</v>
      </c>
      <c r="C440" s="1383"/>
      <c r="D440" s="1386">
        <v>13707</v>
      </c>
      <c r="E440" s="1387"/>
      <c r="F440" s="1383" t="s">
        <v>1243</v>
      </c>
      <c r="G440" s="1389">
        <v>7265</v>
      </c>
      <c r="H440" s="1387"/>
      <c r="I440" s="1194" t="s">
        <v>1186</v>
      </c>
      <c r="J440" s="1391" t="s">
        <v>1244</v>
      </c>
      <c r="P440" s="1174"/>
      <c r="Q440" s="1174"/>
      <c r="R440" s="1174"/>
      <c r="S440" s="1174"/>
      <c r="T440" s="1174"/>
      <c r="U440" s="1174"/>
      <c r="V440" s="1174"/>
    </row>
    <row r="441" spans="1:22" ht="15.75" x14ac:dyDescent="0.25">
      <c r="A441" s="1395">
        <f t="shared" si="100"/>
        <v>402</v>
      </c>
      <c r="B441" s="1383" t="s">
        <v>1245</v>
      </c>
      <c r="C441" s="1383"/>
      <c r="D441" s="1386">
        <v>8644</v>
      </c>
      <c r="E441" s="1387"/>
      <c r="F441" s="1383" t="s">
        <v>1245</v>
      </c>
      <c r="G441" s="1389">
        <v>7074</v>
      </c>
      <c r="H441" s="1387"/>
      <c r="I441" s="1194" t="s">
        <v>1122</v>
      </c>
      <c r="J441" s="1194">
        <v>0.23</v>
      </c>
      <c r="P441" s="1174"/>
      <c r="Q441" s="1174"/>
      <c r="R441" s="1174"/>
      <c r="S441" s="1174"/>
      <c r="T441" s="1174"/>
      <c r="U441" s="1174"/>
      <c r="V441" s="1174"/>
    </row>
    <row r="442" spans="1:22" ht="15.75" x14ac:dyDescent="0.25">
      <c r="A442" s="1395">
        <f t="shared" si="100"/>
        <v>403</v>
      </c>
      <c r="B442" s="1383" t="s">
        <v>1246</v>
      </c>
      <c r="C442" s="1383"/>
      <c r="D442" s="1386">
        <v>12447</v>
      </c>
      <c r="E442" s="1387"/>
      <c r="F442" s="1383" t="s">
        <v>1246</v>
      </c>
      <c r="G442" s="1389">
        <v>7265</v>
      </c>
      <c r="H442" s="1387"/>
      <c r="I442" s="1194" t="s">
        <v>1247</v>
      </c>
      <c r="J442" s="1194">
        <v>0.03</v>
      </c>
      <c r="K442" t="s">
        <v>1248</v>
      </c>
      <c r="P442" s="1174"/>
      <c r="Q442" s="1174"/>
      <c r="R442" s="1174"/>
      <c r="S442" s="1174"/>
      <c r="T442" s="1174"/>
      <c r="U442" s="1174"/>
      <c r="V442" s="1174"/>
    </row>
    <row r="443" spans="1:22" ht="15.75" x14ac:dyDescent="0.25">
      <c r="A443" s="1395">
        <f t="shared" si="100"/>
        <v>404</v>
      </c>
      <c r="B443" s="1383" t="s">
        <v>1249</v>
      </c>
      <c r="C443" s="1383"/>
      <c r="D443" s="1386">
        <v>8881</v>
      </c>
      <c r="E443" s="1387"/>
      <c r="F443" s="1383" t="s">
        <v>1249</v>
      </c>
      <c r="G443" s="1389">
        <v>7265</v>
      </c>
      <c r="H443" s="1387"/>
      <c r="I443" s="1194" t="s">
        <v>1125</v>
      </c>
      <c r="J443" s="1194">
        <v>0.12</v>
      </c>
      <c r="P443" s="1174"/>
      <c r="Q443" s="1174"/>
      <c r="R443" s="1174"/>
      <c r="S443" s="1174"/>
      <c r="T443" s="1174"/>
      <c r="U443" s="1174"/>
      <c r="V443" s="1174"/>
    </row>
    <row r="444" spans="1:22" ht="15.75" x14ac:dyDescent="0.25">
      <c r="A444" s="1395">
        <f t="shared" si="100"/>
        <v>405</v>
      </c>
      <c r="B444" s="1383" t="s">
        <v>1250</v>
      </c>
      <c r="C444" s="1383"/>
      <c r="D444" s="1386">
        <v>11779</v>
      </c>
      <c r="E444" s="1387"/>
      <c r="F444" s="1383" t="s">
        <v>1250</v>
      </c>
      <c r="G444" s="1389">
        <v>7265</v>
      </c>
      <c r="H444" s="1387"/>
      <c r="P444" s="1174"/>
      <c r="Q444" s="1174"/>
      <c r="R444" s="1174"/>
      <c r="S444" s="1174"/>
      <c r="T444" s="1174"/>
      <c r="U444" s="1174"/>
      <c r="V444" s="1174"/>
    </row>
    <row r="445" spans="1:22" ht="15.75" x14ac:dyDescent="0.25">
      <c r="A445" s="1395">
        <f t="shared" si="100"/>
        <v>406</v>
      </c>
      <c r="B445" s="1383" t="s">
        <v>1251</v>
      </c>
      <c r="C445" s="1383"/>
      <c r="D445" s="1386">
        <v>23243</v>
      </c>
      <c r="E445" s="1387"/>
      <c r="F445" s="1383" t="s">
        <v>1251</v>
      </c>
      <c r="G445" s="1389">
        <v>7074</v>
      </c>
      <c r="H445" s="1387"/>
      <c r="P445" s="1174"/>
      <c r="Q445" s="1174"/>
      <c r="R445" s="1174"/>
      <c r="S445" s="1174"/>
      <c r="T445" s="1174"/>
      <c r="U445" s="1174"/>
      <c r="V445" s="1174"/>
    </row>
    <row r="446" spans="1:22" ht="15.75" x14ac:dyDescent="0.25">
      <c r="A446" s="1395">
        <f t="shared" si="100"/>
        <v>407</v>
      </c>
      <c r="B446" s="1383" t="s">
        <v>1137</v>
      </c>
      <c r="C446" s="1383"/>
      <c r="D446" s="1386">
        <v>7318</v>
      </c>
      <c r="E446" s="1387"/>
      <c r="F446" s="1383" t="s">
        <v>1137</v>
      </c>
      <c r="G446" s="1389">
        <v>7074</v>
      </c>
      <c r="H446" s="1387"/>
      <c r="I446" s="1174"/>
      <c r="P446" s="1174"/>
      <c r="Q446" s="1174"/>
      <c r="R446" s="1174"/>
      <c r="S446" s="1174"/>
      <c r="T446" s="1174"/>
      <c r="U446" s="1174"/>
      <c r="V446" s="1174"/>
    </row>
    <row r="447" spans="1:22" ht="15.75" x14ac:dyDescent="0.25">
      <c r="A447" s="1395">
        <f t="shared" si="100"/>
        <v>408</v>
      </c>
      <c r="B447" s="1383" t="s">
        <v>1138</v>
      </c>
      <c r="C447" s="1383"/>
      <c r="D447" s="1385">
        <v>11444.55</v>
      </c>
      <c r="E447" s="1381"/>
      <c r="F447" s="1383" t="s">
        <v>1138</v>
      </c>
      <c r="G447" s="1389">
        <v>7265</v>
      </c>
      <c r="H447" s="1387"/>
      <c r="I447" s="1174"/>
      <c r="P447" s="1174"/>
      <c r="Q447" s="1174"/>
      <c r="R447" s="1174"/>
      <c r="S447" s="1174"/>
      <c r="T447" s="1174"/>
      <c r="U447" s="1174"/>
      <c r="V447" s="1174"/>
    </row>
    <row r="448" spans="1:22" ht="15.75" x14ac:dyDescent="0.25">
      <c r="A448" s="1395">
        <f t="shared" si="100"/>
        <v>409</v>
      </c>
      <c r="B448" s="1174"/>
      <c r="C448" s="1174"/>
      <c r="D448" s="1174"/>
      <c r="E448" s="1174"/>
      <c r="F448" s="1174" t="s">
        <v>1239</v>
      </c>
      <c r="G448" s="1217">
        <f>+B427</f>
        <v>7074</v>
      </c>
      <c r="H448" s="1174"/>
      <c r="I448" s="1174"/>
      <c r="P448" s="1174"/>
      <c r="Q448" s="1174"/>
      <c r="R448" s="1174"/>
      <c r="S448" s="1174"/>
      <c r="T448" s="1174"/>
      <c r="U448" s="1174"/>
      <c r="V448" s="1174"/>
    </row>
    <row r="449" spans="1:22" ht="15.75" x14ac:dyDescent="0.25">
      <c r="A449" s="1395">
        <f t="shared" si="100"/>
        <v>410</v>
      </c>
      <c r="P449" s="1174"/>
      <c r="Q449" s="1174"/>
      <c r="R449" s="1174"/>
      <c r="S449" s="1174"/>
      <c r="T449" s="1174"/>
      <c r="U449" s="1174"/>
      <c r="V449" s="1174"/>
    </row>
    <row r="450" spans="1:22" ht="15.75" x14ac:dyDescent="0.25">
      <c r="A450" s="1395">
        <f t="shared" si="100"/>
        <v>411</v>
      </c>
      <c r="P450" s="1174"/>
      <c r="Q450" s="1174"/>
      <c r="R450" s="1174"/>
      <c r="S450" s="1174"/>
      <c r="T450" s="1174"/>
      <c r="U450" s="1174"/>
      <c r="V450" s="1174"/>
    </row>
    <row r="451" spans="1:22" ht="15.75" x14ac:dyDescent="0.25">
      <c r="A451" s="1395">
        <f t="shared" si="100"/>
        <v>412</v>
      </c>
      <c r="P451" s="1174"/>
      <c r="Q451" s="1174"/>
      <c r="R451" s="1174"/>
      <c r="S451" s="1174"/>
      <c r="T451" s="1174"/>
      <c r="U451" s="1174"/>
      <c r="V451" s="1174"/>
    </row>
    <row r="452" spans="1:22" ht="15.75" x14ac:dyDescent="0.25">
      <c r="A452" s="1174"/>
      <c r="P452" s="1174"/>
      <c r="Q452" s="1174"/>
      <c r="R452" s="1174"/>
      <c r="S452" s="1174"/>
      <c r="T452" s="1174"/>
      <c r="U452" s="1174"/>
      <c r="V452" s="1174"/>
    </row>
    <row r="453" spans="1:22" ht="15.75" x14ac:dyDescent="0.25">
      <c r="A453" s="1174"/>
      <c r="O453" s="1396"/>
      <c r="P453" s="1174"/>
      <c r="Q453" s="1174"/>
      <c r="R453" s="1174"/>
      <c r="S453" s="1174"/>
      <c r="T453" s="1174"/>
      <c r="U453" s="1174"/>
      <c r="V453" s="1174"/>
    </row>
    <row r="454" spans="1:22" ht="15.75" x14ac:dyDescent="0.25">
      <c r="A454" s="1174"/>
      <c r="O454" s="1174"/>
      <c r="P454" s="1174"/>
      <c r="Q454" s="1174"/>
      <c r="R454" s="1174"/>
      <c r="S454" s="1174"/>
      <c r="T454" s="1174"/>
      <c r="U454" s="1174"/>
      <c r="V454" s="1174"/>
    </row>
    <row r="455" spans="1:22" x14ac:dyDescent="0.25">
      <c r="P455" s="1397"/>
    </row>
  </sheetData>
  <mergeCells count="1">
    <mergeCell ref="S45:T45"/>
  </mergeCells>
  <conditionalFormatting sqref="J1">
    <cfRule type="expression" dxfId="4" priority="1" stopIfTrue="1">
      <formula>MOD(ROW(),2)=0</formula>
    </cfRule>
  </conditionalFormatting>
  <conditionalFormatting sqref="V1">
    <cfRule type="expression" dxfId="3" priority="2" stopIfTrue="1">
      <formula>MOD(ROW(),2)=0</formula>
    </cfRule>
  </conditionalFormatting>
  <hyperlinks>
    <hyperlink ref="J1" location="HypLink1" display="HypLink1" xr:uid="{0A9B34AE-0104-442C-AD98-849A87DD33BF}"/>
    <hyperlink ref="B41" r:id="rId1" xr:uid="{79A45DCA-7F6C-4AB9-9F24-E1F2EB8A94D1}"/>
    <hyperlink ref="B10" r:id="rId2" xr:uid="{B018881A-22A6-4DA5-A1FD-2F6EF7D21B6C}"/>
    <hyperlink ref="B25" r:id="rId3" xr:uid="{8F771AD9-4E17-45B0-BCAD-B1056800B37E}"/>
  </hyperlinks>
  <pageMargins left="0.7" right="0.7" top="0.75" bottom="0.75" header="0.3" footer="0.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7F2D6-252E-4C1B-B201-B589B0AEE6EB}">
  <dimension ref="A1:N43"/>
  <sheetViews>
    <sheetView workbookViewId="0">
      <selection activeCell="B25" sqref="B25"/>
    </sheetView>
  </sheetViews>
  <sheetFormatPr defaultColWidth="9.28515625" defaultRowHeight="12.75" x14ac:dyDescent="0.25"/>
  <cols>
    <col min="1" max="1" width="30" style="1398" customWidth="1"/>
    <col min="2" max="2" width="30.7109375" style="1398" customWidth="1"/>
    <col min="3" max="4" width="9" style="1398" customWidth="1"/>
    <col min="5" max="5" width="7.42578125" style="1399" customWidth="1"/>
    <col min="6" max="6" width="7" style="1399" customWidth="1"/>
    <col min="7" max="7" width="12" style="1399" customWidth="1"/>
    <col min="8" max="8" width="8.28515625" style="1399" customWidth="1"/>
    <col min="9" max="9" width="12.5703125" style="1399" customWidth="1"/>
    <col min="10" max="10" width="8.5703125" style="1399" customWidth="1"/>
    <col min="11" max="11" width="12.7109375" style="1399" customWidth="1"/>
    <col min="12" max="12" width="11.42578125" style="1399" customWidth="1"/>
    <col min="13" max="13" width="10.5703125" style="1399" customWidth="1"/>
    <col min="14" max="14" width="2.7109375" style="1398" customWidth="1"/>
    <col min="15" max="16384" width="9.28515625" style="1398"/>
  </cols>
  <sheetData>
    <row r="1" spans="1:14" ht="15.75" x14ac:dyDescent="0.25">
      <c r="A1" s="1495" t="s">
        <v>1331</v>
      </c>
      <c r="B1" s="1495"/>
      <c r="D1" s="242" t="s">
        <v>3</v>
      </c>
      <c r="H1" s="1494" t="s">
        <v>736</v>
      </c>
      <c r="I1" s="1494" t="s">
        <v>737</v>
      </c>
      <c r="J1" s="1494" t="s">
        <v>738</v>
      </c>
      <c r="K1" s="1494" t="s">
        <v>739</v>
      </c>
      <c r="L1" s="1494" t="s">
        <v>740</v>
      </c>
      <c r="M1" s="1493" t="s">
        <v>741</v>
      </c>
    </row>
    <row r="2" spans="1:14" ht="15.75" x14ac:dyDescent="0.25">
      <c r="A2" s="1492" t="str">
        <f>SchoolName</f>
        <v>Odyssey Charter School</v>
      </c>
      <c r="B2" s="1492"/>
      <c r="H2" s="1491">
        <f>+' Enrol &amp; Rev'!G10</f>
        <v>2025</v>
      </c>
      <c r="I2" s="1490">
        <f>+H3</f>
        <v>2026</v>
      </c>
      <c r="J2" s="1490">
        <f>+I3</f>
        <v>2027</v>
      </c>
      <c r="K2" s="1490">
        <f>+J3</f>
        <v>2028</v>
      </c>
      <c r="L2" s="1490">
        <f>+K3</f>
        <v>2029</v>
      </c>
      <c r="M2" s="1489">
        <f>+L3</f>
        <v>2030</v>
      </c>
    </row>
    <row r="3" spans="1:14" ht="15.75" x14ac:dyDescent="0.25">
      <c r="A3" s="1488" t="s">
        <v>80</v>
      </c>
      <c r="H3" s="1487">
        <f t="shared" ref="H3:M3" si="0">+H2+1</f>
        <v>2026</v>
      </c>
      <c r="I3" s="1486">
        <f t="shared" si="0"/>
        <v>2027</v>
      </c>
      <c r="J3" s="1486">
        <f t="shared" si="0"/>
        <v>2028</v>
      </c>
      <c r="K3" s="1486">
        <f t="shared" si="0"/>
        <v>2029</v>
      </c>
      <c r="L3" s="1486">
        <f t="shared" si="0"/>
        <v>2030</v>
      </c>
      <c r="M3" s="1485">
        <f t="shared" si="0"/>
        <v>2031</v>
      </c>
    </row>
    <row r="4" spans="1:14" ht="15" x14ac:dyDescent="0.25">
      <c r="A4" s="1484" t="s">
        <v>81</v>
      </c>
      <c r="F4" s="1399" t="s">
        <v>1330</v>
      </c>
      <c r="H4" s="1483">
        <f>+' Enrol &amp; Rev'!G36</f>
        <v>2320.02</v>
      </c>
      <c r="I4" s="1483">
        <f>+' Enrol &amp; Rev'!H36</f>
        <v>2320.02</v>
      </c>
      <c r="J4" s="1483">
        <f>+' Enrol &amp; Rev'!I36</f>
        <v>2320.02</v>
      </c>
      <c r="K4" s="1483">
        <f>+' Enrol &amp; Rev'!J36</f>
        <v>2320.02</v>
      </c>
      <c r="L4" s="1483">
        <f>+' Enrol &amp; Rev'!K36</f>
        <v>2320.02</v>
      </c>
      <c r="M4" s="1483">
        <f>+' Enrol &amp; Rev'!L36</f>
        <v>2320.02</v>
      </c>
    </row>
    <row r="5" spans="1:14" ht="15" x14ac:dyDescent="0.25">
      <c r="A5" s="1482" t="str">
        <f ca="1">CELL("filename")</f>
        <v>\\lvraiders\users\sguthrie\Documents\Charter\Change of Sponsorship\[240126-SPCSA-Odyssey Charter School Application Workbook-Modified-Version (1).xlsx]Instructions</v>
      </c>
      <c r="H5" s="1399">
        <v>100</v>
      </c>
      <c r="I5" s="1481"/>
      <c r="J5" s="1481"/>
      <c r="K5" s="1481">
        <f>+' Enrol &amp; Rev'!J19</f>
        <v>23.200199999999999</v>
      </c>
      <c r="L5" s="1481">
        <f>+' Enrol &amp; Rev'!K19</f>
        <v>23.200199999999999</v>
      </c>
      <c r="M5" s="1481">
        <f>+' Enrol &amp; Rev'!L19</f>
        <v>23.200199999999999</v>
      </c>
    </row>
    <row r="6" spans="1:14" ht="15" x14ac:dyDescent="0.25">
      <c r="F6" s="1399" t="s">
        <v>1329</v>
      </c>
      <c r="H6" s="1481">
        <v>25</v>
      </c>
      <c r="I6" s="1481">
        <v>25</v>
      </c>
      <c r="J6" s="1481">
        <v>25</v>
      </c>
      <c r="K6" s="1481">
        <v>25</v>
      </c>
      <c r="L6" s="1481">
        <v>25</v>
      </c>
      <c r="M6" s="1481">
        <v>25</v>
      </c>
    </row>
    <row r="7" spans="1:14" ht="18.75" x14ac:dyDescent="0.25">
      <c r="A7" s="1480" t="s">
        <v>1328</v>
      </c>
      <c r="B7" s="1479"/>
      <c r="C7" s="1479"/>
      <c r="D7" s="1479"/>
      <c r="E7" s="1478"/>
      <c r="F7" s="1478"/>
      <c r="G7" s="1478"/>
      <c r="H7" s="1478" t="s">
        <v>1327</v>
      </c>
      <c r="I7" s="1478"/>
      <c r="J7" s="1478"/>
      <c r="K7" s="1478"/>
      <c r="L7" s="1478"/>
      <c r="M7" s="1478"/>
      <c r="N7" s="1477"/>
    </row>
    <row r="8" spans="1:14" ht="15.75" x14ac:dyDescent="0.25">
      <c r="A8" s="1476" t="s">
        <v>1326</v>
      </c>
      <c r="B8" s="1475" t="s">
        <v>1325</v>
      </c>
      <c r="C8" s="1474" t="s">
        <v>1324</v>
      </c>
      <c r="D8" s="1474" t="s">
        <v>1323</v>
      </c>
      <c r="E8" s="1473" t="s">
        <v>1322</v>
      </c>
      <c r="F8" s="1628" t="s">
        <v>1321</v>
      </c>
      <c r="G8" s="1629"/>
      <c r="H8" s="1628" t="s">
        <v>1320</v>
      </c>
      <c r="I8" s="1629"/>
      <c r="J8" s="1628" t="s">
        <v>1319</v>
      </c>
      <c r="K8" s="1629"/>
      <c r="L8" s="1628" t="s">
        <v>1318</v>
      </c>
      <c r="M8" s="1629"/>
    </row>
    <row r="9" spans="1:14" ht="15" x14ac:dyDescent="0.25">
      <c r="A9" s="1457" t="s">
        <v>457</v>
      </c>
      <c r="B9" s="1472" t="s">
        <v>1317</v>
      </c>
      <c r="C9" s="1471"/>
      <c r="D9" s="1471"/>
      <c r="E9" s="1470"/>
      <c r="F9" s="1441"/>
      <c r="G9" s="1454"/>
      <c r="H9" s="1441"/>
      <c r="I9" s="1453"/>
      <c r="J9" s="1441"/>
      <c r="K9" s="1453"/>
      <c r="L9" s="1441"/>
      <c r="M9" s="1453"/>
    </row>
    <row r="10" spans="1:14" ht="15" x14ac:dyDescent="0.25">
      <c r="A10" s="1446" t="s">
        <v>1316</v>
      </c>
      <c r="B10" s="1445" t="s">
        <v>1315</v>
      </c>
      <c r="C10" s="1456"/>
      <c r="D10" s="1456"/>
      <c r="E10" s="1468"/>
      <c r="F10" s="1452"/>
      <c r="G10" s="1467"/>
      <c r="H10" s="1469"/>
      <c r="I10" s="1465"/>
      <c r="J10" s="1469"/>
      <c r="K10" s="1465"/>
      <c r="L10" s="1469"/>
      <c r="M10" s="1453"/>
    </row>
    <row r="11" spans="1:14" ht="15" x14ac:dyDescent="0.25">
      <c r="A11" s="1446" t="s">
        <v>1314</v>
      </c>
      <c r="B11" s="1445" t="s">
        <v>1313</v>
      </c>
      <c r="C11" s="1456"/>
      <c r="D11" s="1456"/>
      <c r="E11" s="1468"/>
      <c r="F11" s="1441"/>
      <c r="G11" s="1467"/>
      <c r="H11" s="1466"/>
      <c r="I11" s="1465"/>
      <c r="J11" s="1464"/>
      <c r="K11" s="1465"/>
      <c r="L11" s="1464"/>
      <c r="M11" s="1453"/>
    </row>
    <row r="12" spans="1:14" ht="15" x14ac:dyDescent="0.25">
      <c r="A12" s="1446" t="s">
        <v>1312</v>
      </c>
      <c r="B12" s="1445" t="s">
        <v>1311</v>
      </c>
      <c r="C12" s="1463">
        <v>55</v>
      </c>
      <c r="D12" s="1463">
        <v>100</v>
      </c>
      <c r="E12" s="1462"/>
      <c r="F12" s="1461"/>
      <c r="G12" s="1459"/>
      <c r="H12" s="1460"/>
      <c r="I12" s="1459"/>
      <c r="J12" s="1460"/>
      <c r="K12" s="1459"/>
      <c r="L12" s="1460"/>
      <c r="M12" s="1459"/>
    </row>
    <row r="13" spans="1:14" ht="15" x14ac:dyDescent="0.25">
      <c r="A13" s="1446"/>
      <c r="B13" s="1445"/>
      <c r="C13" s="1456"/>
      <c r="D13" s="1456"/>
      <c r="E13" s="1455"/>
      <c r="F13" s="1458"/>
      <c r="G13" s="1454"/>
      <c r="H13" s="1458"/>
      <c r="I13" s="1453"/>
      <c r="J13" s="1458"/>
      <c r="K13" s="1453"/>
      <c r="L13" s="1458"/>
      <c r="M13" s="1453"/>
    </row>
    <row r="14" spans="1:14" ht="15" x14ac:dyDescent="0.25">
      <c r="A14" s="1457" t="s">
        <v>1310</v>
      </c>
      <c r="B14" s="1445"/>
      <c r="C14" s="1456"/>
      <c r="D14" s="1456"/>
      <c r="E14" s="1455"/>
      <c r="F14" s="1452"/>
      <c r="G14" s="1454"/>
      <c r="H14" s="1452"/>
      <c r="I14" s="1453"/>
      <c r="J14" s="1452"/>
      <c r="K14" s="1453"/>
      <c r="L14" s="1452"/>
      <c r="M14" s="1453"/>
    </row>
    <row r="15" spans="1:14" ht="15" x14ac:dyDescent="0.25">
      <c r="A15" s="1446" t="s">
        <v>1309</v>
      </c>
      <c r="B15" s="1445" t="s">
        <v>1308</v>
      </c>
      <c r="C15" s="1444">
        <v>750</v>
      </c>
      <c r="D15" s="1444">
        <v>1000</v>
      </c>
      <c r="E15" s="1443"/>
      <c r="F15" s="1452"/>
      <c r="G15" s="1450"/>
      <c r="H15" s="1452"/>
      <c r="I15" s="1450"/>
      <c r="J15" s="1451"/>
      <c r="K15" s="1450"/>
      <c r="L15" s="1451"/>
      <c r="M15" s="1450"/>
    </row>
    <row r="16" spans="1:14" ht="15" x14ac:dyDescent="0.25">
      <c r="A16" s="1446" t="s">
        <v>1307</v>
      </c>
      <c r="B16" s="1445" t="s">
        <v>1306</v>
      </c>
      <c r="C16" s="1444">
        <v>850</v>
      </c>
      <c r="D16" s="1444">
        <v>1200</v>
      </c>
      <c r="E16" s="1443"/>
      <c r="F16" s="1449"/>
      <c r="G16" s="1439"/>
      <c r="H16" s="1441"/>
      <c r="I16" s="1439"/>
      <c r="J16" s="1440"/>
      <c r="K16" s="1439"/>
      <c r="L16" s="1440"/>
      <c r="M16" s="1439"/>
    </row>
    <row r="17" spans="1:13" ht="15" x14ac:dyDescent="0.25">
      <c r="A17" s="1446" t="s">
        <v>1305</v>
      </c>
      <c r="B17" s="1445" t="s">
        <v>1304</v>
      </c>
      <c r="C17" s="1444">
        <v>850</v>
      </c>
      <c r="D17" s="1444">
        <v>1200</v>
      </c>
      <c r="E17" s="1443"/>
      <c r="F17" s="1442"/>
      <c r="G17" s="1439"/>
      <c r="H17" s="1441"/>
      <c r="I17" s="1439"/>
      <c r="J17" s="1440"/>
      <c r="K17" s="1439"/>
      <c r="L17" s="1440"/>
      <c r="M17" s="1439"/>
    </row>
    <row r="18" spans="1:13" ht="45" x14ac:dyDescent="0.25">
      <c r="A18" s="1446" t="s">
        <v>1303</v>
      </c>
      <c r="B18" s="1445" t="s">
        <v>1302</v>
      </c>
      <c r="C18" s="1444"/>
      <c r="D18" s="1444"/>
      <c r="E18" s="1443"/>
      <c r="F18" s="1442"/>
      <c r="G18" s="1439"/>
      <c r="H18" s="1441"/>
      <c r="I18" s="1439"/>
      <c r="J18" s="1440"/>
      <c r="K18" s="1439"/>
      <c r="L18" s="1440"/>
      <c r="M18" s="1439"/>
    </row>
    <row r="19" spans="1:13" ht="45" x14ac:dyDescent="0.25">
      <c r="A19" s="1446" t="s">
        <v>1301</v>
      </c>
      <c r="B19" s="1445" t="s">
        <v>1300</v>
      </c>
      <c r="C19" s="1444"/>
      <c r="D19" s="1444"/>
      <c r="E19" s="1443"/>
      <c r="F19" s="1442"/>
      <c r="G19" s="1439"/>
      <c r="H19" s="1441"/>
      <c r="I19" s="1439"/>
      <c r="J19" s="1440"/>
      <c r="K19" s="1439"/>
      <c r="L19" s="1440"/>
      <c r="M19" s="1439"/>
    </row>
    <row r="20" spans="1:13" ht="15" x14ac:dyDescent="0.25">
      <c r="A20" s="1446" t="s">
        <v>1299</v>
      </c>
      <c r="B20" s="1445" t="s">
        <v>1298</v>
      </c>
      <c r="C20" s="1444"/>
      <c r="D20" s="1444"/>
      <c r="E20" s="1443"/>
      <c r="F20" s="1442"/>
      <c r="G20" s="1439"/>
      <c r="H20" s="1441"/>
      <c r="I20" s="1439"/>
      <c r="J20" s="1440"/>
      <c r="K20" s="1439"/>
      <c r="L20" s="1440"/>
      <c r="M20" s="1439"/>
    </row>
    <row r="21" spans="1:13" ht="15" x14ac:dyDescent="0.25">
      <c r="A21" s="1446" t="s">
        <v>1297</v>
      </c>
      <c r="B21" s="1445" t="s">
        <v>1296</v>
      </c>
      <c r="C21" s="1444">
        <v>70</v>
      </c>
      <c r="D21" s="1444">
        <v>100</v>
      </c>
      <c r="E21" s="1443"/>
      <c r="F21" s="1442"/>
      <c r="G21" s="1439"/>
      <c r="H21" s="1441"/>
      <c r="I21" s="1439"/>
      <c r="J21" s="1440"/>
      <c r="K21" s="1439"/>
      <c r="L21" s="1440"/>
      <c r="M21" s="1439"/>
    </row>
    <row r="22" spans="1:13" ht="15" x14ac:dyDescent="0.25">
      <c r="A22" s="1446" t="s">
        <v>1295</v>
      </c>
      <c r="B22" s="1445" t="s">
        <v>1294</v>
      </c>
      <c r="C22" s="1444"/>
      <c r="D22" s="1444"/>
      <c r="E22" s="1443"/>
      <c r="F22" s="1442"/>
      <c r="G22" s="1439"/>
      <c r="H22" s="1441"/>
      <c r="I22" s="1439"/>
      <c r="J22" s="1440"/>
      <c r="K22" s="1439"/>
      <c r="L22" s="1440"/>
      <c r="M22" s="1439"/>
    </row>
    <row r="23" spans="1:13" ht="15" x14ac:dyDescent="0.25">
      <c r="A23" s="1446" t="s">
        <v>1293</v>
      </c>
      <c r="B23" s="1445" t="s">
        <v>1292</v>
      </c>
      <c r="C23" s="1444"/>
      <c r="D23" s="1444"/>
      <c r="E23" s="1443"/>
      <c r="F23" s="1442"/>
      <c r="G23" s="1439"/>
      <c r="H23" s="1441"/>
      <c r="I23" s="1439"/>
      <c r="J23" s="1440"/>
      <c r="K23" s="1439"/>
      <c r="L23" s="1440"/>
      <c r="M23" s="1439"/>
    </row>
    <row r="24" spans="1:13" ht="15" x14ac:dyDescent="0.25">
      <c r="A24" s="1446" t="s">
        <v>1291</v>
      </c>
      <c r="B24" s="1445" t="s">
        <v>1290</v>
      </c>
      <c r="C24" s="1444"/>
      <c r="D24" s="1444"/>
      <c r="E24" s="1443"/>
      <c r="F24" s="1442"/>
      <c r="G24" s="1439"/>
      <c r="H24" s="1441"/>
      <c r="I24" s="1439"/>
      <c r="J24" s="1440"/>
      <c r="K24" s="1439"/>
      <c r="L24" s="1440"/>
      <c r="M24" s="1439"/>
    </row>
    <row r="25" spans="1:13" ht="15" x14ac:dyDescent="0.25">
      <c r="A25" s="1446" t="s">
        <v>1289</v>
      </c>
      <c r="B25" s="1445" t="s">
        <v>1288</v>
      </c>
      <c r="C25" s="1444"/>
      <c r="D25" s="1444"/>
      <c r="E25" s="1443"/>
      <c r="F25" s="1442"/>
      <c r="G25" s="1439"/>
      <c r="H25" s="1441"/>
      <c r="I25" s="1439"/>
      <c r="J25" s="1440"/>
      <c r="K25" s="1439"/>
      <c r="L25" s="1440"/>
      <c r="M25" s="1439"/>
    </row>
    <row r="26" spans="1:13" ht="15" x14ac:dyDescent="0.25">
      <c r="A26" s="1446" t="s">
        <v>1287</v>
      </c>
      <c r="B26" s="1445" t="s">
        <v>1286</v>
      </c>
      <c r="C26" s="1444"/>
      <c r="D26" s="1444"/>
      <c r="E26" s="1443"/>
      <c r="F26" s="1442"/>
      <c r="G26" s="1439"/>
      <c r="H26" s="1441"/>
      <c r="I26" s="1439"/>
      <c r="J26" s="1440"/>
      <c r="K26" s="1439"/>
      <c r="L26" s="1440"/>
      <c r="M26" s="1439"/>
    </row>
    <row r="27" spans="1:13" ht="15" x14ac:dyDescent="0.25">
      <c r="A27" s="1446" t="s">
        <v>1285</v>
      </c>
      <c r="B27" s="1445" t="s">
        <v>1284</v>
      </c>
      <c r="C27" s="1444"/>
      <c r="D27" s="1444"/>
      <c r="E27" s="1443"/>
      <c r="F27" s="1442"/>
      <c r="G27" s="1439"/>
      <c r="H27" s="1441"/>
      <c r="I27" s="1439"/>
      <c r="J27" s="1440"/>
      <c r="K27" s="1439"/>
      <c r="L27" s="1440"/>
      <c r="M27" s="1439"/>
    </row>
    <row r="28" spans="1:13" ht="30" x14ac:dyDescent="0.25">
      <c r="A28" s="1446" t="s">
        <v>1283</v>
      </c>
      <c r="B28" s="1445" t="s">
        <v>1282</v>
      </c>
      <c r="C28" s="1444"/>
      <c r="D28" s="1444"/>
      <c r="E28" s="1443"/>
      <c r="F28" s="1442"/>
      <c r="G28" s="1439"/>
      <c r="H28" s="1441"/>
      <c r="I28" s="1439"/>
      <c r="J28" s="1440"/>
      <c r="K28" s="1439"/>
      <c r="L28" s="1440"/>
      <c r="M28" s="1439"/>
    </row>
    <row r="29" spans="1:13" ht="30" x14ac:dyDescent="0.25">
      <c r="A29" s="1446" t="s">
        <v>1281</v>
      </c>
      <c r="B29" s="1445" t="s">
        <v>1280</v>
      </c>
      <c r="C29" s="1444">
        <v>7</v>
      </c>
      <c r="D29" s="1444">
        <v>10</v>
      </c>
      <c r="E29" s="1448"/>
      <c r="F29" s="1447"/>
      <c r="G29" s="1439"/>
      <c r="H29" s="1447"/>
      <c r="I29" s="1439"/>
      <c r="J29" s="1447"/>
      <c r="K29" s="1439"/>
      <c r="L29" s="1447"/>
      <c r="M29" s="1439"/>
    </row>
    <row r="30" spans="1:13" ht="15" x14ac:dyDescent="0.25">
      <c r="A30" s="1446" t="s">
        <v>1279</v>
      </c>
      <c r="B30" s="1445" t="s">
        <v>1278</v>
      </c>
      <c r="C30" s="1444"/>
      <c r="D30" s="1444"/>
      <c r="E30" s="1443"/>
      <c r="F30" s="1442"/>
      <c r="G30" s="1439"/>
      <c r="H30" s="1441"/>
      <c r="I30" s="1439"/>
      <c r="J30" s="1440"/>
      <c r="K30" s="1439"/>
      <c r="L30" s="1440"/>
      <c r="M30" s="1439"/>
    </row>
    <row r="31" spans="1:13" ht="15" x14ac:dyDescent="0.25">
      <c r="A31" s="1446" t="s">
        <v>1277</v>
      </c>
      <c r="B31" s="1445" t="s">
        <v>1276</v>
      </c>
      <c r="C31" s="1444"/>
      <c r="D31" s="1444"/>
      <c r="E31" s="1443"/>
      <c r="F31" s="1442"/>
      <c r="G31" s="1439"/>
      <c r="H31" s="1441"/>
      <c r="I31" s="1439"/>
      <c r="J31" s="1440"/>
      <c r="K31" s="1439"/>
      <c r="L31" s="1440"/>
      <c r="M31" s="1439"/>
    </row>
    <row r="32" spans="1:13" ht="15" x14ac:dyDescent="0.25">
      <c r="A32" s="1446" t="s">
        <v>1275</v>
      </c>
      <c r="B32" s="1445" t="s">
        <v>1274</v>
      </c>
      <c r="C32" s="1444"/>
      <c r="D32" s="1444"/>
      <c r="E32" s="1443"/>
      <c r="F32" s="1442"/>
      <c r="G32" s="1439"/>
      <c r="H32" s="1441"/>
      <c r="I32" s="1439"/>
      <c r="J32" s="1440"/>
      <c r="K32" s="1439"/>
      <c r="L32" s="1440"/>
      <c r="M32" s="1439"/>
    </row>
    <row r="33" spans="1:13" ht="15" x14ac:dyDescent="0.25">
      <c r="A33" s="1446" t="s">
        <v>1273</v>
      </c>
      <c r="B33" s="1445" t="s">
        <v>1272</v>
      </c>
      <c r="C33" s="1444"/>
      <c r="D33" s="1444"/>
      <c r="E33" s="1443"/>
      <c r="F33" s="1442"/>
      <c r="G33" s="1439"/>
      <c r="H33" s="1441"/>
      <c r="I33" s="1439"/>
      <c r="J33" s="1440"/>
      <c r="K33" s="1439"/>
      <c r="L33" s="1440"/>
      <c r="M33" s="1439"/>
    </row>
    <row r="34" spans="1:13" ht="30" x14ac:dyDescent="0.25">
      <c r="A34" s="1438" t="s">
        <v>1271</v>
      </c>
      <c r="B34" s="1437" t="s">
        <v>1270</v>
      </c>
      <c r="C34" s="1436"/>
      <c r="D34" s="1436"/>
      <c r="E34" s="1435"/>
      <c r="F34" s="1434"/>
      <c r="G34" s="1431"/>
      <c r="H34" s="1433"/>
      <c r="I34" s="1431"/>
      <c r="J34" s="1432"/>
      <c r="K34" s="1431"/>
      <c r="L34" s="1432"/>
      <c r="M34" s="1431"/>
    </row>
    <row r="35" spans="1:13" ht="30" x14ac:dyDescent="0.25">
      <c r="A35" s="1430" t="s">
        <v>1269</v>
      </c>
      <c r="B35" s="1429"/>
      <c r="C35" s="1428"/>
      <c r="D35" s="1428"/>
      <c r="E35" s="1427"/>
      <c r="F35" s="1426"/>
      <c r="G35" s="1424">
        <f>SUM(G15:G34)</f>
        <v>0</v>
      </c>
      <c r="H35" s="1425"/>
      <c r="I35" s="1424">
        <f>SUM(I15:I34)</f>
        <v>0</v>
      </c>
      <c r="J35" s="1425"/>
      <c r="K35" s="1424">
        <f>SUM(K15:K34)</f>
        <v>0</v>
      </c>
      <c r="L35" s="1425"/>
      <c r="M35" s="1424">
        <f>SUM(M15:M34)</f>
        <v>0</v>
      </c>
    </row>
    <row r="36" spans="1:13" ht="15" x14ac:dyDescent="0.25">
      <c r="A36" s="1423" t="s">
        <v>1268</v>
      </c>
      <c r="B36" s="1422" t="s">
        <v>1267</v>
      </c>
      <c r="C36" s="1421"/>
      <c r="D36" s="1421"/>
      <c r="E36" s="1420"/>
      <c r="F36" s="1419"/>
      <c r="G36" s="1417">
        <f>+G35*$E36</f>
        <v>0</v>
      </c>
      <c r="H36" s="1418"/>
      <c r="I36" s="1417">
        <f>+I35*$E36</f>
        <v>0</v>
      </c>
      <c r="J36" s="1418"/>
      <c r="K36" s="1417">
        <f>+K35*$E36</f>
        <v>0</v>
      </c>
      <c r="L36" s="1418"/>
      <c r="M36" s="1417">
        <f>+M35*$E36</f>
        <v>0</v>
      </c>
    </row>
    <row r="37" spans="1:13" ht="15" x14ac:dyDescent="0.25">
      <c r="A37" s="1416" t="s">
        <v>1266</v>
      </c>
      <c r="B37" s="1415" t="s">
        <v>1265</v>
      </c>
      <c r="C37" s="1410"/>
      <c r="D37" s="1410"/>
      <c r="E37" s="1409"/>
      <c r="F37" s="1409"/>
      <c r="G37" s="1413">
        <f>+G35+G36</f>
        <v>0</v>
      </c>
      <c r="H37" s="1414"/>
      <c r="I37" s="1413">
        <f>+I35+I36</f>
        <v>0</v>
      </c>
      <c r="J37" s="1414"/>
      <c r="K37" s="1413">
        <f>+K35+K36</f>
        <v>0</v>
      </c>
      <c r="L37" s="1414"/>
      <c r="M37" s="1413">
        <f>+M35+M36</f>
        <v>0</v>
      </c>
    </row>
    <row r="38" spans="1:13" ht="15" x14ac:dyDescent="0.25">
      <c r="A38" s="1412" t="s">
        <v>1264</v>
      </c>
      <c r="B38" s="1411" t="s">
        <v>1263</v>
      </c>
      <c r="C38" s="1410"/>
      <c r="D38" s="1410"/>
      <c r="E38" s="1409"/>
      <c r="F38" s="1409"/>
      <c r="G38" s="1407" t="e">
        <f>+G37/F9</f>
        <v>#DIV/0!</v>
      </c>
      <c r="H38" s="1408"/>
      <c r="I38" s="1407" t="e">
        <f>+I37/H9</f>
        <v>#DIV/0!</v>
      </c>
      <c r="J38" s="1408"/>
      <c r="K38" s="1407" t="e">
        <f>+K37/J9</f>
        <v>#DIV/0!</v>
      </c>
      <c r="L38" s="1408"/>
      <c r="M38" s="1407" t="e">
        <f>+M37/L9</f>
        <v>#DIV/0!</v>
      </c>
    </row>
    <row r="39" spans="1:13" ht="15.75" x14ac:dyDescent="0.25">
      <c r="C39" s="1405" t="s">
        <v>1262</v>
      </c>
      <c r="D39" s="1405"/>
      <c r="E39" s="1404"/>
      <c r="F39" s="1403"/>
      <c r="G39" s="1402">
        <f>+$E39*G$37*12</f>
        <v>0</v>
      </c>
      <c r="H39" s="1401" t="s">
        <v>684</v>
      </c>
      <c r="I39" s="1402">
        <f>+$E39*I$37*12</f>
        <v>0</v>
      </c>
      <c r="J39" s="1401" t="s">
        <v>684</v>
      </c>
      <c r="K39" s="1400">
        <f>+$E39*K$37</f>
        <v>0</v>
      </c>
      <c r="M39" s="1400">
        <f>+$E39*M$37</f>
        <v>0</v>
      </c>
    </row>
    <row r="40" spans="1:13" ht="15.75" x14ac:dyDescent="0.25">
      <c r="A40" s="1406" t="s">
        <v>1261</v>
      </c>
      <c r="C40" s="1405" t="s">
        <v>1260</v>
      </c>
      <c r="D40" s="1405"/>
      <c r="E40" s="1404"/>
      <c r="F40" s="1403"/>
      <c r="G40" s="1402">
        <f>+$E40*G$37*12</f>
        <v>0</v>
      </c>
      <c r="H40" s="1401" t="s">
        <v>684</v>
      </c>
      <c r="I40" s="1402">
        <f>+$E40*I$37*12</f>
        <v>0</v>
      </c>
      <c r="J40" s="1401" t="s">
        <v>684</v>
      </c>
      <c r="K40" s="1400">
        <f>+$E40*K$37</f>
        <v>0</v>
      </c>
      <c r="M40" s="1400">
        <f>+$E40*M$37</f>
        <v>0</v>
      </c>
    </row>
    <row r="41" spans="1:13" x14ac:dyDescent="0.25">
      <c r="A41" s="1398" t="s">
        <v>1259</v>
      </c>
    </row>
    <row r="42" spans="1:13" x14ac:dyDescent="0.25">
      <c r="A42" s="1398" t="s">
        <v>1258</v>
      </c>
    </row>
    <row r="43" spans="1:13" x14ac:dyDescent="0.25">
      <c r="A43" s="1398" t="s">
        <v>1257</v>
      </c>
    </row>
  </sheetData>
  <mergeCells count="4">
    <mergeCell ref="F8:G8"/>
    <mergeCell ref="H8:I8"/>
    <mergeCell ref="J8:K8"/>
    <mergeCell ref="L8:M8"/>
  </mergeCells>
  <conditionalFormatting sqref="D1">
    <cfRule type="expression" dxfId="2" priority="1" stopIfTrue="1">
      <formula>MOD(ROW(),2)=0</formula>
    </cfRule>
  </conditionalFormatting>
  <hyperlinks>
    <hyperlink ref="D1" location="HypLink1" display="HypLink1" xr:uid="{19513E86-5B25-4693-AA32-E878CFF2EFA7}"/>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48043-5DEA-44C6-B603-B4BBACF764D4}">
  <dimension ref="A1:U98"/>
  <sheetViews>
    <sheetView workbookViewId="0">
      <selection activeCell="D9" sqref="D9"/>
    </sheetView>
  </sheetViews>
  <sheetFormatPr defaultColWidth="9.28515625" defaultRowHeight="12.75" x14ac:dyDescent="0.2"/>
  <cols>
    <col min="1" max="1" width="5.28515625" style="168" customWidth="1"/>
    <col min="2" max="16384" width="9.28515625" style="168"/>
  </cols>
  <sheetData>
    <row r="1" spans="1:11" ht="15.75" x14ac:dyDescent="0.25">
      <c r="A1" s="1496" t="s">
        <v>1332</v>
      </c>
      <c r="B1" s="1496"/>
      <c r="C1" s="1496"/>
      <c r="K1" s="1168" t="s">
        <v>3</v>
      </c>
    </row>
    <row r="2" spans="1:11" ht="15.75" x14ac:dyDescent="0.25">
      <c r="A2" s="1497" t="str">
        <f>SchoolName</f>
        <v>Odyssey Charter School</v>
      </c>
      <c r="B2" s="1498"/>
      <c r="C2" s="1498"/>
    </row>
    <row r="3" spans="1:11" x14ac:dyDescent="0.2">
      <c r="A3" s="1162" t="s">
        <v>80</v>
      </c>
    </row>
    <row r="4" spans="1:11" x14ac:dyDescent="0.2">
      <c r="A4" s="1163" t="s">
        <v>81</v>
      </c>
    </row>
    <row r="5" spans="1:11" x14ac:dyDescent="0.2">
      <c r="A5" s="1164" t="str">
        <f ca="1">CELL("filename")</f>
        <v>\\lvraiders\users\sguthrie\Documents\Charter\Change of Sponsorship\[240126-SPCSA-Odyssey Charter School Application Workbook-Modified-Version (1).xlsx]Instructions</v>
      </c>
    </row>
    <row r="7" spans="1:11" x14ac:dyDescent="0.2">
      <c r="B7" s="1499" t="s">
        <v>1333</v>
      </c>
      <c r="C7" s="168" t="s">
        <v>1334</v>
      </c>
    </row>
    <row r="8" spans="1:11" x14ac:dyDescent="0.2">
      <c r="B8" s="1499" t="s">
        <v>1335</v>
      </c>
      <c r="C8" s="168" t="s">
        <v>1336</v>
      </c>
    </row>
    <row r="9" spans="1:11" x14ac:dyDescent="0.2">
      <c r="C9" s="168" t="s">
        <v>1337</v>
      </c>
    </row>
    <row r="10" spans="1:11" x14ac:dyDescent="0.2">
      <c r="C10" s="168" t="s">
        <v>1338</v>
      </c>
    </row>
    <row r="11" spans="1:11" x14ac:dyDescent="0.2">
      <c r="C11" s="168" t="s">
        <v>1339</v>
      </c>
    </row>
    <row r="12" spans="1:11" x14ac:dyDescent="0.2">
      <c r="C12" s="168" t="s">
        <v>1340</v>
      </c>
    </row>
    <row r="13" spans="1:11" x14ac:dyDescent="0.2">
      <c r="B13" s="1499" t="s">
        <v>1341</v>
      </c>
      <c r="C13" s="168" t="s">
        <v>1342</v>
      </c>
    </row>
    <row r="25" spans="1:21" x14ac:dyDescent="0.2">
      <c r="A25" s="170" t="s">
        <v>1343</v>
      </c>
      <c r="B25" s="170"/>
      <c r="C25" s="170"/>
      <c r="D25" s="170"/>
      <c r="E25" s="170" t="s">
        <v>1344</v>
      </c>
      <c r="F25" s="170"/>
      <c r="G25" s="170"/>
      <c r="H25" s="170"/>
      <c r="I25" s="170"/>
      <c r="J25" s="170"/>
      <c r="K25" s="170"/>
      <c r="L25" s="170"/>
      <c r="M25" s="170"/>
      <c r="N25" s="170"/>
      <c r="O25" s="170"/>
      <c r="P25" s="170"/>
    </row>
    <row r="26" spans="1:21" x14ac:dyDescent="0.2">
      <c r="A26" s="170"/>
      <c r="B26" s="170"/>
      <c r="C26" s="170"/>
      <c r="D26" s="170"/>
      <c r="E26" s="170"/>
      <c r="F26" s="170"/>
      <c r="G26" s="170"/>
      <c r="H26" s="170"/>
      <c r="I26" s="170"/>
      <c r="J26" s="170"/>
      <c r="K26" s="170"/>
      <c r="L26" s="170"/>
      <c r="M26" s="170"/>
      <c r="N26" s="170"/>
      <c r="O26" s="170"/>
      <c r="P26" s="170"/>
    </row>
    <row r="27" spans="1:21" x14ac:dyDescent="0.2">
      <c r="A27" s="170"/>
      <c r="B27" s="170"/>
      <c r="C27" s="170"/>
      <c r="D27" s="170"/>
      <c r="E27" s="170"/>
      <c r="F27" s="170"/>
      <c r="G27" s="170"/>
      <c r="H27" s="170"/>
      <c r="I27" s="170"/>
      <c r="J27" s="170"/>
      <c r="K27" s="170"/>
      <c r="L27" s="170"/>
      <c r="M27" s="170"/>
      <c r="N27" s="170"/>
      <c r="O27" s="170"/>
      <c r="P27" s="170"/>
    </row>
    <row r="28" spans="1:21" x14ac:dyDescent="0.2">
      <c r="A28" s="170" t="s">
        <v>216</v>
      </c>
      <c r="B28" s="1500">
        <v>1</v>
      </c>
      <c r="C28" s="170"/>
      <c r="D28" s="170"/>
      <c r="E28" s="170"/>
      <c r="F28" s="170"/>
      <c r="G28" s="170"/>
      <c r="H28" s="170"/>
      <c r="I28" s="170"/>
      <c r="J28" s="170"/>
      <c r="K28" s="170"/>
      <c r="L28" s="170"/>
      <c r="M28" s="170"/>
      <c r="N28" s="170"/>
      <c r="O28" s="170"/>
      <c r="P28" s="170"/>
    </row>
    <row r="29" spans="1:21" x14ac:dyDescent="0.2">
      <c r="A29" s="170" t="s">
        <v>216</v>
      </c>
      <c r="B29" s="1500">
        <v>2</v>
      </c>
      <c r="C29" s="170"/>
      <c r="D29" s="170"/>
      <c r="E29" s="170"/>
      <c r="F29" s="170"/>
      <c r="G29" s="170"/>
      <c r="H29" s="170"/>
      <c r="I29" s="170"/>
      <c r="J29" s="170"/>
      <c r="K29" s="170"/>
      <c r="L29" s="170"/>
      <c r="M29" s="170"/>
      <c r="N29" s="170"/>
      <c r="O29" s="170"/>
      <c r="P29" s="170"/>
      <c r="U29" s="168" t="s">
        <v>1345</v>
      </c>
    </row>
    <row r="30" spans="1:21" x14ac:dyDescent="0.2">
      <c r="A30" s="170" t="s">
        <v>216</v>
      </c>
      <c r="B30" s="1500">
        <v>3</v>
      </c>
      <c r="C30" s="170"/>
      <c r="D30" s="170"/>
      <c r="E30" s="170"/>
      <c r="F30" s="170"/>
      <c r="G30" s="170"/>
      <c r="H30" s="170"/>
      <c r="I30" s="170"/>
      <c r="J30" s="170"/>
      <c r="K30" s="170"/>
      <c r="L30" s="170"/>
      <c r="M30" s="170"/>
      <c r="N30" s="170"/>
      <c r="O30" s="170"/>
      <c r="P30" s="170"/>
    </row>
    <row r="31" spans="1:21" x14ac:dyDescent="0.2">
      <c r="A31" s="170" t="s">
        <v>216</v>
      </c>
      <c r="B31" s="1500">
        <v>4</v>
      </c>
      <c r="C31" s="170"/>
      <c r="D31" s="170"/>
      <c r="E31" s="170"/>
      <c r="F31" s="170"/>
      <c r="G31" s="170"/>
      <c r="H31" s="170"/>
      <c r="I31" s="170"/>
      <c r="J31" s="170"/>
      <c r="K31" s="170"/>
      <c r="L31" s="170"/>
      <c r="M31" s="170"/>
      <c r="N31" s="170"/>
      <c r="O31" s="170"/>
      <c r="P31" s="170"/>
    </row>
    <row r="32" spans="1:21" x14ac:dyDescent="0.2">
      <c r="A32" s="170" t="s">
        <v>216</v>
      </c>
      <c r="B32" s="1500">
        <v>5</v>
      </c>
      <c r="C32" s="170"/>
      <c r="D32" s="170"/>
      <c r="E32" s="170"/>
      <c r="F32" s="170"/>
      <c r="G32" s="170"/>
      <c r="H32" s="170"/>
      <c r="I32" s="170"/>
      <c r="J32" s="170"/>
      <c r="K32" s="170"/>
      <c r="L32" s="170"/>
      <c r="M32" s="170"/>
      <c r="N32" s="170"/>
      <c r="O32" s="170"/>
      <c r="P32" s="170"/>
    </row>
    <row r="33" spans="1:16" x14ac:dyDescent="0.2">
      <c r="A33" s="170" t="s">
        <v>1346</v>
      </c>
      <c r="B33" s="170"/>
      <c r="C33" s="170"/>
      <c r="D33" s="170"/>
      <c r="E33" s="170"/>
      <c r="F33" s="170"/>
      <c r="G33" s="170"/>
      <c r="H33" s="170"/>
      <c r="I33" s="170"/>
      <c r="J33" s="170"/>
      <c r="K33" s="170"/>
      <c r="L33" s="170"/>
      <c r="M33" s="170"/>
      <c r="N33" s="170"/>
      <c r="O33" s="170"/>
      <c r="P33" s="170"/>
    </row>
    <row r="34" spans="1:16" x14ac:dyDescent="0.2">
      <c r="A34" s="170" t="s">
        <v>1346</v>
      </c>
      <c r="B34" s="170"/>
      <c r="C34" s="170"/>
      <c r="D34" s="170"/>
      <c r="E34" s="170"/>
      <c r="F34" s="170"/>
      <c r="G34" s="170"/>
      <c r="H34" s="170"/>
      <c r="I34" s="170"/>
      <c r="J34" s="170"/>
      <c r="K34" s="170"/>
      <c r="L34" s="170"/>
      <c r="M34" s="170"/>
      <c r="N34" s="170"/>
      <c r="O34" s="170"/>
      <c r="P34" s="170"/>
    </row>
    <row r="35" spans="1:16" x14ac:dyDescent="0.2">
      <c r="A35" s="170" t="s">
        <v>1347</v>
      </c>
      <c r="B35" s="170"/>
      <c r="C35" s="170"/>
      <c r="D35" s="170"/>
      <c r="E35" s="170"/>
      <c r="F35" s="170"/>
      <c r="G35" s="170"/>
      <c r="H35" s="170"/>
      <c r="I35" s="170"/>
      <c r="J35" s="170"/>
      <c r="K35" s="170"/>
      <c r="L35" s="170"/>
      <c r="M35" s="170"/>
      <c r="N35" s="170"/>
      <c r="O35" s="170"/>
      <c r="P35" s="170"/>
    </row>
    <row r="36" spans="1:16" x14ac:dyDescent="0.2">
      <c r="A36" s="170" t="s">
        <v>1348</v>
      </c>
      <c r="B36" s="170"/>
      <c r="C36" s="170"/>
      <c r="D36" s="170"/>
      <c r="E36" s="170"/>
      <c r="F36" s="170"/>
      <c r="G36" s="170"/>
      <c r="H36" s="170"/>
      <c r="I36" s="170"/>
      <c r="J36" s="170"/>
      <c r="K36" s="170"/>
      <c r="L36" s="170"/>
      <c r="M36" s="170"/>
      <c r="N36" s="170"/>
      <c r="O36" s="170"/>
      <c r="P36" s="170"/>
    </row>
    <row r="37" spans="1:16" x14ac:dyDescent="0.2">
      <c r="A37" s="170" t="s">
        <v>1349</v>
      </c>
      <c r="B37" s="170"/>
      <c r="C37" s="170"/>
      <c r="D37" s="170"/>
      <c r="E37" s="170"/>
      <c r="F37" s="170"/>
      <c r="G37" s="170"/>
      <c r="H37" s="170"/>
      <c r="I37" s="170"/>
      <c r="J37" s="170"/>
      <c r="K37" s="170"/>
      <c r="L37" s="170"/>
      <c r="M37" s="170"/>
      <c r="N37" s="170"/>
      <c r="O37" s="170"/>
      <c r="P37" s="170"/>
    </row>
    <row r="38" spans="1:16" x14ac:dyDescent="0.2">
      <c r="A38" s="170" t="s">
        <v>1350</v>
      </c>
      <c r="B38" s="170"/>
      <c r="C38" s="170"/>
      <c r="D38" s="170"/>
      <c r="E38" s="170"/>
      <c r="F38" s="170"/>
      <c r="G38" s="170"/>
      <c r="H38" s="170"/>
      <c r="I38" s="170"/>
      <c r="J38" s="170"/>
      <c r="K38" s="170"/>
      <c r="L38" s="170"/>
      <c r="M38" s="170"/>
      <c r="N38" s="170"/>
      <c r="O38" s="170"/>
      <c r="P38" s="170"/>
    </row>
    <row r="39" spans="1:16" x14ac:dyDescent="0.2">
      <c r="A39" s="170" t="s">
        <v>572</v>
      </c>
      <c r="B39" s="170"/>
      <c r="C39" s="170"/>
      <c r="D39" s="170"/>
      <c r="E39" s="170"/>
      <c r="F39" s="170"/>
      <c r="G39" s="170"/>
      <c r="H39" s="170"/>
      <c r="I39" s="170"/>
      <c r="J39" s="170"/>
      <c r="K39" s="170"/>
      <c r="L39" s="170"/>
      <c r="M39" s="170"/>
      <c r="N39" s="170"/>
      <c r="O39" s="170"/>
      <c r="P39" s="170"/>
    </row>
    <row r="40" spans="1:16" x14ac:dyDescent="0.2">
      <c r="A40" s="1501" t="s">
        <v>1351</v>
      </c>
      <c r="B40" s="170"/>
      <c r="C40" s="170"/>
      <c r="D40" s="170"/>
      <c r="E40" s="170"/>
      <c r="F40" s="170"/>
      <c r="G40" s="170"/>
      <c r="H40" s="170"/>
      <c r="I40" s="170"/>
      <c r="J40" s="170"/>
      <c r="K40" s="170"/>
      <c r="L40" s="170"/>
      <c r="M40" s="170"/>
      <c r="N40" s="170"/>
      <c r="O40" s="170"/>
      <c r="P40" s="170"/>
    </row>
    <row r="41" spans="1:16" x14ac:dyDescent="0.2">
      <c r="A41" s="170" t="s">
        <v>1352</v>
      </c>
      <c r="B41" s="170"/>
      <c r="C41" s="170"/>
      <c r="D41" s="170"/>
      <c r="E41" s="170"/>
      <c r="F41" s="170"/>
      <c r="G41" s="170"/>
      <c r="H41" s="170"/>
      <c r="I41" s="170"/>
      <c r="J41" s="170"/>
      <c r="K41" s="170"/>
      <c r="L41" s="170"/>
      <c r="M41" s="170"/>
      <c r="N41" s="170"/>
      <c r="O41" s="170"/>
      <c r="P41" s="170"/>
    </row>
    <row r="42" spans="1:16" x14ac:dyDescent="0.2">
      <c r="A42" s="170" t="s">
        <v>1353</v>
      </c>
      <c r="B42" s="170"/>
      <c r="C42" s="170"/>
      <c r="D42" s="170"/>
      <c r="E42" s="170"/>
      <c r="F42" s="170"/>
      <c r="G42" s="170"/>
      <c r="H42" s="170"/>
      <c r="I42" s="170"/>
      <c r="J42" s="170"/>
      <c r="K42" s="170"/>
      <c r="L42" s="170"/>
      <c r="M42" s="170"/>
      <c r="N42" s="170"/>
      <c r="O42" s="170"/>
      <c r="P42" s="170"/>
    </row>
    <row r="43" spans="1:16" x14ac:dyDescent="0.2">
      <c r="A43" s="170" t="s">
        <v>1348</v>
      </c>
      <c r="B43" s="170"/>
      <c r="C43" s="170"/>
      <c r="D43" s="170"/>
      <c r="E43" s="170"/>
      <c r="F43" s="170"/>
      <c r="G43" s="170"/>
      <c r="H43" s="170"/>
      <c r="I43" s="170"/>
      <c r="J43" s="170"/>
      <c r="K43" s="170"/>
      <c r="L43" s="170"/>
      <c r="M43" s="170"/>
      <c r="N43" s="170"/>
      <c r="O43" s="170"/>
      <c r="P43" s="170"/>
    </row>
    <row r="44" spans="1:16" x14ac:dyDescent="0.2">
      <c r="A44" s="170"/>
      <c r="B44" s="170"/>
      <c r="C44" s="170"/>
      <c r="D44" s="170"/>
      <c r="E44" s="170"/>
      <c r="F44" s="170"/>
      <c r="G44" s="170"/>
      <c r="H44" s="170"/>
      <c r="I44" s="170"/>
      <c r="J44" s="170"/>
      <c r="K44" s="170"/>
      <c r="L44" s="170"/>
      <c r="M44" s="170"/>
      <c r="N44" s="170"/>
      <c r="O44" s="170"/>
      <c r="P44" s="170"/>
    </row>
    <row r="45" spans="1:16" x14ac:dyDescent="0.2">
      <c r="A45" s="170"/>
      <c r="B45" s="170"/>
      <c r="C45" s="170"/>
      <c r="D45" s="170"/>
      <c r="E45" s="170"/>
      <c r="F45" s="170"/>
      <c r="G45" s="170"/>
      <c r="H45" s="170"/>
      <c r="I45" s="170"/>
      <c r="J45" s="170"/>
      <c r="K45" s="170"/>
      <c r="L45" s="170"/>
      <c r="M45" s="170"/>
      <c r="N45" s="170"/>
      <c r="O45" s="170"/>
      <c r="P45" s="170"/>
    </row>
    <row r="46" spans="1:16" x14ac:dyDescent="0.2">
      <c r="A46" s="170"/>
      <c r="B46" s="170"/>
      <c r="C46" s="170"/>
      <c r="D46" s="170"/>
      <c r="E46" s="170"/>
      <c r="F46" s="170"/>
      <c r="G46" s="170"/>
      <c r="H46" s="170"/>
      <c r="I46" s="170"/>
      <c r="J46" s="170"/>
      <c r="K46" s="170"/>
      <c r="L46" s="170"/>
      <c r="M46" s="170"/>
      <c r="N46" s="170"/>
      <c r="O46" s="170"/>
      <c r="P46" s="170"/>
    </row>
    <row r="47" spans="1:16" x14ac:dyDescent="0.2">
      <c r="A47" s="170"/>
      <c r="B47" s="170"/>
      <c r="C47" s="170"/>
      <c r="D47" s="170"/>
      <c r="E47" s="170"/>
      <c r="F47" s="170"/>
      <c r="G47" s="170"/>
      <c r="H47" s="170"/>
      <c r="I47" s="170"/>
      <c r="J47" s="170"/>
      <c r="K47" s="170"/>
      <c r="L47" s="170"/>
      <c r="M47" s="170"/>
      <c r="N47" s="170"/>
      <c r="O47" s="170"/>
      <c r="P47" s="170"/>
    </row>
    <row r="48" spans="1:16" x14ac:dyDescent="0.2">
      <c r="A48" s="170"/>
      <c r="B48" s="170"/>
      <c r="C48" s="170"/>
      <c r="D48" s="170"/>
      <c r="E48" s="170"/>
      <c r="F48" s="170"/>
      <c r="G48" s="170"/>
      <c r="H48" s="170"/>
      <c r="I48" s="170"/>
      <c r="J48" s="170"/>
      <c r="K48" s="170"/>
      <c r="L48" s="170"/>
      <c r="M48" s="170"/>
      <c r="N48" s="170"/>
      <c r="O48" s="170"/>
      <c r="P48" s="170"/>
    </row>
    <row r="49" spans="1:16" x14ac:dyDescent="0.2">
      <c r="A49" s="170"/>
      <c r="B49" s="170"/>
      <c r="C49" s="170"/>
      <c r="D49" s="170"/>
      <c r="E49" s="170"/>
      <c r="F49" s="170"/>
      <c r="G49" s="170"/>
      <c r="H49" s="170"/>
      <c r="I49" s="170"/>
      <c r="J49" s="170"/>
      <c r="K49" s="170"/>
      <c r="L49" s="170"/>
      <c r="M49" s="170"/>
      <c r="N49" s="170"/>
      <c r="O49" s="170"/>
      <c r="P49" s="170"/>
    </row>
    <row r="50" spans="1:16" x14ac:dyDescent="0.2">
      <c r="A50" s="170"/>
      <c r="B50" s="170"/>
      <c r="C50" s="170"/>
      <c r="D50" s="170"/>
      <c r="E50" s="170"/>
      <c r="F50" s="170"/>
      <c r="G50" s="170"/>
      <c r="H50" s="170"/>
      <c r="I50" s="170"/>
      <c r="J50" s="170"/>
      <c r="K50" s="170"/>
      <c r="L50" s="170"/>
      <c r="M50" s="170"/>
      <c r="N50" s="170"/>
      <c r="O50" s="170"/>
      <c r="P50" s="170"/>
    </row>
    <row r="51" spans="1:16" x14ac:dyDescent="0.2">
      <c r="A51" s="170"/>
      <c r="B51" s="170"/>
      <c r="C51" s="170"/>
      <c r="D51" s="170"/>
      <c r="E51" s="170"/>
      <c r="F51" s="170"/>
      <c r="G51" s="170"/>
      <c r="H51" s="170"/>
      <c r="I51" s="170"/>
      <c r="J51" s="170"/>
      <c r="K51" s="170"/>
      <c r="L51" s="170"/>
      <c r="M51" s="170"/>
      <c r="N51" s="170"/>
      <c r="O51" s="170"/>
      <c r="P51" s="170"/>
    </row>
    <row r="52" spans="1:16" x14ac:dyDescent="0.2">
      <c r="A52" s="170"/>
      <c r="B52" s="170"/>
      <c r="C52" s="170"/>
      <c r="D52" s="170"/>
      <c r="E52" s="170"/>
      <c r="F52" s="170"/>
      <c r="G52" s="170"/>
      <c r="H52" s="170"/>
      <c r="I52" s="170"/>
      <c r="J52" s="170"/>
      <c r="K52" s="170"/>
      <c r="L52" s="170"/>
      <c r="M52" s="170"/>
      <c r="N52" s="170"/>
      <c r="O52" s="170"/>
      <c r="P52" s="170"/>
    </row>
    <row r="53" spans="1:16" x14ac:dyDescent="0.2">
      <c r="A53" s="170"/>
      <c r="B53" s="170"/>
      <c r="C53" s="170"/>
      <c r="D53" s="170"/>
      <c r="E53" s="170"/>
      <c r="F53" s="170"/>
      <c r="G53" s="170"/>
      <c r="H53" s="170"/>
      <c r="I53" s="170"/>
      <c r="J53" s="170"/>
      <c r="K53" s="170"/>
      <c r="L53" s="170"/>
      <c r="M53" s="170"/>
      <c r="N53" s="170"/>
      <c r="O53" s="170"/>
      <c r="P53" s="170"/>
    </row>
    <row r="54" spans="1:16" x14ac:dyDescent="0.2">
      <c r="A54" s="170"/>
      <c r="B54" s="170"/>
      <c r="C54" s="170"/>
      <c r="D54" s="170"/>
      <c r="E54" s="170"/>
      <c r="F54" s="170"/>
      <c r="G54" s="170"/>
      <c r="H54" s="170"/>
      <c r="I54" s="170"/>
      <c r="J54" s="170"/>
      <c r="K54" s="170"/>
      <c r="L54" s="170"/>
      <c r="M54" s="170"/>
      <c r="N54" s="170"/>
      <c r="O54" s="170"/>
      <c r="P54" s="170"/>
    </row>
    <row r="55" spans="1:16" x14ac:dyDescent="0.2">
      <c r="A55" s="170"/>
      <c r="B55" s="170"/>
      <c r="C55" s="170"/>
      <c r="D55" s="170"/>
      <c r="E55" s="170"/>
      <c r="F55" s="170"/>
      <c r="G55" s="170"/>
      <c r="H55" s="170"/>
      <c r="I55" s="170"/>
      <c r="J55" s="170"/>
      <c r="K55" s="170"/>
      <c r="L55" s="170"/>
      <c r="M55" s="170"/>
      <c r="N55" s="170"/>
      <c r="O55" s="170"/>
      <c r="P55" s="170"/>
    </row>
    <row r="56" spans="1:16" x14ac:dyDescent="0.2">
      <c r="A56" s="170"/>
      <c r="B56" s="170"/>
      <c r="C56" s="170"/>
      <c r="D56" s="170"/>
      <c r="E56" s="170"/>
      <c r="F56" s="170"/>
      <c r="G56" s="170"/>
      <c r="H56" s="170"/>
      <c r="I56" s="170"/>
      <c r="J56" s="170"/>
      <c r="K56" s="170"/>
      <c r="L56" s="170"/>
      <c r="M56" s="170"/>
      <c r="N56" s="170"/>
      <c r="O56" s="170"/>
      <c r="P56" s="170"/>
    </row>
    <row r="57" spans="1:16" x14ac:dyDescent="0.2">
      <c r="A57" s="170"/>
      <c r="B57" s="170"/>
      <c r="C57" s="170"/>
      <c r="D57" s="170"/>
      <c r="E57" s="170"/>
      <c r="F57" s="170"/>
      <c r="G57" s="170"/>
      <c r="H57" s="170"/>
      <c r="I57" s="170"/>
      <c r="J57" s="170"/>
      <c r="K57" s="170"/>
      <c r="L57" s="170"/>
      <c r="M57" s="170"/>
      <c r="N57" s="170"/>
      <c r="O57" s="170"/>
      <c r="P57" s="170"/>
    </row>
    <row r="58" spans="1:16" x14ac:dyDescent="0.2">
      <c r="A58" s="170"/>
      <c r="B58" s="170" t="s">
        <v>1354</v>
      </c>
      <c r="C58" s="170"/>
      <c r="D58" s="170"/>
      <c r="E58" s="170"/>
      <c r="F58" s="170"/>
      <c r="G58" s="170"/>
      <c r="H58" s="170"/>
      <c r="I58" s="170"/>
      <c r="J58" s="170"/>
      <c r="K58" s="170"/>
      <c r="L58" s="170"/>
      <c r="M58" s="170"/>
      <c r="N58" s="170"/>
      <c r="O58" s="170"/>
      <c r="P58" s="170"/>
    </row>
    <row r="59" spans="1:16" x14ac:dyDescent="0.2">
      <c r="A59" s="170"/>
      <c r="B59" s="170" t="s">
        <v>1355</v>
      </c>
      <c r="C59" s="170"/>
      <c r="D59" s="170"/>
      <c r="E59" s="170"/>
      <c r="F59" s="170"/>
      <c r="G59" s="170"/>
      <c r="H59" s="170"/>
      <c r="I59" s="170"/>
      <c r="J59" s="170"/>
      <c r="K59" s="170"/>
      <c r="L59" s="170"/>
      <c r="M59" s="170"/>
      <c r="N59" s="170"/>
      <c r="O59" s="170"/>
      <c r="P59" s="170"/>
    </row>
    <row r="60" spans="1:16" x14ac:dyDescent="0.2">
      <c r="A60" s="170"/>
      <c r="B60" s="168" t="s">
        <v>1356</v>
      </c>
      <c r="D60" s="170" t="s">
        <v>1357</v>
      </c>
      <c r="E60" s="170"/>
      <c r="F60" s="170"/>
      <c r="G60" s="170"/>
      <c r="H60" s="170"/>
      <c r="I60" s="170"/>
      <c r="J60" s="170"/>
      <c r="K60" s="170"/>
      <c r="L60" s="170"/>
      <c r="M60" s="170"/>
      <c r="N60" s="170"/>
      <c r="O60" s="170"/>
      <c r="P60" s="170"/>
    </row>
    <row r="61" spans="1:16" x14ac:dyDescent="0.2">
      <c r="A61" s="170"/>
      <c r="B61" s="170"/>
      <c r="C61" s="170"/>
      <c r="D61" s="170"/>
      <c r="E61" s="170"/>
      <c r="F61" s="170"/>
      <c r="G61" s="170"/>
      <c r="H61" s="170"/>
      <c r="I61" s="170"/>
      <c r="J61" s="170"/>
      <c r="K61" s="170"/>
      <c r="L61" s="170"/>
      <c r="M61" s="170"/>
      <c r="N61" s="170"/>
      <c r="O61" s="170"/>
      <c r="P61" s="170"/>
    </row>
    <row r="62" spans="1:16" x14ac:dyDescent="0.2">
      <c r="A62" s="170"/>
      <c r="B62" s="170"/>
      <c r="C62" s="170"/>
      <c r="D62" s="170"/>
      <c r="E62" s="170"/>
      <c r="F62" s="170"/>
      <c r="G62" s="170"/>
      <c r="H62" s="170"/>
      <c r="I62" s="170"/>
      <c r="J62" s="170"/>
      <c r="K62" s="170"/>
      <c r="L62" s="170"/>
      <c r="M62" s="170"/>
      <c r="N62" s="170"/>
      <c r="O62" s="170"/>
      <c r="P62" s="170"/>
    </row>
    <row r="63" spans="1:16" x14ac:dyDescent="0.2">
      <c r="A63" s="170"/>
      <c r="B63" s="170"/>
      <c r="C63" s="170"/>
      <c r="D63" s="170"/>
      <c r="E63" s="170"/>
      <c r="F63" s="170"/>
      <c r="G63" s="170"/>
      <c r="H63" s="170"/>
      <c r="I63" s="170"/>
      <c r="J63" s="170"/>
      <c r="K63" s="170"/>
      <c r="L63" s="170"/>
      <c r="M63" s="170"/>
      <c r="N63" s="170"/>
      <c r="O63" s="170"/>
      <c r="P63" s="170"/>
    </row>
    <row r="64" spans="1:16" x14ac:dyDescent="0.2">
      <c r="A64" s="170"/>
      <c r="B64" s="170"/>
      <c r="C64" s="170"/>
      <c r="D64" s="170"/>
      <c r="E64" s="170"/>
      <c r="F64" s="170"/>
      <c r="G64" s="170"/>
      <c r="H64" s="170"/>
      <c r="I64" s="170"/>
      <c r="J64" s="170"/>
      <c r="K64" s="170"/>
      <c r="L64" s="170"/>
      <c r="M64" s="170"/>
      <c r="N64" s="170"/>
      <c r="O64" s="170"/>
      <c r="P64" s="170"/>
    </row>
    <row r="65" spans="1:16" x14ac:dyDescent="0.2">
      <c r="A65" s="1501"/>
      <c r="B65" s="170"/>
      <c r="C65" s="170"/>
      <c r="D65" s="170"/>
      <c r="E65" s="170"/>
      <c r="F65" s="170"/>
      <c r="G65" s="170"/>
      <c r="H65" s="170"/>
      <c r="I65" s="170"/>
      <c r="J65" s="170"/>
      <c r="K65" s="170"/>
      <c r="L65" s="170"/>
      <c r="M65" s="170"/>
      <c r="N65" s="170"/>
      <c r="O65" s="170"/>
      <c r="P65" s="170"/>
    </row>
    <row r="66" spans="1:16" x14ac:dyDescent="0.2">
      <c r="A66" s="170"/>
      <c r="B66" s="170"/>
      <c r="C66" s="170"/>
      <c r="D66" s="170"/>
      <c r="E66" s="170"/>
      <c r="F66" s="170"/>
      <c r="G66" s="170"/>
      <c r="H66" s="170"/>
      <c r="I66" s="170"/>
      <c r="J66" s="170"/>
      <c r="K66" s="170"/>
      <c r="L66" s="170"/>
      <c r="M66" s="170"/>
      <c r="N66" s="170"/>
      <c r="O66" s="170"/>
      <c r="P66" s="170"/>
    </row>
    <row r="67" spans="1:16" x14ac:dyDescent="0.2">
      <c r="A67" s="170"/>
      <c r="B67" s="170"/>
      <c r="C67" s="170"/>
      <c r="D67" s="170"/>
      <c r="E67" s="170"/>
      <c r="F67" s="170"/>
      <c r="G67" s="170"/>
      <c r="H67" s="170"/>
      <c r="I67" s="170"/>
      <c r="J67" s="170"/>
      <c r="K67" s="170"/>
      <c r="L67" s="170"/>
      <c r="M67" s="170"/>
      <c r="N67" s="170"/>
      <c r="O67" s="170"/>
      <c r="P67" s="170"/>
    </row>
    <row r="68" spans="1:16" x14ac:dyDescent="0.2">
      <c r="A68" s="170"/>
      <c r="B68" s="170"/>
      <c r="C68" s="170"/>
      <c r="D68" s="170"/>
      <c r="E68" s="170"/>
      <c r="F68" s="170"/>
      <c r="G68" s="170"/>
      <c r="H68" s="170"/>
      <c r="I68" s="170"/>
      <c r="J68" s="170"/>
      <c r="K68" s="170"/>
      <c r="L68" s="170"/>
      <c r="M68" s="170"/>
      <c r="N68" s="170"/>
      <c r="O68" s="170"/>
      <c r="P68" s="170"/>
    </row>
    <row r="69" spans="1:16" x14ac:dyDescent="0.2">
      <c r="A69" s="170"/>
      <c r="B69" s="170"/>
      <c r="C69" s="170"/>
      <c r="D69" s="170"/>
      <c r="E69" s="170"/>
      <c r="F69" s="170"/>
      <c r="G69" s="170"/>
      <c r="H69" s="170"/>
      <c r="I69" s="170"/>
      <c r="J69" s="170"/>
      <c r="K69" s="170"/>
      <c r="L69" s="170"/>
      <c r="M69" s="170"/>
      <c r="N69" s="170"/>
      <c r="O69" s="170"/>
      <c r="P69" s="170"/>
    </row>
    <row r="70" spans="1:16" x14ac:dyDescent="0.2">
      <c r="A70" s="170"/>
      <c r="B70" s="170"/>
      <c r="C70" s="170"/>
      <c r="D70" s="170"/>
      <c r="E70" s="170"/>
      <c r="F70" s="170"/>
      <c r="G70" s="170"/>
      <c r="H70" s="170"/>
      <c r="I70" s="170"/>
      <c r="J70" s="170"/>
      <c r="K70" s="170"/>
      <c r="L70" s="170"/>
      <c r="M70" s="170"/>
      <c r="N70" s="170"/>
      <c r="O70" s="170"/>
      <c r="P70" s="170"/>
    </row>
    <row r="71" spans="1:16" x14ac:dyDescent="0.2">
      <c r="A71" s="170"/>
      <c r="B71" s="170"/>
      <c r="C71" s="170"/>
      <c r="D71" s="170"/>
      <c r="E71" s="170"/>
      <c r="F71" s="170"/>
      <c r="G71" s="170"/>
      <c r="H71" s="170"/>
      <c r="I71" s="170"/>
      <c r="J71" s="170"/>
      <c r="K71" s="170"/>
      <c r="L71" s="170"/>
      <c r="M71" s="170"/>
      <c r="N71" s="170"/>
      <c r="O71" s="170"/>
      <c r="P71" s="170"/>
    </row>
    <row r="72" spans="1:16" x14ac:dyDescent="0.2">
      <c r="A72" s="170"/>
      <c r="B72" s="170"/>
      <c r="C72" s="170"/>
      <c r="D72" s="170"/>
      <c r="E72" s="170"/>
      <c r="F72" s="170"/>
      <c r="G72" s="170"/>
      <c r="H72" s="170"/>
      <c r="I72" s="170"/>
      <c r="J72" s="170"/>
      <c r="K72" s="170"/>
      <c r="L72" s="170"/>
      <c r="M72" s="170"/>
      <c r="N72" s="170"/>
      <c r="O72" s="170"/>
      <c r="P72" s="170"/>
    </row>
    <row r="73" spans="1:16" x14ac:dyDescent="0.2">
      <c r="A73" s="170"/>
      <c r="B73" s="170"/>
      <c r="C73" s="170"/>
      <c r="D73" s="170"/>
      <c r="E73" s="170"/>
      <c r="F73" s="170"/>
      <c r="G73" s="170"/>
      <c r="H73" s="170"/>
      <c r="I73" s="170"/>
      <c r="J73" s="170"/>
      <c r="K73" s="170"/>
      <c r="L73" s="170"/>
      <c r="M73" s="170"/>
      <c r="N73" s="170"/>
      <c r="O73" s="170"/>
      <c r="P73" s="170"/>
    </row>
    <row r="74" spans="1:16" x14ac:dyDescent="0.2">
      <c r="A74" s="170"/>
      <c r="B74" s="170"/>
      <c r="C74" s="170"/>
      <c r="D74" s="170"/>
      <c r="E74" s="170"/>
      <c r="F74" s="170"/>
      <c r="G74" s="170"/>
      <c r="H74" s="170"/>
      <c r="I74" s="170"/>
      <c r="J74" s="170"/>
      <c r="K74" s="170"/>
      <c r="L74" s="170"/>
      <c r="M74" s="170"/>
      <c r="N74" s="170"/>
      <c r="O74" s="170"/>
      <c r="P74" s="170"/>
    </row>
    <row r="75" spans="1:16" x14ac:dyDescent="0.2">
      <c r="A75" s="170"/>
      <c r="B75" s="170"/>
      <c r="C75" s="170"/>
      <c r="D75" s="170"/>
      <c r="E75" s="170"/>
      <c r="F75" s="170"/>
      <c r="G75" s="170"/>
      <c r="H75" s="170"/>
      <c r="I75" s="170"/>
      <c r="J75" s="170"/>
      <c r="K75" s="170"/>
      <c r="L75" s="170"/>
      <c r="M75" s="170"/>
      <c r="N75" s="170"/>
      <c r="O75" s="170"/>
      <c r="P75" s="170"/>
    </row>
    <row r="76" spans="1:16" x14ac:dyDescent="0.2">
      <c r="A76" s="170"/>
      <c r="B76" s="170"/>
      <c r="C76" s="170"/>
      <c r="D76" s="170"/>
      <c r="E76" s="170"/>
      <c r="F76" s="170"/>
      <c r="G76" s="170"/>
      <c r="H76" s="170"/>
      <c r="I76" s="170"/>
      <c r="J76" s="170"/>
      <c r="K76" s="170"/>
      <c r="L76" s="170"/>
      <c r="M76" s="170"/>
      <c r="N76" s="170"/>
      <c r="O76" s="170"/>
      <c r="P76" s="170"/>
    </row>
    <row r="77" spans="1:16" x14ac:dyDescent="0.2">
      <c r="A77" s="170"/>
      <c r="B77" s="170"/>
      <c r="C77" s="170"/>
      <c r="D77" s="170"/>
      <c r="E77" s="170"/>
      <c r="F77" s="170"/>
      <c r="G77" s="170"/>
      <c r="H77" s="170"/>
      <c r="I77" s="170"/>
      <c r="J77" s="170"/>
      <c r="K77" s="170"/>
      <c r="L77" s="170"/>
      <c r="M77" s="170"/>
      <c r="N77" s="170"/>
      <c r="O77" s="170"/>
      <c r="P77" s="170"/>
    </row>
    <row r="78" spans="1:16" x14ac:dyDescent="0.2">
      <c r="A78" s="170"/>
      <c r="B78" s="170"/>
      <c r="C78" s="170"/>
      <c r="D78" s="170"/>
      <c r="E78" s="170"/>
      <c r="F78" s="170"/>
      <c r="G78" s="170"/>
      <c r="H78" s="170"/>
      <c r="I78" s="170"/>
      <c r="J78" s="170"/>
      <c r="K78" s="170"/>
      <c r="L78" s="170"/>
      <c r="M78" s="170"/>
      <c r="N78" s="170"/>
      <c r="O78" s="170"/>
      <c r="P78" s="170"/>
    </row>
    <row r="79" spans="1:16" x14ac:dyDescent="0.2">
      <c r="A79" s="170"/>
      <c r="B79" s="170"/>
      <c r="C79" s="170"/>
      <c r="D79" s="170"/>
      <c r="E79" s="170"/>
      <c r="F79" s="170"/>
      <c r="G79" s="170"/>
      <c r="H79" s="170"/>
      <c r="I79" s="170"/>
      <c r="J79" s="170"/>
      <c r="K79" s="170"/>
      <c r="L79" s="170"/>
      <c r="M79" s="170"/>
      <c r="N79" s="170"/>
      <c r="O79" s="170"/>
      <c r="P79" s="170"/>
    </row>
    <row r="80" spans="1:16" x14ac:dyDescent="0.2">
      <c r="A80" s="170"/>
      <c r="B80" s="170"/>
      <c r="C80" s="170"/>
      <c r="D80" s="170"/>
      <c r="E80" s="170"/>
      <c r="F80" s="170"/>
      <c r="G80" s="170"/>
      <c r="H80" s="170"/>
      <c r="I80" s="170"/>
      <c r="J80" s="170"/>
      <c r="K80" s="170"/>
      <c r="L80" s="170"/>
      <c r="M80" s="170"/>
      <c r="N80" s="170"/>
      <c r="O80" s="170"/>
      <c r="P80" s="170"/>
    </row>
    <row r="81" spans="1:21" x14ac:dyDescent="0.2">
      <c r="A81" s="170"/>
      <c r="B81" s="170"/>
      <c r="C81" s="170"/>
      <c r="D81" s="170"/>
      <c r="E81" s="170"/>
      <c r="F81" s="170"/>
      <c r="G81" s="170"/>
      <c r="H81" s="170"/>
      <c r="I81" s="170"/>
      <c r="J81" s="170"/>
      <c r="K81" s="170"/>
      <c r="L81" s="170"/>
      <c r="M81" s="170"/>
      <c r="N81" s="170"/>
      <c r="O81" s="170"/>
      <c r="P81" s="170"/>
    </row>
    <row r="82" spans="1:21" x14ac:dyDescent="0.2">
      <c r="A82" s="170"/>
      <c r="B82" s="170"/>
      <c r="C82" s="170"/>
      <c r="D82" s="170"/>
      <c r="E82" s="170"/>
      <c r="F82" s="170"/>
      <c r="G82" s="170"/>
      <c r="H82" s="170"/>
      <c r="I82" s="170"/>
      <c r="J82" s="170"/>
      <c r="K82" s="170"/>
      <c r="L82" s="170"/>
      <c r="M82" s="170"/>
      <c r="N82" s="170"/>
      <c r="O82" s="170"/>
      <c r="P82" s="170"/>
      <c r="U82" s="168" t="s">
        <v>1358</v>
      </c>
    </row>
    <row r="83" spans="1:21" x14ac:dyDescent="0.2">
      <c r="A83" s="170"/>
      <c r="B83" s="170"/>
      <c r="C83" s="170"/>
      <c r="D83" s="170"/>
      <c r="E83" s="170"/>
      <c r="F83" s="170"/>
      <c r="G83" s="170"/>
      <c r="H83" s="170"/>
      <c r="I83" s="170"/>
      <c r="J83" s="170"/>
      <c r="K83" s="170"/>
      <c r="L83" s="170"/>
      <c r="M83" s="170"/>
      <c r="N83" s="170"/>
      <c r="O83" s="170"/>
      <c r="P83" s="170"/>
    </row>
    <row r="84" spans="1:21" x14ac:dyDescent="0.2">
      <c r="A84" s="170"/>
      <c r="B84" s="170"/>
      <c r="C84" s="170"/>
      <c r="D84" s="170"/>
      <c r="E84" s="170"/>
      <c r="F84" s="170"/>
      <c r="G84" s="170"/>
      <c r="H84" s="170"/>
      <c r="I84" s="170"/>
      <c r="J84" s="170"/>
      <c r="K84" s="170"/>
      <c r="L84" s="170"/>
      <c r="M84" s="170"/>
      <c r="N84" s="170"/>
      <c r="O84" s="170"/>
      <c r="P84" s="170"/>
    </row>
    <row r="85" spans="1:21" x14ac:dyDescent="0.2">
      <c r="A85" s="170"/>
      <c r="B85" s="170"/>
      <c r="C85" s="170"/>
      <c r="D85" s="170"/>
      <c r="E85" s="170"/>
      <c r="F85" s="170"/>
      <c r="G85" s="170"/>
      <c r="H85" s="170"/>
      <c r="I85" s="170"/>
      <c r="J85" s="170"/>
      <c r="K85" s="170"/>
      <c r="L85" s="170"/>
      <c r="M85" s="170"/>
      <c r="N85" s="170"/>
      <c r="O85" s="170"/>
      <c r="P85" s="170"/>
    </row>
    <row r="86" spans="1:21" x14ac:dyDescent="0.2">
      <c r="A86" s="170"/>
      <c r="B86" s="170"/>
      <c r="C86" s="170"/>
      <c r="D86" s="170"/>
      <c r="E86" s="170"/>
      <c r="F86" s="170"/>
      <c r="G86" s="170"/>
      <c r="H86" s="170"/>
      <c r="I86" s="170"/>
      <c r="J86" s="170"/>
      <c r="K86" s="170"/>
      <c r="L86" s="170"/>
      <c r="M86" s="170"/>
      <c r="N86" s="170"/>
      <c r="O86" s="170"/>
      <c r="P86" s="170"/>
    </row>
    <row r="87" spans="1:21" x14ac:dyDescent="0.2">
      <c r="A87" s="170"/>
      <c r="B87" s="170"/>
      <c r="C87" s="170"/>
      <c r="D87" s="170"/>
      <c r="E87" s="170"/>
      <c r="F87" s="170"/>
      <c r="G87" s="170"/>
      <c r="H87" s="170"/>
      <c r="I87" s="170"/>
      <c r="J87" s="170"/>
      <c r="K87" s="170"/>
      <c r="L87" s="170"/>
      <c r="M87" s="170"/>
      <c r="N87" s="170"/>
      <c r="O87" s="170"/>
      <c r="P87" s="170"/>
    </row>
    <row r="88" spans="1:21" x14ac:dyDescent="0.2">
      <c r="A88" s="170"/>
      <c r="B88" s="170"/>
      <c r="C88" s="170"/>
      <c r="D88" s="170"/>
      <c r="E88" s="170"/>
      <c r="F88" s="170"/>
      <c r="G88" s="170"/>
      <c r="H88" s="170"/>
      <c r="I88" s="170"/>
      <c r="J88" s="170"/>
      <c r="K88" s="170"/>
      <c r="L88" s="170"/>
      <c r="M88" s="170"/>
      <c r="N88" s="170"/>
      <c r="O88" s="170"/>
      <c r="P88" s="170"/>
    </row>
    <row r="89" spans="1:21" x14ac:dyDescent="0.2">
      <c r="A89" s="170" t="s">
        <v>1359</v>
      </c>
      <c r="B89" s="170"/>
      <c r="C89" s="170"/>
      <c r="D89" s="170"/>
      <c r="E89" s="170"/>
      <c r="F89" s="170"/>
      <c r="G89" s="170"/>
      <c r="H89" s="170"/>
      <c r="I89" s="170"/>
      <c r="J89" s="170"/>
      <c r="K89" s="170"/>
      <c r="L89" s="170"/>
      <c r="M89" s="170"/>
      <c r="N89" s="170"/>
      <c r="O89" s="170"/>
      <c r="P89" s="170"/>
    </row>
    <row r="90" spans="1:21" x14ac:dyDescent="0.2">
      <c r="A90" s="170" t="s">
        <v>1360</v>
      </c>
      <c r="B90" s="170"/>
      <c r="C90" s="170"/>
      <c r="D90" s="170"/>
      <c r="E90" s="170"/>
      <c r="F90" s="170"/>
      <c r="G90" s="170"/>
      <c r="H90" s="170"/>
      <c r="I90" s="170"/>
      <c r="J90" s="170"/>
      <c r="K90" s="170"/>
      <c r="L90" s="170"/>
      <c r="M90" s="170"/>
      <c r="N90" s="170"/>
      <c r="O90" s="170"/>
      <c r="P90" s="170"/>
    </row>
    <row r="91" spans="1:21" x14ac:dyDescent="0.2">
      <c r="A91" s="170"/>
      <c r="B91" s="170"/>
      <c r="C91" s="170"/>
      <c r="D91" s="170"/>
      <c r="E91" s="170"/>
      <c r="F91" s="170"/>
      <c r="G91" s="170"/>
      <c r="H91" s="170"/>
      <c r="I91" s="170"/>
      <c r="J91" s="170"/>
      <c r="K91" s="170"/>
      <c r="L91" s="170"/>
      <c r="M91" s="170"/>
      <c r="N91" s="170"/>
      <c r="O91" s="170"/>
      <c r="P91" s="170"/>
    </row>
    <row r="92" spans="1:21" x14ac:dyDescent="0.2">
      <c r="A92" s="170"/>
      <c r="B92" s="170"/>
      <c r="C92" s="170"/>
      <c r="D92" s="170"/>
      <c r="E92" s="170"/>
      <c r="F92" s="170"/>
      <c r="G92" s="170"/>
      <c r="H92" s="170"/>
      <c r="I92" s="170"/>
      <c r="J92" s="170"/>
      <c r="K92" s="170"/>
      <c r="L92" s="170"/>
      <c r="M92" s="170"/>
      <c r="N92" s="170"/>
      <c r="O92" s="170"/>
      <c r="P92" s="170"/>
    </row>
    <row r="93" spans="1:21" x14ac:dyDescent="0.2">
      <c r="A93" s="170"/>
      <c r="B93" s="170"/>
      <c r="C93" s="170"/>
      <c r="D93" s="170"/>
      <c r="E93" s="170"/>
      <c r="F93" s="170"/>
      <c r="G93" s="170"/>
      <c r="H93" s="170"/>
      <c r="I93" s="170"/>
      <c r="J93" s="170"/>
      <c r="K93" s="170"/>
      <c r="L93" s="170"/>
      <c r="M93" s="170"/>
      <c r="N93" s="170"/>
      <c r="O93" s="170"/>
      <c r="P93" s="170"/>
    </row>
    <row r="94" spans="1:21" x14ac:dyDescent="0.2">
      <c r="A94" s="170"/>
      <c r="B94" s="170"/>
      <c r="C94" s="170"/>
      <c r="D94" s="170"/>
      <c r="E94" s="170"/>
      <c r="F94" s="170"/>
      <c r="G94" s="170"/>
      <c r="H94" s="170"/>
      <c r="I94" s="170"/>
      <c r="J94" s="170"/>
      <c r="K94" s="170"/>
      <c r="L94" s="170"/>
      <c r="M94" s="170"/>
      <c r="N94" s="170"/>
      <c r="O94" s="170"/>
      <c r="P94" s="170"/>
    </row>
    <row r="95" spans="1:21" x14ac:dyDescent="0.2">
      <c r="A95" s="170"/>
      <c r="B95" s="170"/>
      <c r="C95" s="170"/>
      <c r="D95" s="170"/>
      <c r="E95" s="170"/>
      <c r="F95" s="170"/>
      <c r="G95" s="170"/>
      <c r="H95" s="170"/>
      <c r="I95" s="170"/>
      <c r="J95" s="170"/>
      <c r="K95" s="170"/>
      <c r="L95" s="170"/>
      <c r="M95" s="170"/>
      <c r="N95" s="170"/>
      <c r="O95" s="170"/>
      <c r="P95" s="170"/>
    </row>
    <row r="96" spans="1:21" x14ac:dyDescent="0.2">
      <c r="A96" s="170"/>
      <c r="B96" s="170"/>
      <c r="C96" s="170"/>
      <c r="D96" s="170"/>
      <c r="E96" s="170"/>
      <c r="F96" s="170"/>
      <c r="G96" s="170"/>
      <c r="H96" s="170"/>
      <c r="I96" s="170"/>
      <c r="J96" s="170"/>
      <c r="K96" s="170"/>
      <c r="L96" s="170"/>
      <c r="M96" s="170"/>
      <c r="N96" s="170"/>
      <c r="O96" s="170"/>
      <c r="P96" s="170"/>
    </row>
    <row r="97" spans="1:16" x14ac:dyDescent="0.2">
      <c r="A97" s="170"/>
      <c r="B97" s="170"/>
      <c r="C97" s="170"/>
      <c r="D97" s="170"/>
      <c r="E97" s="170"/>
      <c r="F97" s="170"/>
      <c r="G97" s="170"/>
      <c r="H97" s="170"/>
      <c r="I97" s="170"/>
      <c r="J97" s="170"/>
      <c r="K97" s="170"/>
      <c r="L97" s="170"/>
      <c r="M97" s="170"/>
      <c r="N97" s="170"/>
      <c r="O97" s="170"/>
      <c r="P97" s="170"/>
    </row>
    <row r="98" spans="1:16" x14ac:dyDescent="0.2">
      <c r="A98" s="170"/>
      <c r="B98" s="170"/>
      <c r="C98" s="170"/>
      <c r="D98" s="170"/>
      <c r="E98" s="170"/>
      <c r="F98" s="170"/>
      <c r="G98" s="170"/>
      <c r="H98" s="170"/>
      <c r="I98" s="170"/>
      <c r="J98" s="170"/>
      <c r="K98" s="170"/>
      <c r="L98" s="170"/>
      <c r="M98" s="170"/>
      <c r="N98" s="170"/>
      <c r="O98" s="170"/>
      <c r="P98" s="170"/>
    </row>
  </sheetData>
  <conditionalFormatting sqref="K1">
    <cfRule type="expression" dxfId="1" priority="1" stopIfTrue="1">
      <formula>MOD(ROW(),2)=0</formula>
    </cfRule>
  </conditionalFormatting>
  <hyperlinks>
    <hyperlink ref="K1" location="HypLink1" display="HypLink1" xr:uid="{FD4356E0-903C-454C-8F00-85DCCB156C7E}"/>
  </hyperlink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3855D-314E-4DB9-8670-29C309A68907}">
  <dimension ref="A1:I39"/>
  <sheetViews>
    <sheetView workbookViewId="0">
      <selection activeCell="C39" sqref="C39"/>
    </sheetView>
  </sheetViews>
  <sheetFormatPr defaultRowHeight="15" x14ac:dyDescent="0.25"/>
  <cols>
    <col min="1" max="1" width="27.7109375" customWidth="1"/>
    <col min="2" max="2" width="13.5703125" customWidth="1"/>
    <col min="3" max="3" width="13.42578125" bestFit="1" customWidth="1"/>
    <col min="4" max="9" width="12.5703125" bestFit="1" customWidth="1"/>
    <col min="10" max="10" width="9.140625" customWidth="1"/>
  </cols>
  <sheetData>
    <row r="1" spans="1:9" ht="15.75" x14ac:dyDescent="0.25">
      <c r="A1" s="2" t="s">
        <v>1380</v>
      </c>
      <c r="I1" s="22" t="s">
        <v>3</v>
      </c>
    </row>
    <row r="2" spans="1:9" ht="15.75" x14ac:dyDescent="0.25">
      <c r="A2" s="3" t="str">
        <f>SchoolName</f>
        <v>Odyssey Charter School</v>
      </c>
    </row>
    <row r="3" spans="1:9" x14ac:dyDescent="0.25">
      <c r="A3" s="4" t="s">
        <v>2</v>
      </c>
    </row>
    <row r="4" spans="1:9" x14ac:dyDescent="0.25">
      <c r="A4" s="5" t="str">
        <f ca="1">CELL("filename")</f>
        <v>\\lvraiders\users\sguthrie\Documents\Charter\Change of Sponsorship\[240126-SPCSA-Odyssey Charter School Application Workbook-Modified-Version (1).xlsx]Instructions</v>
      </c>
    </row>
    <row r="5" spans="1:9" x14ac:dyDescent="0.25">
      <c r="A5" s="42"/>
      <c r="B5" s="42"/>
      <c r="C5" s="84"/>
      <c r="D5" s="38"/>
      <c r="E5" s="42"/>
      <c r="F5" s="42"/>
      <c r="G5" s="42"/>
      <c r="H5" s="42"/>
      <c r="I5" s="42"/>
    </row>
    <row r="6" spans="1:9" x14ac:dyDescent="0.25">
      <c r="A6" s="42"/>
      <c r="B6" s="42"/>
      <c r="C6" s="1058">
        <f>' Enrol &amp; Rev'!F9</f>
        <v>0</v>
      </c>
      <c r="D6" s="1512">
        <f>' Enrol &amp; Rev'!G9</f>
        <v>1</v>
      </c>
      <c r="E6" s="1512">
        <f>' Enrol &amp; Rev'!H9</f>
        <v>2</v>
      </c>
      <c r="F6" s="1512">
        <f>' Enrol &amp; Rev'!I9</f>
        <v>3</v>
      </c>
      <c r="G6" s="1512">
        <f>' Enrol &amp; Rev'!J9</f>
        <v>4</v>
      </c>
      <c r="H6" s="1512">
        <f>' Enrol &amp; Rev'!K9</f>
        <v>5</v>
      </c>
      <c r="I6" s="1511">
        <f>' Enrol &amp; Rev'!L9</f>
        <v>6</v>
      </c>
    </row>
    <row r="7" spans="1:9" ht="15.75" x14ac:dyDescent="0.25">
      <c r="A7" s="42"/>
      <c r="B7" s="42"/>
      <c r="C7" s="1510">
        <f>' Enrol &amp; Rev'!F10</f>
        <v>2024</v>
      </c>
      <c r="D7" s="1509">
        <f>' Enrol &amp; Rev'!G10</f>
        <v>2025</v>
      </c>
      <c r="E7" s="1508">
        <f>' Enrol &amp; Rev'!H10</f>
        <v>2026</v>
      </c>
      <c r="F7" s="1508">
        <f>' Enrol &amp; Rev'!I10</f>
        <v>2027</v>
      </c>
      <c r="G7" s="1508">
        <f>' Enrol &amp; Rev'!J10</f>
        <v>2028</v>
      </c>
      <c r="H7" s="1508">
        <f>' Enrol &amp; Rev'!K10</f>
        <v>2029</v>
      </c>
      <c r="I7" s="1507">
        <f>' Enrol &amp; Rev'!L10</f>
        <v>2030</v>
      </c>
    </row>
    <row r="8" spans="1:9" ht="15.75" x14ac:dyDescent="0.25">
      <c r="A8" s="1506"/>
      <c r="B8" s="1505" t="s">
        <v>316</v>
      </c>
      <c r="C8" s="1504">
        <f>' Enrol &amp; Rev'!F11</f>
        <v>2025</v>
      </c>
      <c r="D8" s="1065">
        <f>' Enrol &amp; Rev'!G11</f>
        <v>2026</v>
      </c>
      <c r="E8" s="1066">
        <f>' Enrol &amp; Rev'!H11</f>
        <v>2027</v>
      </c>
      <c r="F8" s="1066">
        <f>' Enrol &amp; Rev'!I11</f>
        <v>2028</v>
      </c>
      <c r="G8" s="1066">
        <f>' Enrol &amp; Rev'!J11</f>
        <v>2029</v>
      </c>
      <c r="H8" s="1066">
        <f>' Enrol &amp; Rev'!K11</f>
        <v>2030</v>
      </c>
      <c r="I8" s="1067">
        <f>' Enrol &amp; Rev'!L11</f>
        <v>2031</v>
      </c>
    </row>
    <row r="9" spans="1:9" x14ac:dyDescent="0.25">
      <c r="A9" t="s">
        <v>946</v>
      </c>
      <c r="B9" s="1253">
        <f>SUM(C9:I9)</f>
        <v>16240.140000000001</v>
      </c>
      <c r="C9" s="1253">
        <f>' Enrol &amp; Rev'!F36</f>
        <v>2320.02</v>
      </c>
      <c r="D9" s="1253">
        <f>' Enrol &amp; Rev'!G36</f>
        <v>2320.02</v>
      </c>
      <c r="E9" s="1253">
        <f>' Enrol &amp; Rev'!H36</f>
        <v>2320.02</v>
      </c>
      <c r="F9" s="1253">
        <f>' Enrol &amp; Rev'!I36</f>
        <v>2320.02</v>
      </c>
      <c r="G9" s="1253">
        <f>' Enrol &amp; Rev'!J36</f>
        <v>2320.02</v>
      </c>
      <c r="H9" s="1253">
        <f>' Enrol &amp; Rev'!K36</f>
        <v>2320.02</v>
      </c>
      <c r="I9" s="1253">
        <f>' Enrol &amp; Rev'!L36</f>
        <v>2320.02</v>
      </c>
    </row>
    <row r="10" spans="1:9" x14ac:dyDescent="0.25">
      <c r="A10" s="1528" t="s">
        <v>460</v>
      </c>
      <c r="B10" s="1582">
        <f>SUM(C10:I10)</f>
        <v>191950073.14216259</v>
      </c>
      <c r="C10" s="1582">
        <v>26990956.81896</v>
      </c>
      <c r="D10" s="1582">
        <v>27258416.3971496</v>
      </c>
      <c r="E10" s="1582">
        <v>27535637.026217461</v>
      </c>
      <c r="F10" s="1582">
        <v>27541181.438798815</v>
      </c>
      <c r="G10" s="1582">
        <v>27541292.327050444</v>
      </c>
      <c r="H10" s="1582">
        <v>27541294.544815477</v>
      </c>
      <c r="I10" s="1582">
        <v>27541294.589170776</v>
      </c>
    </row>
    <row r="11" spans="1:9" x14ac:dyDescent="0.25">
      <c r="A11" t="s">
        <v>947</v>
      </c>
      <c r="B11" s="1224">
        <f>IFERROR(B10/B9,0)</f>
        <v>11819.483892513401</v>
      </c>
      <c r="C11" s="1224">
        <f t="shared" ref="C11:I11" si="0">IFERROR(C10/C9,0)</f>
        <v>11633.932819096388</v>
      </c>
      <c r="D11" s="1224">
        <f t="shared" si="0"/>
        <v>11749.216126218567</v>
      </c>
      <c r="E11" s="1224">
        <f t="shared" si="0"/>
        <v>11868.706746587297</v>
      </c>
      <c r="F11" s="1224">
        <f t="shared" si="0"/>
        <v>11871.09655899467</v>
      </c>
      <c r="G11" s="1224">
        <f t="shared" si="0"/>
        <v>11871.144355242819</v>
      </c>
      <c r="H11" s="1224">
        <f t="shared" si="0"/>
        <v>11871.145311167782</v>
      </c>
      <c r="I11" s="1224">
        <f t="shared" si="0"/>
        <v>11871.145330286281</v>
      </c>
    </row>
    <row r="12" spans="1:9" x14ac:dyDescent="0.25">
      <c r="A12" t="s">
        <v>1379</v>
      </c>
      <c r="B12" s="1224">
        <f>SUM(C12:I12)</f>
        <v>116394044.99138159</v>
      </c>
      <c r="C12" s="1502">
        <f>Staff!G42</f>
        <v>16627720.713054515</v>
      </c>
      <c r="D12" s="1502">
        <f>Staff!H42</f>
        <v>16627720.713054515</v>
      </c>
      <c r="E12" s="1502">
        <f>Staff!I42</f>
        <v>16627720.713054515</v>
      </c>
      <c r="F12" s="1502">
        <f>Staff!J42</f>
        <v>16627720.713054515</v>
      </c>
      <c r="G12" s="1502">
        <f>Staff!K42</f>
        <v>16627720.713054515</v>
      </c>
      <c r="H12" s="1502">
        <f>Staff!L42</f>
        <v>16627720.713054515</v>
      </c>
      <c r="I12" s="1502">
        <f>Staff!M42</f>
        <v>16627720.713054515</v>
      </c>
    </row>
    <row r="13" spans="1:9" x14ac:dyDescent="0.25">
      <c r="A13" t="s">
        <v>1378</v>
      </c>
      <c r="B13" s="1224">
        <f>IFERROR(B12/B9,0)</f>
        <v>7167.0592120130477</v>
      </c>
      <c r="C13" s="1224">
        <f t="shared" ref="C13:I13" si="1">IFERROR(C12/C9,0)</f>
        <v>7167.0592120130495</v>
      </c>
      <c r="D13" s="1224">
        <f t="shared" si="1"/>
        <v>7167.0592120130495</v>
      </c>
      <c r="E13" s="1224">
        <f t="shared" si="1"/>
        <v>7167.0592120130495</v>
      </c>
      <c r="F13" s="1224">
        <f t="shared" si="1"/>
        <v>7167.0592120130495</v>
      </c>
      <c r="G13" s="1224">
        <f t="shared" si="1"/>
        <v>7167.0592120130495</v>
      </c>
      <c r="H13" s="1224">
        <f t="shared" si="1"/>
        <v>7167.0592120130495</v>
      </c>
      <c r="I13" s="1224">
        <f t="shared" si="1"/>
        <v>7167.0592120130495</v>
      </c>
    </row>
    <row r="14" spans="1:9" x14ac:dyDescent="0.25">
      <c r="A14" t="s">
        <v>468</v>
      </c>
      <c r="B14" s="1224">
        <f t="shared" ref="B14:I14" si="2">B10-B12</f>
        <v>75556028.150781006</v>
      </c>
      <c r="C14" s="1224">
        <f t="shared" si="2"/>
        <v>10363236.105905484</v>
      </c>
      <c r="D14" s="1224">
        <f t="shared" si="2"/>
        <v>10630695.684095085</v>
      </c>
      <c r="E14" s="1224">
        <f t="shared" si="2"/>
        <v>10907916.313162945</v>
      </c>
      <c r="F14" s="1224">
        <f t="shared" si="2"/>
        <v>10913460.7257443</v>
      </c>
      <c r="G14" s="1224">
        <f t="shared" si="2"/>
        <v>10913571.613995928</v>
      </c>
      <c r="H14" s="1224">
        <f t="shared" si="2"/>
        <v>10913573.831760962</v>
      </c>
      <c r="I14" s="1224">
        <f t="shared" si="2"/>
        <v>10913573.876116261</v>
      </c>
    </row>
    <row r="15" spans="1:9" ht="30" x14ac:dyDescent="0.25">
      <c r="A15" s="1503" t="s">
        <v>1377</v>
      </c>
      <c r="B15" s="1224">
        <f>IFERROR(B14/B9,0)</f>
        <v>4652.4246805003531</v>
      </c>
      <c r="C15" s="1224">
        <f t="shared" ref="C15:I15" si="3">IFERROR(C14/C9,0)</f>
        <v>4466.8736070833374</v>
      </c>
      <c r="D15" s="1224">
        <f t="shared" si="3"/>
        <v>4582.1569142055178</v>
      </c>
      <c r="E15" s="1224">
        <f t="shared" si="3"/>
        <v>4701.6475345742474</v>
      </c>
      <c r="F15" s="1224">
        <f t="shared" si="3"/>
        <v>4704.0373469816204</v>
      </c>
      <c r="G15" s="1224">
        <f t="shared" si="3"/>
        <v>4704.0851432297686</v>
      </c>
      <c r="H15" s="1224">
        <f t="shared" si="3"/>
        <v>4704.0860991547324</v>
      </c>
      <c r="I15" s="1224">
        <f t="shared" si="3"/>
        <v>4704.0861182732306</v>
      </c>
    </row>
    <row r="16" spans="1:9" x14ac:dyDescent="0.25">
      <c r="A16" t="s">
        <v>1376</v>
      </c>
      <c r="B16" s="1224">
        <f>SUM(C16:I16)</f>
        <v>56482416.637947232</v>
      </c>
      <c r="C16" s="1502">
        <f>'Gen Optg'!F197</f>
        <v>7372049.3187499996</v>
      </c>
      <c r="D16" s="1502">
        <f>'Gen Optg'!G197</f>
        <v>7593210.7983125001</v>
      </c>
      <c r="E16" s="1502">
        <f>'Gen Optg'!H197</f>
        <v>7819946.222261874</v>
      </c>
      <c r="F16" s="1502">
        <f>'Gen Optg'!I197</f>
        <v>8054544.608929731</v>
      </c>
      <c r="G16" s="1502">
        <f>'Gen Optg'!J197</f>
        <v>8296180.9471976217</v>
      </c>
      <c r="H16" s="1502">
        <f>'Gen Optg'!K197</f>
        <v>8545066.3756135497</v>
      </c>
      <c r="I16" s="1502">
        <f>'Gen Optg'!L197</f>
        <v>8801418.3668819573</v>
      </c>
    </row>
    <row r="17" spans="1:9" x14ac:dyDescent="0.25">
      <c r="A17" t="s">
        <v>1375</v>
      </c>
      <c r="B17" s="1224">
        <f>IFERROR(B16/B9,0)</f>
        <v>3477.9513377315238</v>
      </c>
      <c r="C17" s="1224">
        <f t="shared" ref="C17:I17" si="4">IFERROR(C16/C9,0)</f>
        <v>3177.5800720467923</v>
      </c>
      <c r="D17" s="1224">
        <f t="shared" si="4"/>
        <v>3272.9074742081966</v>
      </c>
      <c r="E17" s="1224">
        <f t="shared" si="4"/>
        <v>3370.6374178937572</v>
      </c>
      <c r="F17" s="1224">
        <f t="shared" si="4"/>
        <v>3471.7565404305701</v>
      </c>
      <c r="G17" s="1224">
        <f t="shared" si="4"/>
        <v>3575.9092366434866</v>
      </c>
      <c r="H17" s="1224">
        <f t="shared" si="4"/>
        <v>3683.1865137427908</v>
      </c>
      <c r="I17" s="1224">
        <f t="shared" si="4"/>
        <v>3793.6821091550751</v>
      </c>
    </row>
    <row r="18" spans="1:9" x14ac:dyDescent="0.25">
      <c r="A18" t="s">
        <v>754</v>
      </c>
      <c r="B18" s="1224">
        <f t="shared" ref="B18:I18" si="5">B10-B16</f>
        <v>135467656.50421536</v>
      </c>
      <c r="C18" s="1224">
        <f t="shared" si="5"/>
        <v>19618907.500210002</v>
      </c>
      <c r="D18" s="1224">
        <f t="shared" si="5"/>
        <v>19665205.5988371</v>
      </c>
      <c r="E18" s="1224">
        <f t="shared" si="5"/>
        <v>19715690.803955585</v>
      </c>
      <c r="F18" s="1224">
        <f t="shared" si="5"/>
        <v>19486636.829869084</v>
      </c>
      <c r="G18" s="1224">
        <f t="shared" si="5"/>
        <v>19245111.379852824</v>
      </c>
      <c r="H18" s="1224">
        <f t="shared" si="5"/>
        <v>18996228.169201925</v>
      </c>
      <c r="I18" s="1224">
        <f t="shared" si="5"/>
        <v>18739876.222288817</v>
      </c>
    </row>
    <row r="19" spans="1:9" ht="30" x14ac:dyDescent="0.25">
      <c r="A19" s="11" t="s">
        <v>755</v>
      </c>
      <c r="B19" s="1224">
        <f>IFERROR(B18/B9,0)</f>
        <v>8341.5325547818775</v>
      </c>
      <c r="C19" s="1224"/>
      <c r="D19" s="1224">
        <f t="shared" ref="D19:I19" si="6">IFERROR(D18/D9,0)</f>
        <v>8476.3086520103698</v>
      </c>
      <c r="E19" s="1224">
        <f t="shared" si="6"/>
        <v>8498.0693286935384</v>
      </c>
      <c r="F19" s="1224">
        <f t="shared" si="6"/>
        <v>8399.3400185641003</v>
      </c>
      <c r="G19" s="1224">
        <f t="shared" si="6"/>
        <v>8295.2351185993321</v>
      </c>
      <c r="H19" s="1224">
        <f t="shared" si="6"/>
        <v>8187.9587974249898</v>
      </c>
      <c r="I19" s="1224">
        <f t="shared" si="6"/>
        <v>8077.4632211312046</v>
      </c>
    </row>
    <row r="20" spans="1:9" x14ac:dyDescent="0.25">
      <c r="A20" t="s">
        <v>1374</v>
      </c>
      <c r="B20" s="1224">
        <f>SUM(C20:I20)</f>
        <v>8753780.6944713928</v>
      </c>
      <c r="C20" s="1502">
        <f>Facilities!F76</f>
        <v>1142424.0000000002</v>
      </c>
      <c r="D20" s="1502">
        <f>Facilities!G76</f>
        <v>1176696.7200000002</v>
      </c>
      <c r="E20" s="1502">
        <f>Facilities!H76</f>
        <v>1211997.6216000002</v>
      </c>
      <c r="F20" s="1502">
        <f>Facilities!I76</f>
        <v>1248357.5502480003</v>
      </c>
      <c r="G20" s="1502">
        <f>Facilities!J76</f>
        <v>1285808.2767554403</v>
      </c>
      <c r="H20" s="1502">
        <f>Facilities!K76</f>
        <v>1324382.5250581035</v>
      </c>
      <c r="I20" s="1502">
        <f>Facilities!L76</f>
        <v>1364114.0008098467</v>
      </c>
    </row>
    <row r="21" spans="1:9" x14ac:dyDescent="0.25">
      <c r="A21" t="s">
        <v>1373</v>
      </c>
      <c r="B21" s="1224">
        <f>IFERROR(B20/B9,0)</f>
        <v>539.02125809699862</v>
      </c>
      <c r="C21" s="1224"/>
      <c r="D21" s="1224">
        <f t="shared" ref="D21:I21" si="7">IFERROR(D20/D9,0)</f>
        <v>507.1924897199163</v>
      </c>
      <c r="E21" s="1224">
        <f t="shared" si="7"/>
        <v>522.40826441151376</v>
      </c>
      <c r="F21" s="1224">
        <f t="shared" si="7"/>
        <v>538.08051234385925</v>
      </c>
      <c r="G21" s="1224">
        <f t="shared" si="7"/>
        <v>554.22292771417506</v>
      </c>
      <c r="H21" s="1224">
        <f t="shared" si="7"/>
        <v>570.84961554560027</v>
      </c>
      <c r="I21" s="1224">
        <f t="shared" si="7"/>
        <v>587.97510401196826</v>
      </c>
    </row>
    <row r="22" spans="1:9" x14ac:dyDescent="0.25">
      <c r="A22" t="s">
        <v>1372</v>
      </c>
      <c r="B22" s="1224">
        <f t="shared" ref="B22:I22" si="8">B10-B20</f>
        <v>183196292.4476912</v>
      </c>
      <c r="C22" s="1224">
        <f t="shared" si="8"/>
        <v>25848532.81896</v>
      </c>
      <c r="D22" s="1224">
        <f t="shared" si="8"/>
        <v>26081719.677149601</v>
      </c>
      <c r="E22" s="1224">
        <f t="shared" si="8"/>
        <v>26323639.404617459</v>
      </c>
      <c r="F22" s="1224">
        <f t="shared" si="8"/>
        <v>26292823.888550814</v>
      </c>
      <c r="G22" s="1224">
        <f t="shared" si="8"/>
        <v>26255484.050295003</v>
      </c>
      <c r="H22" s="1224">
        <f t="shared" si="8"/>
        <v>26216912.019757375</v>
      </c>
      <c r="I22" s="1224">
        <f t="shared" si="8"/>
        <v>26177180.588360928</v>
      </c>
    </row>
    <row r="23" spans="1:9" ht="30" x14ac:dyDescent="0.25">
      <c r="A23" s="11" t="s">
        <v>1371</v>
      </c>
      <c r="B23" s="1224">
        <f>IFERROR(B22/B9,0)</f>
        <v>11280.462634416403</v>
      </c>
      <c r="C23" s="1224"/>
      <c r="D23" s="1224">
        <f t="shared" ref="D23:I23" si="9">IFERROR(D22/D9,0)</f>
        <v>11242.023636498652</v>
      </c>
      <c r="E23" s="1224">
        <f t="shared" si="9"/>
        <v>11346.298482175782</v>
      </c>
      <c r="F23" s="1224">
        <f t="shared" si="9"/>
        <v>11333.016046650811</v>
      </c>
      <c r="G23" s="1224">
        <f t="shared" si="9"/>
        <v>11316.921427528643</v>
      </c>
      <c r="H23" s="1224">
        <f t="shared" si="9"/>
        <v>11300.295695622182</v>
      </c>
      <c r="I23" s="1224">
        <f t="shared" si="9"/>
        <v>11283.170226274311</v>
      </c>
    </row>
    <row r="24" spans="1:9" x14ac:dyDescent="0.25">
      <c r="A24" t="s">
        <v>948</v>
      </c>
      <c r="B24" s="1224">
        <f>SUM(C24:I24)</f>
        <v>875000</v>
      </c>
      <c r="C24" s="1502">
        <f>'FFE&amp;T'!F43</f>
        <v>125000</v>
      </c>
      <c r="D24" s="1502">
        <f>'FFE&amp;T'!G43</f>
        <v>125000</v>
      </c>
      <c r="E24" s="1502">
        <f>'FFE&amp;T'!H43</f>
        <v>125000</v>
      </c>
      <c r="F24" s="1502">
        <f>'FFE&amp;T'!I43</f>
        <v>125000</v>
      </c>
      <c r="G24" s="1502">
        <f>'FFE&amp;T'!J43</f>
        <v>125000</v>
      </c>
      <c r="H24" s="1502">
        <f>'FFE&amp;T'!K43</f>
        <v>125000</v>
      </c>
      <c r="I24" s="1502">
        <f>'FFE&amp;T'!L43</f>
        <v>125000</v>
      </c>
    </row>
    <row r="25" spans="1:9" x14ac:dyDescent="0.25">
      <c r="A25" t="s">
        <v>949</v>
      </c>
      <c r="B25" s="1224">
        <f>IFERROR(B24/B9,0)</f>
        <v>53.878845872018339</v>
      </c>
      <c r="C25" s="1224"/>
      <c r="D25" s="1224">
        <f t="shared" ref="D25:I25" si="10">IFERROR(D24/D9,0)</f>
        <v>53.878845872018346</v>
      </c>
      <c r="E25" s="1224">
        <f t="shared" si="10"/>
        <v>53.878845872018346</v>
      </c>
      <c r="F25" s="1224">
        <f t="shared" si="10"/>
        <v>53.878845872018346</v>
      </c>
      <c r="G25" s="1224">
        <f t="shared" si="10"/>
        <v>53.878845872018346</v>
      </c>
      <c r="H25" s="1224">
        <f t="shared" si="10"/>
        <v>53.878845872018346</v>
      </c>
      <c r="I25" s="1224">
        <f t="shared" si="10"/>
        <v>53.878845872018346</v>
      </c>
    </row>
    <row r="26" spans="1:9" x14ac:dyDescent="0.25">
      <c r="A26" t="s">
        <v>950</v>
      </c>
      <c r="B26" s="1224">
        <f t="shared" ref="B26:I26" si="11">B10-B24</f>
        <v>191075073.14216259</v>
      </c>
      <c r="C26" s="1224">
        <f t="shared" si="11"/>
        <v>26865956.81896</v>
      </c>
      <c r="D26" s="1224">
        <f t="shared" si="11"/>
        <v>27133416.3971496</v>
      </c>
      <c r="E26" s="1224">
        <f t="shared" si="11"/>
        <v>27410637.026217461</v>
      </c>
      <c r="F26" s="1224">
        <f t="shared" si="11"/>
        <v>27416181.438798815</v>
      </c>
      <c r="G26" s="1224">
        <f t="shared" si="11"/>
        <v>27416292.327050444</v>
      </c>
      <c r="H26" s="1224">
        <f t="shared" si="11"/>
        <v>27416294.544815477</v>
      </c>
      <c r="I26" s="1224">
        <f t="shared" si="11"/>
        <v>27416294.589170776</v>
      </c>
    </row>
    <row r="27" spans="1:9" ht="30" x14ac:dyDescent="0.25">
      <c r="A27" s="11" t="s">
        <v>951</v>
      </c>
      <c r="B27" s="1224">
        <f>IFERROR(B26/B9,0)</f>
        <v>11765.605046641382</v>
      </c>
      <c r="C27" s="1224"/>
      <c r="D27" s="1224">
        <f t="shared" ref="D27:I27" si="12">IFERROR(D26/D9,0)</f>
        <v>11695.337280346548</v>
      </c>
      <c r="E27" s="1224">
        <f t="shared" si="12"/>
        <v>11814.827900715278</v>
      </c>
      <c r="F27" s="1224">
        <f t="shared" si="12"/>
        <v>11817.217713122653</v>
      </c>
      <c r="G27" s="1224">
        <f t="shared" si="12"/>
        <v>11817.2655093708</v>
      </c>
      <c r="H27" s="1224">
        <f t="shared" si="12"/>
        <v>11817.266465295763</v>
      </c>
      <c r="I27" s="1224">
        <f t="shared" si="12"/>
        <v>11817.266484414262</v>
      </c>
    </row>
    <row r="28" spans="1:9" x14ac:dyDescent="0.25">
      <c r="A28" t="s">
        <v>1370</v>
      </c>
      <c r="B28" s="1224">
        <f>SUM(C28:I28)</f>
        <v>0</v>
      </c>
      <c r="C28" s="1502">
        <f>'Gen Optg'!F177</f>
        <v>0</v>
      </c>
      <c r="D28" s="1502">
        <f>'Gen Optg'!G177</f>
        <v>0</v>
      </c>
      <c r="E28" s="1502">
        <f>'Gen Optg'!H177</f>
        <v>0</v>
      </c>
      <c r="F28" s="1502">
        <f>'Gen Optg'!I177</f>
        <v>0</v>
      </c>
      <c r="G28" s="1502">
        <f>'Gen Optg'!J177</f>
        <v>0</v>
      </c>
      <c r="H28" s="1502">
        <f>'Gen Optg'!K177</f>
        <v>0</v>
      </c>
      <c r="I28" s="1502">
        <f>'Gen Optg'!L177</f>
        <v>0</v>
      </c>
    </row>
    <row r="29" spans="1:9" x14ac:dyDescent="0.25">
      <c r="A29" t="s">
        <v>1369</v>
      </c>
      <c r="B29" s="1224">
        <f>IFERROR(B28/B9,0)</f>
        <v>0</v>
      </c>
      <c r="C29" s="1224"/>
      <c r="D29" s="1224">
        <f t="shared" ref="D29:I29" si="13">IFERROR(D28/D9,0)</f>
        <v>0</v>
      </c>
      <c r="E29" s="1224">
        <f t="shared" si="13"/>
        <v>0</v>
      </c>
      <c r="F29" s="1224">
        <f t="shared" si="13"/>
        <v>0</v>
      </c>
      <c r="G29" s="1224">
        <f t="shared" si="13"/>
        <v>0</v>
      </c>
      <c r="H29" s="1224">
        <f t="shared" si="13"/>
        <v>0</v>
      </c>
      <c r="I29" s="1224">
        <f t="shared" si="13"/>
        <v>0</v>
      </c>
    </row>
    <row r="30" spans="1:9" x14ac:dyDescent="0.25">
      <c r="A30" t="s">
        <v>1368</v>
      </c>
      <c r="B30" s="1224">
        <f>SUM(C30:I30)</f>
        <v>606578.04974200262</v>
      </c>
      <c r="C30" s="1502">
        <f>Ins!F51</f>
        <v>81592</v>
      </c>
      <c r="D30" s="1502">
        <f>Ins!G51</f>
        <v>83223.839999999997</v>
      </c>
      <c r="E30" s="1502">
        <f>Ins!H51</f>
        <v>84888.316800000001</v>
      </c>
      <c r="F30" s="1502">
        <f>Ins!I51</f>
        <v>86586.083136000001</v>
      </c>
      <c r="G30" s="1502">
        <f>Ins!J51</f>
        <v>88317.804798719997</v>
      </c>
      <c r="H30" s="1502">
        <f>Ins!K51</f>
        <v>90084.160894694403</v>
      </c>
      <c r="I30" s="1502">
        <f>Ins!L51</f>
        <v>91885.844112588296</v>
      </c>
    </row>
    <row r="31" spans="1:9" x14ac:dyDescent="0.25">
      <c r="A31" t="s">
        <v>1367</v>
      </c>
      <c r="B31" s="1224">
        <f>IFERROR(B30/B9,0)</f>
        <v>37.350543144455813</v>
      </c>
      <c r="C31" s="1224"/>
      <c r="D31" s="1224">
        <f t="shared" ref="D31:I31" si="14">IFERROR(D30/D9,0)</f>
        <v>35.872035585900122</v>
      </c>
      <c r="E31" s="1224">
        <f t="shared" si="14"/>
        <v>36.589476297618127</v>
      </c>
      <c r="F31" s="1224">
        <f t="shared" si="14"/>
        <v>37.321265823570485</v>
      </c>
      <c r="G31" s="1224">
        <f t="shared" si="14"/>
        <v>38.067691140041894</v>
      </c>
      <c r="H31" s="1224">
        <f t="shared" si="14"/>
        <v>38.829044962842737</v>
      </c>
      <c r="I31" s="1224">
        <f t="shared" si="14"/>
        <v>39.605625862099593</v>
      </c>
    </row>
    <row r="32" spans="1:9" x14ac:dyDescent="0.25">
      <c r="A32" t="s">
        <v>1366</v>
      </c>
      <c r="B32" s="1224">
        <f>SUM(C32:I32)</f>
        <v>1659000</v>
      </c>
      <c r="C32" s="1502">
        <f>Marketing!H44</f>
        <v>237000</v>
      </c>
      <c r="D32" s="1502">
        <f>Marketing!I44</f>
        <v>237000</v>
      </c>
      <c r="E32" s="1502">
        <f>Marketing!J44</f>
        <v>237000</v>
      </c>
      <c r="F32" s="1502">
        <f>Marketing!K44</f>
        <v>237000</v>
      </c>
      <c r="G32" s="1502">
        <f>Marketing!L44</f>
        <v>237000</v>
      </c>
      <c r="H32" s="1502">
        <f>Marketing!M44</f>
        <v>237000</v>
      </c>
      <c r="I32" s="1502">
        <f>Marketing!N44</f>
        <v>237000</v>
      </c>
    </row>
    <row r="33" spans="1:9" x14ac:dyDescent="0.25">
      <c r="A33" t="s">
        <v>1365</v>
      </c>
      <c r="B33" s="1224">
        <f>IFERROR(B32/B9,0)</f>
        <v>102.15429177334677</v>
      </c>
      <c r="C33" s="1224"/>
      <c r="D33" s="1224">
        <f t="shared" ref="D33:I33" si="15">IFERROR(D32/D9,0)</f>
        <v>102.15429177334678</v>
      </c>
      <c r="E33" s="1224">
        <f t="shared" si="15"/>
        <v>102.15429177334678</v>
      </c>
      <c r="F33" s="1224">
        <f t="shared" si="15"/>
        <v>102.15429177334678</v>
      </c>
      <c r="G33" s="1224">
        <f t="shared" si="15"/>
        <v>102.15429177334678</v>
      </c>
      <c r="H33" s="1224">
        <f t="shared" si="15"/>
        <v>102.15429177334678</v>
      </c>
      <c r="I33" s="1224">
        <f t="shared" si="15"/>
        <v>102.15429177334678</v>
      </c>
    </row>
    <row r="34" spans="1:9" x14ac:dyDescent="0.25">
      <c r="A34" t="s">
        <v>1364</v>
      </c>
      <c r="B34" s="1224">
        <f t="shared" ref="B34:I34" si="16">B32+B30+B28</f>
        <v>2265578.0497420025</v>
      </c>
      <c r="C34" s="1224">
        <f t="shared" si="16"/>
        <v>318592</v>
      </c>
      <c r="D34" s="1224">
        <f t="shared" si="16"/>
        <v>320223.83999999997</v>
      </c>
      <c r="E34" s="1224">
        <f t="shared" si="16"/>
        <v>321888.31680000003</v>
      </c>
      <c r="F34" s="1224">
        <f t="shared" si="16"/>
        <v>323586.08313599997</v>
      </c>
      <c r="G34" s="1224">
        <f t="shared" si="16"/>
        <v>325317.80479872</v>
      </c>
      <c r="H34" s="1224">
        <f t="shared" si="16"/>
        <v>327084.16089469439</v>
      </c>
      <c r="I34" s="1224">
        <f t="shared" si="16"/>
        <v>328885.84411258833</v>
      </c>
    </row>
    <row r="35" spans="1:9" x14ac:dyDescent="0.25">
      <c r="A35" t="s">
        <v>1363</v>
      </c>
      <c r="B35" s="1224">
        <f>IFERROR(B34/B9,0)</f>
        <v>139.50483491780258</v>
      </c>
      <c r="C35" s="1224"/>
      <c r="D35" s="1224">
        <f t="shared" ref="D35:I35" si="17">IFERROR(D34/D9,0)</f>
        <v>138.02632735924689</v>
      </c>
      <c r="E35" s="1224">
        <f t="shared" si="17"/>
        <v>138.74376807096493</v>
      </c>
      <c r="F35" s="1224">
        <f t="shared" si="17"/>
        <v>139.47555759691727</v>
      </c>
      <c r="G35" s="1224">
        <f t="shared" si="17"/>
        <v>140.22198291338867</v>
      </c>
      <c r="H35" s="1224">
        <f t="shared" si="17"/>
        <v>140.9833367361895</v>
      </c>
      <c r="I35" s="1224">
        <f t="shared" si="17"/>
        <v>141.75991763544639</v>
      </c>
    </row>
    <row r="36" spans="1:9" x14ac:dyDescent="0.25">
      <c r="A36" t="s">
        <v>1362</v>
      </c>
      <c r="B36" s="1224">
        <f t="shared" ref="B36:I36" si="18">B10-B34</f>
        <v>189684495.09242058</v>
      </c>
      <c r="C36" s="1224">
        <f t="shared" si="18"/>
        <v>26672364.81896</v>
      </c>
      <c r="D36" s="1224">
        <f t="shared" si="18"/>
        <v>26938192.5571496</v>
      </c>
      <c r="E36" s="1224">
        <f t="shared" si="18"/>
        <v>27213748.709417462</v>
      </c>
      <c r="F36" s="1224">
        <f t="shared" si="18"/>
        <v>27217595.355662815</v>
      </c>
      <c r="G36" s="1224">
        <f t="shared" si="18"/>
        <v>27215974.522251725</v>
      </c>
      <c r="H36" s="1224">
        <f t="shared" si="18"/>
        <v>27214210.383920781</v>
      </c>
      <c r="I36" s="1224">
        <f t="shared" si="18"/>
        <v>27212408.745058186</v>
      </c>
    </row>
    <row r="37" spans="1:9" ht="30" x14ac:dyDescent="0.25">
      <c r="A37" s="11" t="s">
        <v>1361</v>
      </c>
      <c r="B37" s="1224">
        <f>IFERROR(B36/B9,0)</f>
        <v>11679.979057595598</v>
      </c>
      <c r="C37" s="1224"/>
      <c r="D37" s="1224">
        <f t="shared" ref="D37:I37" si="19">IFERROR(D36/D9,0)</f>
        <v>11611.189798859321</v>
      </c>
      <c r="E37" s="1224">
        <f t="shared" si="19"/>
        <v>11729.962978516332</v>
      </c>
      <c r="F37" s="1224">
        <f t="shared" si="19"/>
        <v>11731.621001397752</v>
      </c>
      <c r="G37" s="1224">
        <f t="shared" si="19"/>
        <v>11730.922372329431</v>
      </c>
      <c r="H37" s="1224">
        <f t="shared" si="19"/>
        <v>11730.161974431592</v>
      </c>
      <c r="I37" s="1224">
        <f t="shared" si="19"/>
        <v>11729.385412650834</v>
      </c>
    </row>
    <row r="38" spans="1:9" x14ac:dyDescent="0.25">
      <c r="A38" t="s">
        <v>470</v>
      </c>
      <c r="B38" s="1224">
        <f t="shared" ref="B38:I38" si="20">B10-B12-B16-B28-B20-B24-B30-B32</f>
        <v>7179252.7686203793</v>
      </c>
      <c r="C38" s="1224">
        <f t="shared" si="20"/>
        <v>1405170.7871554845</v>
      </c>
      <c r="D38" s="1224">
        <f t="shared" si="20"/>
        <v>1415564.3257825843</v>
      </c>
      <c r="E38" s="1224">
        <f t="shared" si="20"/>
        <v>1429084.1525010711</v>
      </c>
      <c r="F38" s="1224">
        <f t="shared" si="20"/>
        <v>1161972.4834305684</v>
      </c>
      <c r="G38" s="1224">
        <f t="shared" si="20"/>
        <v>881264.58524414641</v>
      </c>
      <c r="H38" s="1224">
        <f t="shared" si="20"/>
        <v>592040.77019461396</v>
      </c>
      <c r="I38" s="1224">
        <f t="shared" si="20"/>
        <v>294155.6643118686</v>
      </c>
    </row>
    <row r="39" spans="1:9" x14ac:dyDescent="0.25">
      <c r="A39" t="s">
        <v>471</v>
      </c>
      <c r="B39" s="1224">
        <f>IFERROR(B38/B9,0)</f>
        <v>442.06840388200953</v>
      </c>
      <c r="C39" s="1224">
        <f t="shared" ref="C39:I39" si="21">IFERROR(C38/C9,0)</f>
        <v>605.67184212010443</v>
      </c>
      <c r="D39" s="1224">
        <f t="shared" si="21"/>
        <v>610.15177704613939</v>
      </c>
      <c r="E39" s="1224">
        <f t="shared" si="21"/>
        <v>615.97923832599338</v>
      </c>
      <c r="F39" s="1224">
        <f t="shared" si="21"/>
        <v>500.84589073825589</v>
      </c>
      <c r="G39" s="1224">
        <f t="shared" si="21"/>
        <v>379.85215008670031</v>
      </c>
      <c r="H39" s="1224">
        <f t="shared" si="21"/>
        <v>255.18778725813311</v>
      </c>
      <c r="I39" s="1224">
        <f t="shared" si="21"/>
        <v>126.79014159872268</v>
      </c>
    </row>
  </sheetData>
  <conditionalFormatting sqref="I1">
    <cfRule type="expression" dxfId="0" priority="1" stopIfTrue="1">
      <formula>MOD(ROW(),2)=0</formula>
    </cfRule>
  </conditionalFormatting>
  <hyperlinks>
    <hyperlink ref="I1" location="HypLink1" display="HypLink1" xr:uid="{0F480546-D000-47D5-9597-66DEA9123451}"/>
  </hyperlinks>
  <pageMargins left="0.7" right="0.7" top="0.75" bottom="0.75" header="0.3" footer="0.3"/>
  <pageSetup paperSize="11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17B56-6033-4A9A-B8DF-F1162EB3F35D}">
  <dimension ref="A1:G27"/>
  <sheetViews>
    <sheetView workbookViewId="0">
      <selection activeCell="J24" sqref="J24"/>
    </sheetView>
  </sheetViews>
  <sheetFormatPr defaultRowHeight="15.75" x14ac:dyDescent="0.25"/>
  <cols>
    <col min="1" max="1" width="1.28515625" style="27" customWidth="1"/>
    <col min="2" max="2" width="3.28515625" customWidth="1"/>
    <col min="3" max="3" width="19" customWidth="1"/>
    <col min="4" max="4" width="21.5703125" customWidth="1"/>
    <col min="5" max="5" width="25.42578125" customWidth="1"/>
    <col min="6" max="6" width="23.28515625" customWidth="1"/>
    <col min="7" max="7" width="14.5703125" customWidth="1"/>
  </cols>
  <sheetData>
    <row r="1" spans="1:7" x14ac:dyDescent="0.25">
      <c r="A1" s="2" t="s">
        <v>79</v>
      </c>
      <c r="B1" s="2"/>
      <c r="C1" s="2"/>
      <c r="D1" s="2"/>
      <c r="F1" s="22" t="s">
        <v>3</v>
      </c>
    </row>
    <row r="2" spans="1:7" x14ac:dyDescent="0.25">
      <c r="A2" s="3" t="str">
        <f>SchoolName</f>
        <v>Odyssey Charter School</v>
      </c>
      <c r="B2" s="23"/>
      <c r="C2" s="23"/>
      <c r="D2" s="23"/>
    </row>
    <row r="3" spans="1:7" ht="15" x14ac:dyDescent="0.25">
      <c r="A3" s="24" t="s">
        <v>80</v>
      </c>
    </row>
    <row r="4" spans="1:7" ht="15" x14ac:dyDescent="0.25">
      <c r="A4" s="25" t="s">
        <v>81</v>
      </c>
    </row>
    <row r="5" spans="1:7" ht="15" x14ac:dyDescent="0.25">
      <c r="A5" s="26" t="str">
        <f ca="1">CELL("filename")</f>
        <v>\\lvraiders\users\sguthrie\Documents\Charter\Change of Sponsorship\[240126-SPCSA-Odyssey Charter School Application Workbook-Modified-Version (1).xlsx]Instructions</v>
      </c>
    </row>
    <row r="8" spans="1:7" x14ac:dyDescent="0.25">
      <c r="C8" s="28" t="s">
        <v>82</v>
      </c>
      <c r="D8" s="28"/>
      <c r="E8" s="28"/>
      <c r="F8" s="29"/>
      <c r="G8" s="29"/>
    </row>
    <row r="9" spans="1:7" ht="34.5" x14ac:dyDescent="0.45">
      <c r="B9" s="30">
        <f>ROW()</f>
        <v>9</v>
      </c>
      <c r="C9" s="1594" t="s">
        <v>83</v>
      </c>
      <c r="D9" s="1594"/>
      <c r="E9" s="1594"/>
      <c r="F9" s="1594"/>
      <c r="G9" s="1594"/>
    </row>
    <row r="10" spans="1:7" x14ac:dyDescent="0.25">
      <c r="B10" s="30">
        <f>ROW()</f>
        <v>10</v>
      </c>
    </row>
    <row r="11" spans="1:7" x14ac:dyDescent="0.25">
      <c r="B11" s="30">
        <f>ROW()</f>
        <v>11</v>
      </c>
      <c r="C11" s="31" t="s">
        <v>84</v>
      </c>
      <c r="E11" s="32">
        <v>2025</v>
      </c>
      <c r="F11" s="33" t="str">
        <f>"Fiscal Year beginning July 1, 20"&amp;RIGHT(E11,2)</f>
        <v>Fiscal Year beginning July 1, 2025</v>
      </c>
    </row>
    <row r="12" spans="1:7" x14ac:dyDescent="0.25">
      <c r="B12" s="30">
        <f>ROW()</f>
        <v>12</v>
      </c>
      <c r="C12" s="31" t="s">
        <v>85</v>
      </c>
      <c r="E12" s="34">
        <f>+E11+1</f>
        <v>2026</v>
      </c>
      <c r="F12" s="33" t="str">
        <f>"aka Fiscal Year Ending (FYE) Jun 30, 20"&amp;RIGHT(E12,2)</f>
        <v>aka Fiscal Year Ending (FYE) Jun 30, 2026</v>
      </c>
    </row>
    <row r="13" spans="1:7" x14ac:dyDescent="0.25">
      <c r="B13" s="30">
        <f>ROW()</f>
        <v>13</v>
      </c>
    </row>
    <row r="14" spans="1:7" x14ac:dyDescent="0.25">
      <c r="B14" s="30">
        <f>ROW()</f>
        <v>14</v>
      </c>
      <c r="C14" s="28" t="s">
        <v>86</v>
      </c>
      <c r="D14" s="28"/>
      <c r="E14" s="35" t="s">
        <v>87</v>
      </c>
      <c r="F14" s="1595" t="s">
        <v>88</v>
      </c>
      <c r="G14" s="1595"/>
    </row>
    <row r="15" spans="1:7" x14ac:dyDescent="0.25">
      <c r="B15" s="30">
        <f>ROW()</f>
        <v>15</v>
      </c>
      <c r="C15" s="1596" t="s">
        <v>1381</v>
      </c>
      <c r="D15" s="1596"/>
      <c r="E15" s="36" t="s">
        <v>1382</v>
      </c>
      <c r="F15" s="1597" t="s">
        <v>1383</v>
      </c>
      <c r="G15" s="1598"/>
    </row>
    <row r="16" spans="1:7" x14ac:dyDescent="0.25">
      <c r="B16" s="30">
        <f>ROW()</f>
        <v>16</v>
      </c>
      <c r="C16" s="1599"/>
      <c r="D16" s="1599"/>
      <c r="E16" s="36"/>
      <c r="F16" s="1600"/>
      <c r="G16" s="1600"/>
    </row>
    <row r="17" spans="2:7" x14ac:dyDescent="0.25">
      <c r="B17" s="30">
        <f>ROW()</f>
        <v>17</v>
      </c>
      <c r="C17" s="1591" t="s">
        <v>89</v>
      </c>
      <c r="D17" s="1591"/>
      <c r="E17" s="1591"/>
      <c r="F17" s="1591"/>
      <c r="G17" s="1591"/>
    </row>
    <row r="18" spans="2:7" x14ac:dyDescent="0.25">
      <c r="B18" s="30">
        <f>ROW()</f>
        <v>18</v>
      </c>
      <c r="C18" s="1592" t="s">
        <v>1384</v>
      </c>
      <c r="D18" s="1592"/>
      <c r="E18" s="1592"/>
      <c r="F18" s="1592"/>
      <c r="G18" s="1592"/>
    </row>
    <row r="19" spans="2:7" x14ac:dyDescent="0.25">
      <c r="B19" s="30">
        <f>ROW()</f>
        <v>19</v>
      </c>
      <c r="C19" s="1593" t="s">
        <v>1385</v>
      </c>
      <c r="D19" s="1593"/>
      <c r="E19" s="1593"/>
      <c r="F19" s="1593"/>
      <c r="G19" s="1593"/>
    </row>
    <row r="20" spans="2:7" x14ac:dyDescent="0.25">
      <c r="B20" s="30">
        <f>ROW()</f>
        <v>20</v>
      </c>
      <c r="C20" s="37" t="s">
        <v>91</v>
      </c>
    </row>
    <row r="21" spans="2:7" x14ac:dyDescent="0.25">
      <c r="B21" s="30">
        <f>ROW()</f>
        <v>21</v>
      </c>
      <c r="C21" s="37"/>
    </row>
    <row r="22" spans="2:7" x14ac:dyDescent="0.25">
      <c r="B22" s="30">
        <f>ROW()</f>
        <v>22</v>
      </c>
      <c r="C22" s="38" t="s">
        <v>92</v>
      </c>
    </row>
    <row r="23" spans="2:7" x14ac:dyDescent="0.25">
      <c r="B23" s="30">
        <f>ROW()</f>
        <v>23</v>
      </c>
      <c r="C23" s="39" t="s">
        <v>1386</v>
      </c>
      <c r="D23" s="40" t="s">
        <v>93</v>
      </c>
    </row>
    <row r="24" spans="2:7" x14ac:dyDescent="0.25">
      <c r="B24" s="30">
        <f>ROW()</f>
        <v>24</v>
      </c>
      <c r="C24" s="41"/>
      <c r="D24" s="37" t="s">
        <v>94</v>
      </c>
    </row>
    <row r="25" spans="2:7" x14ac:dyDescent="0.25">
      <c r="B25" s="30">
        <f>ROW()</f>
        <v>25</v>
      </c>
      <c r="C25" s="39" t="s">
        <v>1386</v>
      </c>
      <c r="D25" s="42" t="s">
        <v>95</v>
      </c>
    </row>
    <row r="26" spans="2:7" x14ac:dyDescent="0.25">
      <c r="B26" s="30">
        <f>ROW()</f>
        <v>26</v>
      </c>
      <c r="C26" s="41"/>
    </row>
    <row r="27" spans="2:7" x14ac:dyDescent="0.25">
      <c r="B27" s="30">
        <f>ROW()</f>
        <v>27</v>
      </c>
      <c r="C27" s="39" t="s">
        <v>1386</v>
      </c>
      <c r="D27" s="42" t="s">
        <v>96</v>
      </c>
    </row>
  </sheetData>
  <mergeCells count="9">
    <mergeCell ref="C17:G17"/>
    <mergeCell ref="C18:G18"/>
    <mergeCell ref="C19:G19"/>
    <mergeCell ref="C9:G9"/>
    <mergeCell ref="F14:G14"/>
    <mergeCell ref="C15:D15"/>
    <mergeCell ref="F15:G15"/>
    <mergeCell ref="C16:D16"/>
    <mergeCell ref="F16:G16"/>
  </mergeCells>
  <conditionalFormatting sqref="C11:C12">
    <cfRule type="cellIs" dxfId="67" priority="1" stopIfTrue="1" operator="equal">
      <formula>0</formula>
    </cfRule>
  </conditionalFormatting>
  <conditionalFormatting sqref="D23">
    <cfRule type="cellIs" dxfId="66" priority="3" stopIfTrue="1" operator="equal">
      <formula>0</formula>
    </cfRule>
  </conditionalFormatting>
  <conditionalFormatting sqref="F1">
    <cfRule type="expression" dxfId="65" priority="2" stopIfTrue="1">
      <formula>MOD(ROW(),2)=0</formula>
    </cfRule>
  </conditionalFormatting>
  <hyperlinks>
    <hyperlink ref="F1" location="HypLink1" display="HypLink1" xr:uid="{4440B060-7795-4940-BAA3-968F29A9F501}"/>
    <hyperlink ref="F15" r:id="rId1" xr:uid="{C8726352-E8E3-447E-B598-6BDD64A9E9CF}"/>
  </hyperlinks>
  <pageMargins left="0.7" right="0.7" top="0.75" bottom="0.75" header="0.3" footer="0.3"/>
  <pageSetup paperSize="119"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967F6-02E1-4DAB-A78E-2A3F3E6A172F}">
  <dimension ref="A1:M37"/>
  <sheetViews>
    <sheetView workbookViewId="0">
      <selection activeCell="C35" sqref="C35"/>
    </sheetView>
  </sheetViews>
  <sheetFormatPr defaultRowHeight="15.75" x14ac:dyDescent="0.25"/>
  <cols>
    <col min="1" max="1" width="6.28515625" style="27" customWidth="1"/>
    <col min="2" max="2" width="35.85546875" style="27" bestFit="1" customWidth="1"/>
    <col min="3" max="4" width="11.28515625" style="27" bestFit="1" customWidth="1"/>
    <col min="10" max="10" width="14.7109375" customWidth="1"/>
    <col min="11" max="11" width="2.28515625" customWidth="1"/>
    <col min="12" max="12" width="4.7109375" customWidth="1"/>
    <col min="13" max="13" width="47.7109375" style="43" customWidth="1"/>
  </cols>
  <sheetData>
    <row r="1" spans="1:13" x14ac:dyDescent="0.25">
      <c r="A1" s="2" t="s">
        <v>97</v>
      </c>
      <c r="B1" s="2"/>
      <c r="C1" s="2"/>
      <c r="D1" s="2"/>
      <c r="E1" s="2"/>
      <c r="F1" s="2"/>
    </row>
    <row r="2" spans="1:13" x14ac:dyDescent="0.25">
      <c r="A2" s="3" t="str">
        <f>SchoolName</f>
        <v>Odyssey Charter School</v>
      </c>
      <c r="B2" s="3"/>
      <c r="C2" s="3"/>
      <c r="D2" s="3"/>
      <c r="E2" s="23"/>
      <c r="F2" s="23"/>
    </row>
    <row r="3" spans="1:13" ht="15" x14ac:dyDescent="0.25">
      <c r="A3" s="4" t="s">
        <v>2</v>
      </c>
      <c r="B3" s="4"/>
      <c r="C3" s="4"/>
      <c r="D3" s="4"/>
    </row>
    <row r="4" spans="1:13" ht="15" x14ac:dyDescent="0.25">
      <c r="A4" s="5" t="str">
        <f ca="1">CELL("filename")</f>
        <v>\\lvraiders\users\sguthrie\Documents\Charter\Change of Sponsorship\[240126-SPCSA-Odyssey Charter School Application Workbook-Modified-Version (1).xlsx]Instructions</v>
      </c>
      <c r="B4" s="5"/>
      <c r="C4" s="5"/>
      <c r="D4" s="5"/>
    </row>
    <row r="5" spans="1:13" x14ac:dyDescent="0.25">
      <c r="A5" s="44" t="s">
        <v>98</v>
      </c>
    </row>
    <row r="6" spans="1:13" x14ac:dyDescent="0.25">
      <c r="C6" s="45" t="s">
        <v>99</v>
      </c>
      <c r="D6" s="45" t="s">
        <v>99</v>
      </c>
      <c r="E6" s="42"/>
      <c r="F6" s="42"/>
    </row>
    <row r="7" spans="1:13" x14ac:dyDescent="0.25">
      <c r="B7" s="46"/>
      <c r="C7" s="47" t="s">
        <v>100</v>
      </c>
      <c r="D7" s="47" t="s">
        <v>101</v>
      </c>
      <c r="E7" s="48" t="s">
        <v>102</v>
      </c>
      <c r="F7" s="29"/>
      <c r="G7" s="49"/>
      <c r="H7" s="49"/>
      <c r="I7" s="49"/>
      <c r="J7" s="49"/>
      <c r="M7" s="50" t="s">
        <v>103</v>
      </c>
    </row>
    <row r="8" spans="1:13" x14ac:dyDescent="0.25">
      <c r="B8" s="44" t="s">
        <v>104</v>
      </c>
      <c r="C8" s="51" t="s">
        <v>105</v>
      </c>
      <c r="F8" s="52"/>
      <c r="G8" s="52"/>
      <c r="H8" s="52"/>
      <c r="I8" s="53"/>
      <c r="J8" s="53"/>
      <c r="M8" s="54"/>
    </row>
    <row r="9" spans="1:13" x14ac:dyDescent="0.25">
      <c r="A9" s="55">
        <f>ROW()</f>
        <v>9</v>
      </c>
      <c r="B9" s="56" t="s">
        <v>106</v>
      </c>
      <c r="C9" s="57" t="s">
        <v>107</v>
      </c>
      <c r="D9" s="58"/>
      <c r="E9" s="59" t="s">
        <v>108</v>
      </c>
      <c r="F9" s="60"/>
      <c r="G9" s="60"/>
      <c r="H9" s="60"/>
      <c r="I9" s="61"/>
      <c r="J9" s="61"/>
      <c r="M9" s="54"/>
    </row>
    <row r="10" spans="1:13" x14ac:dyDescent="0.25">
      <c r="A10" s="55">
        <f>ROW()</f>
        <v>10</v>
      </c>
      <c r="B10" s="62" t="s">
        <v>109</v>
      </c>
      <c r="C10" s="58" t="s">
        <v>107</v>
      </c>
      <c r="D10" s="58"/>
      <c r="E10" s="63"/>
      <c r="F10" s="64"/>
      <c r="G10" s="64"/>
      <c r="H10" s="64"/>
      <c r="I10" s="65"/>
      <c r="J10" s="65"/>
      <c r="M10" s="54" t="s">
        <v>110</v>
      </c>
    </row>
    <row r="11" spans="1:13" x14ac:dyDescent="0.25">
      <c r="A11" s="55">
        <f>ROW()</f>
        <v>11</v>
      </c>
      <c r="B11" s="62" t="s">
        <v>111</v>
      </c>
      <c r="C11" s="58" t="s">
        <v>107</v>
      </c>
      <c r="D11" s="58"/>
      <c r="E11" s="66"/>
      <c r="G11" s="64"/>
      <c r="H11" s="64"/>
      <c r="I11" s="65"/>
      <c r="J11" s="65"/>
      <c r="M11" s="54"/>
    </row>
    <row r="12" spans="1:13" x14ac:dyDescent="0.25">
      <c r="A12" s="55">
        <f>ROW()</f>
        <v>12</v>
      </c>
      <c r="B12" s="62" t="s">
        <v>112</v>
      </c>
      <c r="C12" s="57" t="s">
        <v>107</v>
      </c>
      <c r="D12" s="58"/>
      <c r="E12" s="63" t="s">
        <v>113</v>
      </c>
      <c r="F12" s="64"/>
      <c r="G12" s="64"/>
      <c r="H12" s="64"/>
      <c r="I12" s="65"/>
      <c r="J12" s="65"/>
      <c r="M12" s="54"/>
    </row>
    <row r="13" spans="1:13" x14ac:dyDescent="0.25">
      <c r="A13" s="55">
        <f>ROW()</f>
        <v>13</v>
      </c>
      <c r="B13" s="62" t="s">
        <v>114</v>
      </c>
      <c r="C13" s="57" t="s">
        <v>107</v>
      </c>
      <c r="D13" s="58"/>
      <c r="E13" s="66"/>
      <c r="F13" s="64"/>
      <c r="G13" s="64"/>
      <c r="H13" s="64"/>
      <c r="I13" s="65"/>
      <c r="J13" s="65"/>
      <c r="M13" s="54"/>
    </row>
    <row r="14" spans="1:13" x14ac:dyDescent="0.25">
      <c r="A14" s="55">
        <f>ROW()</f>
        <v>14</v>
      </c>
      <c r="B14" s="62" t="s">
        <v>115</v>
      </c>
      <c r="C14" s="57" t="s">
        <v>107</v>
      </c>
      <c r="D14" s="58"/>
      <c r="E14" s="63" t="s">
        <v>116</v>
      </c>
      <c r="F14" s="64"/>
      <c r="G14" s="64"/>
      <c r="H14" s="64"/>
      <c r="I14" s="65"/>
      <c r="J14" s="65"/>
      <c r="M14" s="54"/>
    </row>
    <row r="15" spans="1:13" x14ac:dyDescent="0.25">
      <c r="A15" s="55">
        <f>ROW()</f>
        <v>15</v>
      </c>
      <c r="B15" s="62" t="s">
        <v>117</v>
      </c>
      <c r="C15" s="58" t="s">
        <v>107</v>
      </c>
      <c r="D15" s="58"/>
      <c r="E15" s="63" t="s">
        <v>118</v>
      </c>
      <c r="F15" s="64"/>
      <c r="G15" s="64"/>
      <c r="H15" s="64"/>
      <c r="I15" s="65"/>
      <c r="J15" s="65"/>
      <c r="M15" s="54"/>
    </row>
    <row r="16" spans="1:13" x14ac:dyDescent="0.25">
      <c r="A16" s="55">
        <f>ROW()</f>
        <v>16</v>
      </c>
      <c r="B16" s="62" t="s">
        <v>119</v>
      </c>
      <c r="C16" s="57" t="s">
        <v>107</v>
      </c>
      <c r="D16" s="58"/>
      <c r="E16" s="63" t="s">
        <v>120</v>
      </c>
      <c r="F16" s="64"/>
      <c r="G16" s="64"/>
      <c r="H16" s="64"/>
      <c r="I16" s="65"/>
      <c r="J16" s="65"/>
      <c r="M16" s="54"/>
    </row>
    <row r="17" spans="1:13" x14ac:dyDescent="0.25">
      <c r="A17" s="55">
        <f>ROW()</f>
        <v>17</v>
      </c>
      <c r="B17" s="62" t="s">
        <v>121</v>
      </c>
      <c r="C17" s="58" t="s">
        <v>107</v>
      </c>
      <c r="D17" s="58"/>
      <c r="E17" s="63" t="s">
        <v>122</v>
      </c>
      <c r="M17" s="54"/>
    </row>
    <row r="18" spans="1:13" x14ac:dyDescent="0.25">
      <c r="A18" s="55">
        <f>ROW()</f>
        <v>18</v>
      </c>
      <c r="B18" s="62" t="s">
        <v>123</v>
      </c>
      <c r="C18" s="57" t="s">
        <v>107</v>
      </c>
      <c r="D18" s="58"/>
      <c r="E18" s="63" t="s">
        <v>124</v>
      </c>
      <c r="F18" s="64"/>
      <c r="G18" s="64"/>
      <c r="H18" s="64"/>
      <c r="I18" s="65"/>
      <c r="J18" s="65"/>
      <c r="M18" s="54"/>
    </row>
    <row r="19" spans="1:13" x14ac:dyDescent="0.25">
      <c r="A19" s="55">
        <f>ROW()</f>
        <v>19</v>
      </c>
      <c r="B19" s="62" t="s">
        <v>125</v>
      </c>
      <c r="C19" s="58" t="s">
        <v>107</v>
      </c>
      <c r="D19" s="58"/>
      <c r="E19" s="63" t="s">
        <v>126</v>
      </c>
      <c r="F19" s="64"/>
      <c r="G19" s="64"/>
      <c r="H19" s="64"/>
      <c r="I19" s="65"/>
      <c r="J19" s="65"/>
      <c r="M19" s="54"/>
    </row>
    <row r="20" spans="1:13" ht="31.5" x14ac:dyDescent="0.25">
      <c r="A20" s="55">
        <f>ROW()</f>
        <v>20</v>
      </c>
      <c r="B20" s="67" t="s">
        <v>127</v>
      </c>
      <c r="C20" s="58" t="s">
        <v>107</v>
      </c>
      <c r="D20" s="58"/>
      <c r="E20" s="63" t="s">
        <v>128</v>
      </c>
      <c r="F20" s="64"/>
      <c r="G20" s="64"/>
      <c r="H20" s="64"/>
      <c r="I20" s="65"/>
      <c r="J20" s="65"/>
      <c r="M20" s="54"/>
    </row>
    <row r="21" spans="1:13" x14ac:dyDescent="0.25">
      <c r="A21" s="55">
        <f>ROW()</f>
        <v>21</v>
      </c>
      <c r="B21" s="62" t="s">
        <v>129</v>
      </c>
      <c r="C21" s="57" t="s">
        <v>107</v>
      </c>
      <c r="D21" s="58"/>
      <c r="E21" s="68" t="s">
        <v>130</v>
      </c>
      <c r="M21" s="54"/>
    </row>
    <row r="22" spans="1:13" x14ac:dyDescent="0.25">
      <c r="A22" s="55">
        <f>ROW()</f>
        <v>22</v>
      </c>
      <c r="B22" s="62" t="s">
        <v>131</v>
      </c>
      <c r="C22" s="58" t="s">
        <v>107</v>
      </c>
      <c r="D22" s="58"/>
      <c r="E22" s="68" t="s">
        <v>132</v>
      </c>
      <c r="F22" s="64"/>
      <c r="G22" s="64"/>
      <c r="H22" s="64"/>
      <c r="I22" s="65"/>
      <c r="J22" s="65"/>
      <c r="M22" s="54"/>
    </row>
    <row r="23" spans="1:13" x14ac:dyDescent="0.25">
      <c r="A23" s="55">
        <f>ROW()</f>
        <v>23</v>
      </c>
      <c r="B23" s="62" t="s">
        <v>133</v>
      </c>
      <c r="C23" s="57" t="s">
        <v>107</v>
      </c>
      <c r="D23" s="58"/>
      <c r="E23" s="1601" t="s">
        <v>134</v>
      </c>
      <c r="F23" s="1602"/>
      <c r="G23" s="1602"/>
      <c r="H23" s="1602"/>
      <c r="I23" s="1602"/>
      <c r="J23" s="1602"/>
      <c r="M23" s="54"/>
    </row>
    <row r="24" spans="1:13" x14ac:dyDescent="0.25">
      <c r="A24" s="55">
        <f>ROW()</f>
        <v>24</v>
      </c>
      <c r="B24" s="62" t="s">
        <v>135</v>
      </c>
      <c r="C24" s="69" t="s">
        <v>136</v>
      </c>
      <c r="D24" s="69" t="s">
        <v>136</v>
      </c>
      <c r="E24" s="68" t="s">
        <v>137</v>
      </c>
      <c r="F24" s="64"/>
      <c r="G24" s="64"/>
      <c r="H24" s="64"/>
      <c r="I24" s="65"/>
      <c r="J24" s="65"/>
      <c r="M24" s="54"/>
    </row>
    <row r="25" spans="1:13" x14ac:dyDescent="0.25">
      <c r="A25" s="55">
        <f>ROW()</f>
        <v>25</v>
      </c>
      <c r="B25" s="62" t="s">
        <v>138</v>
      </c>
      <c r="C25" s="69" t="s">
        <v>136</v>
      </c>
      <c r="D25" s="69" t="s">
        <v>136</v>
      </c>
      <c r="E25" s="68" t="s">
        <v>139</v>
      </c>
      <c r="F25" s="64"/>
      <c r="G25" s="64"/>
      <c r="H25" s="64"/>
      <c r="I25" s="65"/>
      <c r="J25" s="65"/>
      <c r="M25" s="54"/>
    </row>
    <row r="26" spans="1:13" x14ac:dyDescent="0.25">
      <c r="A26" s="55">
        <f>ROW()</f>
        <v>26</v>
      </c>
      <c r="B26" s="62" t="s">
        <v>140</v>
      </c>
      <c r="C26" s="69" t="s">
        <v>136</v>
      </c>
      <c r="D26" s="69" t="s">
        <v>136</v>
      </c>
      <c r="E26" s="70" t="s">
        <v>141</v>
      </c>
      <c r="F26" s="42"/>
      <c r="G26" s="42"/>
      <c r="H26" s="42"/>
      <c r="M26" s="54"/>
    </row>
    <row r="27" spans="1:13" x14ac:dyDescent="0.25">
      <c r="A27" s="55">
        <f>ROW()</f>
        <v>27</v>
      </c>
      <c r="B27" s="71" t="s">
        <v>66</v>
      </c>
      <c r="C27" s="69" t="s">
        <v>136</v>
      </c>
      <c r="D27" s="69" t="s">
        <v>136</v>
      </c>
      <c r="E27" s="70" t="s">
        <v>142</v>
      </c>
      <c r="F27" s="42"/>
      <c r="G27" s="42"/>
      <c r="H27" s="42"/>
      <c r="M27" s="54"/>
    </row>
    <row r="28" spans="1:13" x14ac:dyDescent="0.25">
      <c r="A28" s="55">
        <f>ROW()</f>
        <v>28</v>
      </c>
      <c r="B28" s="72" t="s">
        <v>143</v>
      </c>
      <c r="C28" s="58"/>
      <c r="D28" s="58"/>
      <c r="E28" s="70" t="s">
        <v>144</v>
      </c>
    </row>
    <row r="29" spans="1:13" x14ac:dyDescent="0.25">
      <c r="A29" s="55">
        <f>ROW()</f>
        <v>29</v>
      </c>
    </row>
    <row r="30" spans="1:13" x14ac:dyDescent="0.25">
      <c r="A30" s="55">
        <f>ROW()</f>
        <v>30</v>
      </c>
      <c r="B30" s="38" t="s">
        <v>92</v>
      </c>
      <c r="C30"/>
      <c r="D30"/>
    </row>
    <row r="31" spans="1:13" x14ac:dyDescent="0.25">
      <c r="A31" s="55">
        <f>ROW()</f>
        <v>31</v>
      </c>
      <c r="B31" s="39" t="s">
        <v>1403</v>
      </c>
      <c r="C31" s="40" t="s">
        <v>145</v>
      </c>
      <c r="D31"/>
    </row>
    <row r="32" spans="1:13" x14ac:dyDescent="0.25">
      <c r="A32" s="55">
        <f>ROW()</f>
        <v>32</v>
      </c>
      <c r="B32" s="41"/>
      <c r="C32" s="37" t="s">
        <v>146</v>
      </c>
      <c r="D32"/>
    </row>
    <row r="33" spans="1:4" x14ac:dyDescent="0.25">
      <c r="A33" s="55">
        <f>ROW()</f>
        <v>33</v>
      </c>
      <c r="B33" s="39" t="s">
        <v>1404</v>
      </c>
      <c r="C33" s="42" t="s">
        <v>95</v>
      </c>
      <c r="D33"/>
    </row>
    <row r="34" spans="1:4" x14ac:dyDescent="0.25">
      <c r="A34" s="55">
        <f>ROW()</f>
        <v>34</v>
      </c>
      <c r="B34" s="41"/>
      <c r="C34"/>
      <c r="D34"/>
    </row>
    <row r="35" spans="1:4" x14ac:dyDescent="0.25">
      <c r="A35" s="55">
        <f>ROW()</f>
        <v>35</v>
      </c>
      <c r="B35" s="39" t="s">
        <v>1404</v>
      </c>
      <c r="C35" s="42" t="s">
        <v>96</v>
      </c>
      <c r="D35"/>
    </row>
    <row r="37" spans="1:4" x14ac:dyDescent="0.25">
      <c r="B37" s="73"/>
    </row>
  </sheetData>
  <mergeCells count="1">
    <mergeCell ref="E23:J23"/>
  </mergeCells>
  <conditionalFormatting sqref="C31">
    <cfRule type="cellIs" dxfId="64" priority="1" stopIfTrue="1" operator="equal">
      <formula>0</formula>
    </cfRule>
  </conditionalFormatting>
  <conditionalFormatting sqref="C24:D27">
    <cfRule type="cellIs" dxfId="63" priority="2" stopIfTrue="1" operator="equal">
      <formula>0</formula>
    </cfRule>
  </conditionalFormatting>
  <hyperlinks>
    <hyperlink ref="B9" location="HypLink2" display="HypLink2" xr:uid="{32F4A0D2-C099-4E2C-84CF-2BFAAF14DB48}"/>
    <hyperlink ref="B10" location="HypLink3" display="HypLink3" xr:uid="{DCCFFFCF-A795-4347-BD21-E2D6894F88FA}"/>
    <hyperlink ref="B11" location="HypLink4" display="HypLink4" xr:uid="{0DD83D7E-DA71-4624-9A5A-E1F2E24D903A}"/>
    <hyperlink ref="B12" location="HypLink5" display="HypLink5" xr:uid="{84B02F16-3DD2-452C-975A-3E4BF8AE058E}"/>
    <hyperlink ref="B13" location="HypLink6" display="HypLink6" xr:uid="{CFA33C05-BA27-4103-8ABD-9003EDBB671C}"/>
    <hyperlink ref="B14" location="HypLink7" display="HypLink7" xr:uid="{56597610-2293-43A7-AA0D-9D66D2B465C7}"/>
    <hyperlink ref="B15" location="HypLink8" display="HypLink8" xr:uid="{9F031E3B-54D0-4464-A005-0CEB29A2100E}"/>
    <hyperlink ref="B16" location="HypLink10" display="HypLink10" xr:uid="{1B23D095-EB7C-4349-9AD9-16876E12D231}"/>
    <hyperlink ref="B17" location="HypLink11" display="HypLink11" xr:uid="{EB161FAA-0DD5-440D-AC34-DD0D03A8499E}"/>
    <hyperlink ref="B18" location="HypLink12" display="HypLink12" xr:uid="{B48F27A0-40B1-402F-9ED2-6A287BB3DAE4}"/>
    <hyperlink ref="B19" location="HypLink13" display="HypLink13" xr:uid="{E7892E5C-15A8-4EA8-9FDB-487890018186}"/>
    <hyperlink ref="B20" location="HypLink14" display="HypLink14" xr:uid="{23EA83F9-982F-4576-93A4-EC3C2FE0AD31}"/>
    <hyperlink ref="B21" location="HypLink15" display="HypLink15" xr:uid="{D8421E65-8069-4756-90A6-BE4FD869DBB7}"/>
    <hyperlink ref="B22" location="HypLink16" display="HypLink16" xr:uid="{23BD4C89-9190-4C59-A91F-FCE943D56027}"/>
    <hyperlink ref="B23" location="HypLink17" display="HypLink17" xr:uid="{C52B98E6-F846-4F89-B0E3-9981F0507497}"/>
    <hyperlink ref="B24" location="HypLink18" display="HypLink18" xr:uid="{7DA797F9-D51B-47C1-B1D6-DC31A2928613}"/>
    <hyperlink ref="B25" location="HypLink19" display="HypLink19" xr:uid="{9807F2F0-CE28-4B2B-A8CE-124DC2155A08}"/>
    <hyperlink ref="B26" location="HypLink25" display="HypLink25" xr:uid="{6C31A852-FF5E-4B34-9A64-55975E7F8597}"/>
    <hyperlink ref="B27" location="HypLink26" display="HypLink26" xr:uid="{1B4DC418-CFCB-415E-91C5-B321AD58594F}"/>
  </hyperlinks>
  <pageMargins left="0.7" right="0.7" top="0.75" bottom="0.75" header="0.3" footer="0.3"/>
  <pageSetup paperSize="119"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BEEF3-7EE8-46B1-BD27-AF7E336F11BE}">
  <sheetPr>
    <pageSetUpPr fitToPage="1"/>
  </sheetPr>
  <dimension ref="A1:U206"/>
  <sheetViews>
    <sheetView workbookViewId="0">
      <selection activeCell="F45" sqref="F45"/>
    </sheetView>
  </sheetViews>
  <sheetFormatPr defaultRowHeight="15" outlineLevelCol="1" x14ac:dyDescent="0.25"/>
  <cols>
    <col min="1" max="1" width="4.7109375" style="42" customWidth="1"/>
    <col min="2" max="2" width="32.7109375" style="42" customWidth="1"/>
    <col min="3" max="3" width="16.7109375" style="42" bestFit="1" customWidth="1"/>
    <col min="4" max="4" width="14.5703125" style="42" bestFit="1" customWidth="1"/>
    <col min="5" max="5" width="10.5703125" style="42" bestFit="1" customWidth="1"/>
    <col min="6" max="6" width="13.7109375" style="42" customWidth="1"/>
    <col min="7" max="8" width="14" style="42" bestFit="1" customWidth="1"/>
    <col min="9" max="12" width="14.5703125" style="42" bestFit="1" customWidth="1"/>
    <col min="13" max="13" width="2.5703125" style="42" customWidth="1"/>
    <col min="14" max="14" width="5.42578125" style="42" hidden="1" customWidth="1" outlineLevel="1"/>
    <col min="15" max="15" width="55.5703125" style="78" hidden="1" customWidth="1" outlineLevel="1"/>
    <col min="16" max="16" width="4.42578125" style="42" customWidth="1" collapsed="1"/>
    <col min="17" max="17" width="55.5703125" style="78" customWidth="1" outlineLevel="1"/>
    <col min="18" max="18" width="9.28515625" style="42" customWidth="1"/>
    <col min="19" max="19" width="10.5703125" style="42" bestFit="1" customWidth="1"/>
    <col min="20" max="20" width="41.7109375" bestFit="1" customWidth="1"/>
    <col min="21" max="21" width="14.28515625" style="1530" bestFit="1" customWidth="1"/>
  </cols>
  <sheetData>
    <row r="1" spans="1:19" ht="18.75" x14ac:dyDescent="0.3">
      <c r="A1" s="74" t="s">
        <v>112</v>
      </c>
      <c r="B1" s="75"/>
      <c r="C1" s="76"/>
      <c r="D1" s="76"/>
      <c r="E1" s="22" t="s">
        <v>3</v>
      </c>
      <c r="K1" s="77"/>
      <c r="L1" s="22"/>
      <c r="P1" s="42" t="s">
        <v>147</v>
      </c>
      <c r="S1" s="79"/>
    </row>
    <row r="2" spans="1:19" ht="15.75" x14ac:dyDescent="0.25">
      <c r="A2" s="80" t="str">
        <f>SchoolName</f>
        <v>Odyssey Charter School</v>
      </c>
      <c r="B2" s="81"/>
      <c r="C2" s="38"/>
      <c r="D2" s="38"/>
      <c r="G2" s="38"/>
      <c r="P2" s="42" t="s">
        <v>147</v>
      </c>
    </row>
    <row r="3" spans="1:19" x14ac:dyDescent="0.25">
      <c r="A3" s="82" t="s">
        <v>2</v>
      </c>
      <c r="P3" s="42" t="s">
        <v>147</v>
      </c>
    </row>
    <row r="4" spans="1:19" x14ac:dyDescent="0.25">
      <c r="A4" s="83" t="str">
        <f ca="1">CELL("filename")</f>
        <v>\\lvraiders\users\sguthrie\Documents\Charter\Change of Sponsorship\[240126-SPCSA-Odyssey Charter School Application Workbook-Modified-Version (1).xlsx]Instructions</v>
      </c>
      <c r="P4" s="42" t="s">
        <v>147</v>
      </c>
    </row>
    <row r="5" spans="1:19" x14ac:dyDescent="0.25">
      <c r="P5" s="42" t="s">
        <v>147</v>
      </c>
    </row>
    <row r="6" spans="1:19" x14ac:dyDescent="0.25">
      <c r="B6" s="38"/>
      <c r="C6" s="84"/>
      <c r="D6" s="84"/>
      <c r="E6" s="84"/>
      <c r="F6" s="85">
        <f>' Enrol &amp; Rev'!F9</f>
        <v>0</v>
      </c>
      <c r="G6" s="86">
        <f>' Enrol &amp; Rev'!G9</f>
        <v>1</v>
      </c>
      <c r="H6" s="86">
        <f>' Enrol &amp; Rev'!H9</f>
        <v>2</v>
      </c>
      <c r="I6" s="86">
        <f>' Enrol &amp; Rev'!I9</f>
        <v>3</v>
      </c>
      <c r="J6" s="86">
        <f>' Enrol &amp; Rev'!J9</f>
        <v>4</v>
      </c>
      <c r="K6" s="86">
        <f>' Enrol &amp; Rev'!K9</f>
        <v>5</v>
      </c>
      <c r="L6" s="87">
        <f>' Enrol &amp; Rev'!L9</f>
        <v>6</v>
      </c>
      <c r="P6" s="42" t="s">
        <v>147</v>
      </c>
    </row>
    <row r="7" spans="1:19" x14ac:dyDescent="0.25">
      <c r="B7" s="38"/>
      <c r="C7" s="84" t="s">
        <v>148</v>
      </c>
      <c r="D7" s="84"/>
      <c r="E7" s="84"/>
      <c r="F7" s="88">
        <f>' Enrol &amp; Rev'!F10</f>
        <v>2024</v>
      </c>
      <c r="G7" s="89">
        <f>' Enrol &amp; Rev'!G10</f>
        <v>2025</v>
      </c>
      <c r="H7" s="90">
        <f>' Enrol &amp; Rev'!H10</f>
        <v>2026</v>
      </c>
      <c r="I7" s="90">
        <f>' Enrol &amp; Rev'!I10</f>
        <v>2027</v>
      </c>
      <c r="J7" s="90">
        <f>' Enrol &amp; Rev'!J10</f>
        <v>2028</v>
      </c>
      <c r="K7" s="90">
        <f>' Enrol &amp; Rev'!K10</f>
        <v>2029</v>
      </c>
      <c r="L7" s="91">
        <f>' Enrol &amp; Rev'!L10</f>
        <v>2030</v>
      </c>
      <c r="P7" s="42" t="s">
        <v>147</v>
      </c>
      <c r="Q7" s="92"/>
    </row>
    <row r="8" spans="1:19" x14ac:dyDescent="0.25">
      <c r="B8" s="28" t="s">
        <v>149</v>
      </c>
      <c r="C8" s="35"/>
      <c r="D8" s="35"/>
      <c r="E8" s="35"/>
      <c r="F8" s="93">
        <f>' Enrol &amp; Rev'!F11</f>
        <v>2025</v>
      </c>
      <c r="G8" s="93">
        <f>' Enrol &amp; Rev'!G11</f>
        <v>2026</v>
      </c>
      <c r="H8" s="93">
        <f>' Enrol &amp; Rev'!H11</f>
        <v>2027</v>
      </c>
      <c r="I8" s="93">
        <f>' Enrol &amp; Rev'!I11</f>
        <v>2028</v>
      </c>
      <c r="J8" s="93">
        <f>' Enrol &amp; Rev'!J11</f>
        <v>2029</v>
      </c>
      <c r="K8" s="93">
        <f>' Enrol &amp; Rev'!K11</f>
        <v>2030</v>
      </c>
      <c r="L8" s="94">
        <f>' Enrol &amp; Rev'!L11</f>
        <v>2031</v>
      </c>
      <c r="O8" s="50" t="s">
        <v>103</v>
      </c>
      <c r="P8" s="42" t="s">
        <v>147</v>
      </c>
      <c r="Q8" s="95" t="s">
        <v>150</v>
      </c>
    </row>
    <row r="9" spans="1:19" x14ac:dyDescent="0.25">
      <c r="A9" s="96">
        <f>ROW()</f>
        <v>9</v>
      </c>
      <c r="B9" s="97" t="s">
        <v>151</v>
      </c>
      <c r="C9" s="98">
        <f>MAX(F9:L9)</f>
        <v>2320.02</v>
      </c>
      <c r="D9" s="99"/>
      <c r="E9" s="84"/>
      <c r="F9" s="100">
        <f>+Statistics!F20</f>
        <v>2320.02</v>
      </c>
      <c r="G9" s="100">
        <f>+Statistics!G20</f>
        <v>2320.02</v>
      </c>
      <c r="H9" s="100">
        <f>+Statistics!H20</f>
        <v>2320.02</v>
      </c>
      <c r="I9" s="100">
        <f>+Statistics!I20</f>
        <v>2320.02</v>
      </c>
      <c r="J9" s="100">
        <f>+Statistics!J20</f>
        <v>2320.02</v>
      </c>
      <c r="K9" s="100">
        <f>+Statistics!K20</f>
        <v>2320.02</v>
      </c>
      <c r="L9" s="100">
        <f>+Statistics!L20</f>
        <v>2320.02</v>
      </c>
      <c r="M9" s="84"/>
      <c r="O9" s="101"/>
      <c r="P9" s="42" t="s">
        <v>147</v>
      </c>
      <c r="Q9" s="101"/>
    </row>
    <row r="10" spans="1:19" x14ac:dyDescent="0.25">
      <c r="A10" s="96">
        <f>ROW()</f>
        <v>10</v>
      </c>
      <c r="B10" s="102" t="s">
        <v>152</v>
      </c>
      <c r="C10" s="98">
        <f>MAX(F10:L10)</f>
        <v>123</v>
      </c>
      <c r="D10" s="99"/>
      <c r="E10" s="84"/>
      <c r="F10" s="103">
        <f>+Statistics!F21</f>
        <v>123</v>
      </c>
      <c r="G10" s="103">
        <f>+Statistics!G21</f>
        <v>123</v>
      </c>
      <c r="H10" s="103">
        <f>+Statistics!H21</f>
        <v>123</v>
      </c>
      <c r="I10" s="103">
        <f>+Statistics!I21</f>
        <v>123</v>
      </c>
      <c r="J10" s="103">
        <f>+Statistics!J21</f>
        <v>123</v>
      </c>
      <c r="K10" s="103">
        <f>+Statistics!K21</f>
        <v>123</v>
      </c>
      <c r="L10" s="103">
        <f>+Statistics!L21</f>
        <v>123</v>
      </c>
      <c r="M10" s="84"/>
      <c r="O10" s="104"/>
      <c r="P10" s="42" t="s">
        <v>147</v>
      </c>
      <c r="Q10" s="104"/>
    </row>
    <row r="11" spans="1:19" x14ac:dyDescent="0.25">
      <c r="A11" s="96">
        <f>ROW()</f>
        <v>11</v>
      </c>
      <c r="B11" s="102" t="s">
        <v>153</v>
      </c>
      <c r="C11" s="98"/>
      <c r="D11" s="99"/>
      <c r="E11" s="84"/>
      <c r="F11" s="100">
        <f>+Facilities!F11</f>
        <v>47424</v>
      </c>
      <c r="G11" s="100">
        <f>+Facilities!G11</f>
        <v>47424</v>
      </c>
      <c r="H11" s="100">
        <f>+Facilities!H11</f>
        <v>47424</v>
      </c>
      <c r="I11" s="100">
        <f>+Facilities!I11</f>
        <v>47424</v>
      </c>
      <c r="J11" s="100">
        <f>+Facilities!J11</f>
        <v>47424</v>
      </c>
      <c r="K11" s="100">
        <f>+Facilities!K11</f>
        <v>47424</v>
      </c>
      <c r="L11" s="100">
        <f>+Facilities!L11</f>
        <v>47424</v>
      </c>
      <c r="M11" s="84"/>
      <c r="O11" s="105" t="s">
        <v>154</v>
      </c>
      <c r="Q11" s="105"/>
    </row>
    <row r="12" spans="1:19" x14ac:dyDescent="0.25">
      <c r="A12" s="96">
        <f>ROW()</f>
        <v>12</v>
      </c>
      <c r="B12" s="102" t="s">
        <v>155</v>
      </c>
      <c r="C12" s="98"/>
      <c r="D12" s="99"/>
      <c r="E12" s="84"/>
      <c r="F12" s="100">
        <f>IFERROR(F11/F9,0)</f>
        <v>20.441203093076783</v>
      </c>
      <c r="G12" s="106">
        <f t="shared" ref="G12:L12" si="0">IFERROR(G11/G9,0)</f>
        <v>20.441203093076783</v>
      </c>
      <c r="H12" s="106">
        <f t="shared" si="0"/>
        <v>20.441203093076783</v>
      </c>
      <c r="I12" s="106">
        <f t="shared" si="0"/>
        <v>20.441203093076783</v>
      </c>
      <c r="J12" s="106">
        <f t="shared" si="0"/>
        <v>20.441203093076783</v>
      </c>
      <c r="K12" s="106">
        <f t="shared" si="0"/>
        <v>20.441203093076783</v>
      </c>
      <c r="L12" s="106">
        <f t="shared" si="0"/>
        <v>20.441203093076783</v>
      </c>
      <c r="M12" s="84"/>
      <c r="O12" s="104"/>
      <c r="P12" s="42" t="s">
        <v>147</v>
      </c>
      <c r="Q12" s="104"/>
    </row>
    <row r="13" spans="1:19" x14ac:dyDescent="0.25">
      <c r="A13" s="96">
        <f>ROW()</f>
        <v>13</v>
      </c>
      <c r="B13" s="102"/>
      <c r="C13" s="98"/>
      <c r="D13" s="99"/>
      <c r="E13" s="84"/>
      <c r="F13" s="100"/>
      <c r="G13" s="100"/>
      <c r="H13" s="100"/>
      <c r="I13" s="100"/>
      <c r="J13" s="100"/>
      <c r="K13" s="100"/>
      <c r="L13" s="100"/>
      <c r="M13" s="84"/>
      <c r="O13" s="104"/>
      <c r="Q13" s="104"/>
    </row>
    <row r="14" spans="1:19" ht="18" x14ac:dyDescent="0.25">
      <c r="A14" s="96">
        <f>ROW()</f>
        <v>14</v>
      </c>
      <c r="B14" s="107" t="s">
        <v>156</v>
      </c>
      <c r="C14" s="1545" t="s">
        <v>157</v>
      </c>
      <c r="D14" s="1545" t="s">
        <v>158</v>
      </c>
      <c r="E14" s="1546" t="s">
        <v>159</v>
      </c>
      <c r="F14" s="108">
        <f t="shared" ref="F14:L14" si="1">+F6</f>
        <v>0</v>
      </c>
      <c r="G14" s="108">
        <f t="shared" si="1"/>
        <v>1</v>
      </c>
      <c r="H14" s="108">
        <f t="shared" si="1"/>
        <v>2</v>
      </c>
      <c r="I14" s="108">
        <f t="shared" si="1"/>
        <v>3</v>
      </c>
      <c r="J14" s="108">
        <f t="shared" si="1"/>
        <v>4</v>
      </c>
      <c r="K14" s="108">
        <f t="shared" si="1"/>
        <v>5</v>
      </c>
      <c r="L14" s="108">
        <f t="shared" si="1"/>
        <v>6</v>
      </c>
      <c r="M14" s="109"/>
      <c r="O14" s="104"/>
      <c r="P14" s="42" t="s">
        <v>147</v>
      </c>
      <c r="Q14" s="104"/>
    </row>
    <row r="15" spans="1:19" x14ac:dyDescent="0.25">
      <c r="A15" s="96">
        <f>ROW()</f>
        <v>15</v>
      </c>
      <c r="B15" s="1526" t="s">
        <v>1398</v>
      </c>
      <c r="C15" s="1547">
        <f t="shared" ref="C15:C34" si="2">SUM(F15:L15)</f>
        <v>155840785.98007232</v>
      </c>
      <c r="D15" s="1547">
        <f t="shared" ref="D15:D34" si="3">AVERAGE(G15:L15)</f>
        <v>22262983.300012056</v>
      </c>
      <c r="E15" s="1548">
        <f t="shared" ref="E15:E35" si="4">IFERROR(+D15/$D$35,0)</f>
        <v>0.80976367222017986</v>
      </c>
      <c r="F15" s="112">
        <f>+' Enrol &amp; Rev'!F119-' Enrol &amp; Rev'!F116</f>
        <v>22262886.18</v>
      </c>
      <c r="G15" s="112">
        <f>+' Enrol &amp; Rev'!G119-' Enrol &amp; Rev'!G116</f>
        <v>22262886.18</v>
      </c>
      <c r="H15" s="112">
        <f>+' Enrol &amp; Rev'!H119-' Enrol &amp; Rev'!H116</f>
        <v>22263002.724014468</v>
      </c>
      <c r="I15" s="112">
        <f>+' Enrol &amp; Rev'!I119-' Enrol &amp; Rev'!I116</f>
        <v>22263002.724014468</v>
      </c>
      <c r="J15" s="112">
        <f>+' Enrol &amp; Rev'!J119-' Enrol &amp; Rev'!J116</f>
        <v>22263002.724014468</v>
      </c>
      <c r="K15" s="112">
        <f>+' Enrol &amp; Rev'!K119-' Enrol &amp; Rev'!K116</f>
        <v>22263002.724014468</v>
      </c>
      <c r="L15" s="112">
        <f>+' Enrol &amp; Rev'!L119-' Enrol &amp; Rev'!L116</f>
        <v>22263002.724014468</v>
      </c>
      <c r="M15" s="113"/>
      <c r="O15" s="104"/>
      <c r="P15" s="42" t="s">
        <v>147</v>
      </c>
      <c r="Q15" s="1536" t="s">
        <v>1397</v>
      </c>
    </row>
    <row r="16" spans="1:19" x14ac:dyDescent="0.25">
      <c r="A16" s="96">
        <f>ROW()</f>
        <v>16</v>
      </c>
      <c r="B16" s="1519" t="s">
        <v>1391</v>
      </c>
      <c r="C16" s="1549">
        <f t="shared" si="2"/>
        <v>-1758173.7965400002</v>
      </c>
      <c r="D16" s="1549">
        <f t="shared" si="3"/>
        <v>-251167.68522000001</v>
      </c>
      <c r="E16" s="1550">
        <f t="shared" si="4"/>
        <v>-9.1356339977436557E-3</v>
      </c>
      <c r="F16" s="117">
        <f>+' Enrol &amp; Rev'!F120</f>
        <v>-251167.68522000001</v>
      </c>
      <c r="G16" s="117">
        <f>+' Enrol &amp; Rev'!G120</f>
        <v>-251167.68522000001</v>
      </c>
      <c r="H16" s="117">
        <f>+' Enrol &amp; Rev'!H120</f>
        <v>-251167.68522000001</v>
      </c>
      <c r="I16" s="117">
        <f>+' Enrol &amp; Rev'!I120</f>
        <v>-251167.68522000001</v>
      </c>
      <c r="J16" s="117">
        <f>+' Enrol &amp; Rev'!J120</f>
        <v>-251167.68522000001</v>
      </c>
      <c r="K16" s="117">
        <f>+' Enrol &amp; Rev'!K120</f>
        <v>-251167.68522000001</v>
      </c>
      <c r="L16" s="117">
        <f>+' Enrol &amp; Rev'!L120</f>
        <v>-251167.68522000001</v>
      </c>
      <c r="M16" s="115"/>
      <c r="O16" s="104"/>
      <c r="P16" s="42" t="s">
        <v>147</v>
      </c>
      <c r="Q16" s="104"/>
    </row>
    <row r="17" spans="1:21" hidden="1" x14ac:dyDescent="0.25">
      <c r="A17" s="96">
        <f>ROW()</f>
        <v>17</v>
      </c>
      <c r="C17" s="1549">
        <f t="shared" si="2"/>
        <v>0</v>
      </c>
      <c r="D17" s="1549">
        <f t="shared" si="3"/>
        <v>0</v>
      </c>
      <c r="E17" s="1548">
        <f t="shared" si="4"/>
        <v>0</v>
      </c>
      <c r="F17" s="117">
        <f>' Enrol &amp; Rev'!F125</f>
        <v>0</v>
      </c>
      <c r="G17" s="117">
        <f>' Enrol &amp; Rev'!G125</f>
        <v>0</v>
      </c>
      <c r="H17" s="117">
        <f>' Enrol &amp; Rev'!H125</f>
        <v>0</v>
      </c>
      <c r="I17" s="117">
        <f>' Enrol &amp; Rev'!I125</f>
        <v>0</v>
      </c>
      <c r="J17" s="117">
        <f>' Enrol &amp; Rev'!J125</f>
        <v>0</v>
      </c>
      <c r="K17" s="117">
        <f>' Enrol &amp; Rev'!K125</f>
        <v>0</v>
      </c>
      <c r="L17" s="117">
        <f>' Enrol &amp; Rev'!L125</f>
        <v>0</v>
      </c>
      <c r="M17" s="115"/>
      <c r="O17" s="104"/>
      <c r="P17" s="42" t="s">
        <v>147</v>
      </c>
      <c r="Q17" s="104"/>
    </row>
    <row r="18" spans="1:21" hidden="1" x14ac:dyDescent="0.25">
      <c r="A18" s="96">
        <f>ROW()</f>
        <v>18</v>
      </c>
      <c r="C18" s="1549">
        <f t="shared" si="2"/>
        <v>0</v>
      </c>
      <c r="D18" s="1549" t="e">
        <f t="shared" si="3"/>
        <v>#DIV/0!</v>
      </c>
      <c r="E18" s="1548">
        <f t="shared" si="4"/>
        <v>0</v>
      </c>
      <c r="F18" s="117"/>
      <c r="G18" s="117"/>
      <c r="H18" s="117"/>
      <c r="I18" s="117"/>
      <c r="J18" s="117"/>
      <c r="K18" s="117"/>
      <c r="L18" s="117"/>
      <c r="M18" s="115"/>
      <c r="O18" s="104"/>
      <c r="P18" s="42" t="s">
        <v>147</v>
      </c>
      <c r="Q18" s="104"/>
    </row>
    <row r="19" spans="1:21" hidden="1" x14ac:dyDescent="0.25">
      <c r="A19" s="96">
        <f>ROW()</f>
        <v>19</v>
      </c>
      <c r="C19" s="1549">
        <f t="shared" si="2"/>
        <v>0</v>
      </c>
      <c r="D19" s="1549">
        <f t="shared" si="3"/>
        <v>0</v>
      </c>
      <c r="E19" s="1548">
        <f t="shared" si="4"/>
        <v>0</v>
      </c>
      <c r="F19" s="117">
        <f>' Enrol &amp; Rev'!F128</f>
        <v>0</v>
      </c>
      <c r="G19" s="117">
        <f>' Enrol &amp; Rev'!G128</f>
        <v>0</v>
      </c>
      <c r="H19" s="117">
        <f>' Enrol &amp; Rev'!H128</f>
        <v>0</v>
      </c>
      <c r="I19" s="117">
        <f>' Enrol &amp; Rev'!I128</f>
        <v>0</v>
      </c>
      <c r="J19" s="117">
        <f>' Enrol &amp; Rev'!J128</f>
        <v>0</v>
      </c>
      <c r="K19" s="117">
        <f>' Enrol &amp; Rev'!K128</f>
        <v>0</v>
      </c>
      <c r="L19" s="117">
        <f>' Enrol &amp; Rev'!L128</f>
        <v>0</v>
      </c>
      <c r="M19" s="115"/>
      <c r="O19" s="104"/>
      <c r="P19" s="42" t="s">
        <v>147</v>
      </c>
      <c r="Q19" s="104"/>
    </row>
    <row r="20" spans="1:21" hidden="1" x14ac:dyDescent="0.25">
      <c r="A20" s="96">
        <f>ROW()</f>
        <v>20</v>
      </c>
      <c r="C20" s="1549">
        <f t="shared" si="2"/>
        <v>0</v>
      </c>
      <c r="D20" s="1549">
        <f t="shared" si="3"/>
        <v>0</v>
      </c>
      <c r="E20" s="1548">
        <f t="shared" si="4"/>
        <v>0</v>
      </c>
      <c r="F20" s="117">
        <f>' Enrol &amp; Rev'!F129</f>
        <v>0</v>
      </c>
      <c r="G20" s="117">
        <f>' Enrol &amp; Rev'!G129</f>
        <v>0</v>
      </c>
      <c r="H20" s="117">
        <f>' Enrol &amp; Rev'!H129</f>
        <v>0</v>
      </c>
      <c r="I20" s="117">
        <f>' Enrol &amp; Rev'!I129</f>
        <v>0</v>
      </c>
      <c r="J20" s="117">
        <f>' Enrol &amp; Rev'!J129</f>
        <v>0</v>
      </c>
      <c r="K20" s="117">
        <f>' Enrol &amp; Rev'!K129</f>
        <v>0</v>
      </c>
      <c r="L20" s="117">
        <f>' Enrol &amp; Rev'!L129</f>
        <v>0</v>
      </c>
      <c r="M20" s="115"/>
      <c r="O20" s="104"/>
      <c r="P20" s="42" t="s">
        <v>147</v>
      </c>
      <c r="Q20" s="104"/>
    </row>
    <row r="21" spans="1:21" hidden="1" x14ac:dyDescent="0.25">
      <c r="A21" s="96">
        <f>ROW()</f>
        <v>21</v>
      </c>
      <c r="C21" s="1549">
        <f t="shared" si="2"/>
        <v>0</v>
      </c>
      <c r="D21" s="1549">
        <f t="shared" si="3"/>
        <v>0</v>
      </c>
      <c r="E21" s="1548">
        <f t="shared" si="4"/>
        <v>0</v>
      </c>
      <c r="F21" s="117">
        <f>' Enrol &amp; Rev'!F130</f>
        <v>0</v>
      </c>
      <c r="G21" s="117">
        <f>' Enrol &amp; Rev'!G130</f>
        <v>0</v>
      </c>
      <c r="H21" s="117">
        <f>' Enrol &amp; Rev'!H130</f>
        <v>0</v>
      </c>
      <c r="I21" s="117">
        <f>' Enrol &amp; Rev'!I130</f>
        <v>0</v>
      </c>
      <c r="J21" s="117">
        <f>' Enrol &amp; Rev'!J130</f>
        <v>0</v>
      </c>
      <c r="K21" s="117">
        <f>' Enrol &amp; Rev'!K130</f>
        <v>0</v>
      </c>
      <c r="L21" s="117">
        <f>' Enrol &amp; Rev'!L130</f>
        <v>0</v>
      </c>
      <c r="M21" s="115"/>
      <c r="O21" s="104"/>
      <c r="P21" s="42" t="s">
        <v>147</v>
      </c>
      <c r="Q21" s="104"/>
    </row>
    <row r="22" spans="1:21" hidden="1" x14ac:dyDescent="0.25">
      <c r="A22" s="96">
        <f>ROW()</f>
        <v>22</v>
      </c>
      <c r="C22" s="1549">
        <f t="shared" si="2"/>
        <v>0</v>
      </c>
      <c r="D22" s="1549">
        <f t="shared" si="3"/>
        <v>0</v>
      </c>
      <c r="E22" s="1548">
        <f t="shared" si="4"/>
        <v>0</v>
      </c>
      <c r="F22" s="117">
        <f>' Enrol &amp; Rev'!F131</f>
        <v>0</v>
      </c>
      <c r="G22" s="117">
        <f>' Enrol &amp; Rev'!G131</f>
        <v>0</v>
      </c>
      <c r="H22" s="117">
        <f>' Enrol &amp; Rev'!H131</f>
        <v>0</v>
      </c>
      <c r="I22" s="117">
        <f>' Enrol &amp; Rev'!I131</f>
        <v>0</v>
      </c>
      <c r="J22" s="117">
        <f>' Enrol &amp; Rev'!J131</f>
        <v>0</v>
      </c>
      <c r="K22" s="117">
        <f>' Enrol &amp; Rev'!K131</f>
        <v>0</v>
      </c>
      <c r="L22" s="117">
        <f>' Enrol &amp; Rev'!L131</f>
        <v>0</v>
      </c>
      <c r="M22" s="115"/>
      <c r="O22" s="104"/>
      <c r="P22" s="42" t="s">
        <v>147</v>
      </c>
      <c r="Q22" s="104"/>
    </row>
    <row r="23" spans="1:21" x14ac:dyDescent="0.25">
      <c r="A23" s="96">
        <f>ROW()</f>
        <v>23</v>
      </c>
      <c r="B23" s="42" t="s">
        <v>165</v>
      </c>
      <c r="C23" s="1549">
        <f t="shared" si="2"/>
        <v>2796698.2692600004</v>
      </c>
      <c r="D23" s="1549">
        <f t="shared" si="3"/>
        <v>399528.32418000005</v>
      </c>
      <c r="E23" s="1548">
        <f t="shared" si="4"/>
        <v>1.4531903410438083E-2</v>
      </c>
      <c r="F23" s="117">
        <f>' Enrol &amp; Rev'!F132</f>
        <v>399528.32418000005</v>
      </c>
      <c r="G23" s="117">
        <f>' Enrol &amp; Rev'!G132</f>
        <v>399528.32418000005</v>
      </c>
      <c r="H23" s="117">
        <f>' Enrol &amp; Rev'!H132</f>
        <v>399528.32418000005</v>
      </c>
      <c r="I23" s="117">
        <f>' Enrol &amp; Rev'!I132</f>
        <v>399528.32418000005</v>
      </c>
      <c r="J23" s="117">
        <f>' Enrol &amp; Rev'!J132</f>
        <v>399528.32418000005</v>
      </c>
      <c r="K23" s="117">
        <f>' Enrol &amp; Rev'!K132</f>
        <v>399528.32418000005</v>
      </c>
      <c r="L23" s="117">
        <f>' Enrol &amp; Rev'!L132</f>
        <v>399528.32418000005</v>
      </c>
      <c r="M23" s="115"/>
      <c r="O23" s="104"/>
      <c r="P23" s="42" t="s">
        <v>147</v>
      </c>
      <c r="Q23" s="104"/>
    </row>
    <row r="24" spans="1:21" x14ac:dyDescent="0.25">
      <c r="A24" s="96">
        <f>ROW()</f>
        <v>24</v>
      </c>
      <c r="B24" s="42" t="s">
        <v>166</v>
      </c>
      <c r="C24" s="1549">
        <f t="shared" si="2"/>
        <v>8555946.6765000019</v>
      </c>
      <c r="D24" s="1549">
        <f t="shared" si="3"/>
        <v>1222206.1127500003</v>
      </c>
      <c r="E24" s="1548">
        <f t="shared" si="4"/>
        <v>4.445487366780064E-2</v>
      </c>
      <c r="F24" s="117">
        <f>' Enrol &amp; Rev'!F116</f>
        <v>1222710</v>
      </c>
      <c r="G24" s="117">
        <f>' Enrol &amp; Rev'!G116</f>
        <v>1222710</v>
      </c>
      <c r="H24" s="117">
        <f>' Enrol &amp; Rev'!H116</f>
        <v>1222105.3353000002</v>
      </c>
      <c r="I24" s="117">
        <f>' Enrol &amp; Rev'!I116</f>
        <v>1222105.3353000002</v>
      </c>
      <c r="J24" s="117">
        <f>' Enrol &amp; Rev'!J116</f>
        <v>1222105.3353000002</v>
      </c>
      <c r="K24" s="117">
        <f>' Enrol &amp; Rev'!K116</f>
        <v>1222105.3353000002</v>
      </c>
      <c r="L24" s="117">
        <f>' Enrol &amp; Rev'!L116</f>
        <v>1222105.3353000002</v>
      </c>
      <c r="M24" s="115"/>
      <c r="O24" s="104"/>
      <c r="P24" s="42" t="s">
        <v>147</v>
      </c>
      <c r="Q24" s="104"/>
    </row>
    <row r="25" spans="1:21" x14ac:dyDescent="0.25">
      <c r="A25" s="96">
        <f>ROW()</f>
        <v>25</v>
      </c>
      <c r="B25" s="42" t="s">
        <v>167</v>
      </c>
      <c r="C25" s="1549">
        <f t="shared" si="2"/>
        <v>0</v>
      </c>
      <c r="D25" s="1549">
        <f t="shared" si="3"/>
        <v>0</v>
      </c>
      <c r="E25" s="1548">
        <f t="shared" si="4"/>
        <v>0</v>
      </c>
      <c r="F25" s="117">
        <f>' Enrol &amp; Rev'!F133</f>
        <v>0</v>
      </c>
      <c r="G25" s="117">
        <f>' Enrol &amp; Rev'!G133</f>
        <v>0</v>
      </c>
      <c r="H25" s="117">
        <f>' Enrol &amp; Rev'!H133</f>
        <v>0</v>
      </c>
      <c r="I25" s="117">
        <f>' Enrol &amp; Rev'!I133</f>
        <v>0</v>
      </c>
      <c r="J25" s="117">
        <f>' Enrol &amp; Rev'!J133</f>
        <v>0</v>
      </c>
      <c r="K25" s="117">
        <f>' Enrol &amp; Rev'!K133</f>
        <v>0</v>
      </c>
      <c r="L25" s="117">
        <f>' Enrol &amp; Rev'!L133</f>
        <v>0</v>
      </c>
      <c r="M25" s="115"/>
      <c r="O25" s="104" t="s">
        <v>168</v>
      </c>
      <c r="P25" s="42" t="s">
        <v>147</v>
      </c>
      <c r="Q25" s="104"/>
    </row>
    <row r="26" spans="1:21" x14ac:dyDescent="0.25">
      <c r="A26" s="96">
        <f>ROW()</f>
        <v>26</v>
      </c>
      <c r="B26" s="42" t="str">
        <f>+' Enrol &amp; Rev'!B134</f>
        <v>Charter School Program (CSP) Grant (w/letter)</v>
      </c>
      <c r="C26" s="1549">
        <f t="shared" si="2"/>
        <v>0</v>
      </c>
      <c r="D26" s="1549">
        <f t="shared" si="3"/>
        <v>0</v>
      </c>
      <c r="E26" s="1548">
        <f t="shared" si="4"/>
        <v>0</v>
      </c>
      <c r="F26" s="117">
        <f>' Enrol &amp; Rev'!F134</f>
        <v>0</v>
      </c>
      <c r="G26" s="117">
        <f>' Enrol &amp; Rev'!G134</f>
        <v>0</v>
      </c>
      <c r="H26" s="117">
        <f>' Enrol &amp; Rev'!H134</f>
        <v>0</v>
      </c>
      <c r="I26" s="117">
        <f>' Enrol &amp; Rev'!I134</f>
        <v>0</v>
      </c>
      <c r="J26" s="117">
        <f>' Enrol &amp; Rev'!J134</f>
        <v>0</v>
      </c>
      <c r="K26" s="117">
        <f>' Enrol &amp; Rev'!K134</f>
        <v>0</v>
      </c>
      <c r="L26" s="117">
        <f>' Enrol &amp; Rev'!L134</f>
        <v>0</v>
      </c>
      <c r="M26" s="115"/>
      <c r="O26" s="104" t="s">
        <v>168</v>
      </c>
      <c r="Q26" s="104"/>
    </row>
    <row r="27" spans="1:21" x14ac:dyDescent="0.25">
      <c r="A27" s="96">
        <f>ROW()</f>
        <v>27</v>
      </c>
      <c r="B27" s="42" t="s">
        <v>169</v>
      </c>
      <c r="C27" s="1549">
        <f t="shared" si="2"/>
        <v>0</v>
      </c>
      <c r="D27" s="1549">
        <f t="shared" si="3"/>
        <v>0</v>
      </c>
      <c r="E27" s="1548">
        <f t="shared" si="4"/>
        <v>0</v>
      </c>
      <c r="F27" s="117">
        <f>' Enrol &amp; Rev'!F135</f>
        <v>0</v>
      </c>
      <c r="G27" s="117">
        <f>' Enrol &amp; Rev'!G135</f>
        <v>0</v>
      </c>
      <c r="H27" s="117">
        <f>' Enrol &amp; Rev'!H135</f>
        <v>0</v>
      </c>
      <c r="I27" s="117">
        <f>' Enrol &amp; Rev'!I135</f>
        <v>0</v>
      </c>
      <c r="J27" s="117">
        <f>' Enrol &amp; Rev'!J135</f>
        <v>0</v>
      </c>
      <c r="K27" s="117">
        <f>' Enrol &amp; Rev'!K135</f>
        <v>0</v>
      </c>
      <c r="L27" s="117">
        <f>' Enrol &amp; Rev'!L135</f>
        <v>0</v>
      </c>
      <c r="M27" s="115"/>
      <c r="O27" s="104" t="s">
        <v>168</v>
      </c>
      <c r="P27" s="42" t="s">
        <v>147</v>
      </c>
      <c r="Q27" s="104"/>
    </row>
    <row r="28" spans="1:21" x14ac:dyDescent="0.25">
      <c r="A28" s="96">
        <f>ROW()</f>
        <v>28</v>
      </c>
      <c r="B28" s="42" t="s">
        <v>170</v>
      </c>
      <c r="C28" s="1549">
        <f t="shared" si="2"/>
        <v>0</v>
      </c>
      <c r="D28" s="1549">
        <f t="shared" si="3"/>
        <v>0</v>
      </c>
      <c r="E28" s="1548">
        <f t="shared" si="4"/>
        <v>0</v>
      </c>
      <c r="F28" s="117">
        <f>' Enrol &amp; Rev'!F137</f>
        <v>0</v>
      </c>
      <c r="G28" s="117">
        <f>' Enrol &amp; Rev'!G137</f>
        <v>0</v>
      </c>
      <c r="H28" s="117">
        <f>' Enrol &amp; Rev'!H137</f>
        <v>0</v>
      </c>
      <c r="I28" s="117">
        <f>' Enrol &amp; Rev'!I137</f>
        <v>0</v>
      </c>
      <c r="J28" s="117">
        <f>' Enrol &amp; Rev'!J137</f>
        <v>0</v>
      </c>
      <c r="K28" s="117">
        <f>' Enrol &amp; Rev'!K137</f>
        <v>0</v>
      </c>
      <c r="L28" s="117">
        <f>' Enrol &amp; Rev'!L137</f>
        <v>0</v>
      </c>
      <c r="M28" s="115"/>
      <c r="O28" s="104"/>
      <c r="P28" s="42" t="s">
        <v>147</v>
      </c>
      <c r="Q28" s="104"/>
    </row>
    <row r="29" spans="1:21" x14ac:dyDescent="0.25">
      <c r="A29" s="96">
        <f>ROW()</f>
        <v>29</v>
      </c>
      <c r="B29" s="1526" t="s">
        <v>1395</v>
      </c>
      <c r="C29" s="1549">
        <f t="shared" si="2"/>
        <v>15442000</v>
      </c>
      <c r="D29" s="1549">
        <f t="shared" si="3"/>
        <v>2206000</v>
      </c>
      <c r="E29" s="1548">
        <f t="shared" si="4"/>
        <v>8.0238063194196865E-2</v>
      </c>
      <c r="F29" s="117">
        <f>' Enrol &amp; Rev'!F138</f>
        <v>2206000</v>
      </c>
      <c r="G29" s="117">
        <f>' Enrol &amp; Rev'!G138</f>
        <v>2206000</v>
      </c>
      <c r="H29" s="117">
        <f>' Enrol &amp; Rev'!H138</f>
        <v>2206000</v>
      </c>
      <c r="I29" s="117">
        <f>' Enrol &amp; Rev'!I138</f>
        <v>2206000</v>
      </c>
      <c r="J29" s="117">
        <f>' Enrol &amp; Rev'!J138</f>
        <v>2206000</v>
      </c>
      <c r="K29" s="117">
        <f>' Enrol &amp; Rev'!K138</f>
        <v>2206000</v>
      </c>
      <c r="L29" s="117">
        <f>' Enrol &amp; Rev'!L138</f>
        <v>2206000</v>
      </c>
      <c r="M29" s="115"/>
      <c r="O29" s="104"/>
      <c r="P29" s="42" t="s">
        <v>147</v>
      </c>
      <c r="Q29" s="104"/>
    </row>
    <row r="30" spans="1:21" x14ac:dyDescent="0.25">
      <c r="A30" s="96">
        <f>ROW()</f>
        <v>30</v>
      </c>
      <c r="B30" s="1526" t="s">
        <v>1396</v>
      </c>
      <c r="C30" s="1549">
        <f t="shared" si="2"/>
        <v>6342000</v>
      </c>
      <c r="D30" s="1549">
        <f t="shared" si="3"/>
        <v>906000</v>
      </c>
      <c r="E30" s="1548">
        <f t="shared" si="4"/>
        <v>3.2953619788731799E-2</v>
      </c>
      <c r="F30" s="117">
        <f>' Enrol &amp; Rev'!F139</f>
        <v>906000</v>
      </c>
      <c r="G30" s="117">
        <f>' Enrol &amp; Rev'!G139</f>
        <v>906000</v>
      </c>
      <c r="H30" s="117">
        <f>' Enrol &amp; Rev'!H139</f>
        <v>906000</v>
      </c>
      <c r="I30" s="117">
        <f>' Enrol &amp; Rev'!I139</f>
        <v>906000</v>
      </c>
      <c r="J30" s="117">
        <f>' Enrol &amp; Rev'!J139</f>
        <v>906000</v>
      </c>
      <c r="K30" s="117">
        <f>' Enrol &amp; Rev'!K139</f>
        <v>906000</v>
      </c>
      <c r="L30" s="117">
        <f>' Enrol &amp; Rev'!L139</f>
        <v>906000</v>
      </c>
      <c r="M30" s="115"/>
      <c r="O30" s="104"/>
      <c r="Q30" s="104"/>
    </row>
    <row r="31" spans="1:21" x14ac:dyDescent="0.25">
      <c r="A31" s="96">
        <f>ROW()</f>
        <v>31</v>
      </c>
      <c r="B31" s="1526" t="s">
        <v>1390</v>
      </c>
      <c r="C31" s="1549">
        <f t="shared" si="2"/>
        <v>1715000</v>
      </c>
      <c r="D31" s="1549">
        <f t="shared" si="3"/>
        <v>245000</v>
      </c>
      <c r="E31" s="1548">
        <f t="shared" si="4"/>
        <v>8.9112989494914922E-3</v>
      </c>
      <c r="F31" s="117">
        <f>' Enrol &amp; Rev'!F140</f>
        <v>245000</v>
      </c>
      <c r="G31" s="117">
        <f>' Enrol &amp; Rev'!G140</f>
        <v>245000</v>
      </c>
      <c r="H31" s="117">
        <f>' Enrol &amp; Rev'!H140</f>
        <v>245000</v>
      </c>
      <c r="I31" s="117">
        <f>' Enrol &amp; Rev'!I140</f>
        <v>245000</v>
      </c>
      <c r="J31" s="117">
        <f>' Enrol &amp; Rev'!J140</f>
        <v>245000</v>
      </c>
      <c r="K31" s="117">
        <f>' Enrol &amp; Rev'!K140</f>
        <v>245000</v>
      </c>
      <c r="L31" s="117">
        <f>' Enrol &amp; Rev'!L140</f>
        <v>245000</v>
      </c>
      <c r="M31" s="115"/>
      <c r="O31" s="104"/>
      <c r="P31" s="42" t="s">
        <v>147</v>
      </c>
      <c r="Q31" s="104"/>
      <c r="T31" t="s">
        <v>1392</v>
      </c>
      <c r="U31" s="1531">
        <f>F35-F16</f>
        <v>27242124.504179999</v>
      </c>
    </row>
    <row r="32" spans="1:21" x14ac:dyDescent="0.25">
      <c r="A32" s="96">
        <f>ROW()</f>
        <v>32</v>
      </c>
      <c r="B32" s="1526" t="s">
        <v>1405</v>
      </c>
      <c r="C32" s="1549">
        <f t="shared" ref="C32" si="5">SUM(F32:L32)</f>
        <v>3015816.0128702358</v>
      </c>
      <c r="D32" s="1549">
        <f t="shared" ref="D32" si="6">AVERAGE(G32:L32)</f>
        <v>502636.00214503933</v>
      </c>
      <c r="E32" s="1548">
        <f t="shared" ref="E32" si="7">IFERROR(+D32/$D$35,0)</f>
        <v>1.8282202766904867E-2</v>
      </c>
      <c r="F32" s="117"/>
      <c r="G32" s="1535">
        <f>SUM(G14:G30)*0.01</f>
        <v>267459.57818960003</v>
      </c>
      <c r="H32" s="1535">
        <f>SUM(G15:G32)*0.02</f>
        <v>545168.32794299198</v>
      </c>
      <c r="I32" s="1535">
        <f>SUM(H15:H32)*0.02</f>
        <v>550712.74052434927</v>
      </c>
      <c r="J32" s="1535">
        <f>SUM(I15:I32)*0.02</f>
        <v>550823.62877597637</v>
      </c>
      <c r="K32" s="1535">
        <f>SUM(J15:J32)*0.02</f>
        <v>550825.84654100891</v>
      </c>
      <c r="L32" s="1535">
        <f>SUM(K15:K32)*0.02</f>
        <v>550825.89089630952</v>
      </c>
      <c r="M32" s="115"/>
      <c r="O32" s="104"/>
      <c r="P32" s="42" t="s">
        <v>147</v>
      </c>
      <c r="Q32" s="1520" t="s">
        <v>1401</v>
      </c>
    </row>
    <row r="33" spans="1:20" x14ac:dyDescent="0.25">
      <c r="A33" s="96">
        <f>ROW()</f>
        <v>33</v>
      </c>
      <c r="B33" s="1526"/>
      <c r="C33" s="1549"/>
      <c r="D33" s="1549"/>
      <c r="E33" s="1548"/>
      <c r="F33" s="117"/>
      <c r="G33" s="1535"/>
      <c r="H33" s="1535"/>
      <c r="I33" s="1535"/>
      <c r="J33" s="1535"/>
      <c r="K33" s="1535"/>
      <c r="L33" s="1535"/>
      <c r="M33" s="115"/>
      <c r="O33" s="104" t="s">
        <v>176</v>
      </c>
      <c r="P33" s="42" t="s">
        <v>147</v>
      </c>
      <c r="Q33" s="104"/>
    </row>
    <row r="34" spans="1:20" x14ac:dyDescent="0.25">
      <c r="A34" s="96">
        <f>ROW()</f>
        <v>34</v>
      </c>
      <c r="C34" s="1549">
        <f t="shared" si="2"/>
        <v>0</v>
      </c>
      <c r="D34" s="1549">
        <f t="shared" si="3"/>
        <v>0</v>
      </c>
      <c r="E34" s="1548">
        <f t="shared" si="4"/>
        <v>0</v>
      </c>
      <c r="F34" s="118">
        <f>' Enrol &amp; Rev'!F142</f>
        <v>0</v>
      </c>
      <c r="G34" s="118">
        <f>' Enrol &amp; Rev'!G142</f>
        <v>0</v>
      </c>
      <c r="H34" s="118">
        <f>' Enrol &amp; Rev'!H142</f>
        <v>0</v>
      </c>
      <c r="I34" s="118">
        <f>' Enrol &amp; Rev'!I142</f>
        <v>0</v>
      </c>
      <c r="J34" s="118">
        <f>' Enrol &amp; Rev'!J142</f>
        <v>0</v>
      </c>
      <c r="K34" s="118">
        <f>' Enrol &amp; Rev'!K142</f>
        <v>0</v>
      </c>
      <c r="L34" s="118">
        <f>' Enrol &amp; Rev'!L142</f>
        <v>0</v>
      </c>
      <c r="M34" s="115"/>
      <c r="O34" s="104" t="s">
        <v>176</v>
      </c>
      <c r="Q34" s="104"/>
    </row>
    <row r="35" spans="1:20" x14ac:dyDescent="0.25">
      <c r="A35" s="96">
        <f>ROW()</f>
        <v>35</v>
      </c>
      <c r="B35" s="119" t="s">
        <v>177</v>
      </c>
      <c r="C35" s="1551">
        <f>SUM(C15:C34)</f>
        <v>191950073.14216253</v>
      </c>
      <c r="D35" s="1551">
        <f>AVERAGE(G35:L35)</f>
        <v>27493186.053867098</v>
      </c>
      <c r="E35" s="1552">
        <f t="shared" si="4"/>
        <v>1</v>
      </c>
      <c r="F35" s="122">
        <f t="shared" ref="F35:L35" si="8">SUM(F15:F34)</f>
        <v>26990956.81896</v>
      </c>
      <c r="G35" s="122">
        <f>SUM(G15:G34)</f>
        <v>27258416.3971496</v>
      </c>
      <c r="H35" s="122">
        <f t="shared" si="8"/>
        <v>27535637.026217461</v>
      </c>
      <c r="I35" s="122">
        <f t="shared" si="8"/>
        <v>27541181.438798815</v>
      </c>
      <c r="J35" s="122">
        <f t="shared" si="8"/>
        <v>27541292.327050444</v>
      </c>
      <c r="K35" s="122">
        <f t="shared" si="8"/>
        <v>27541294.544815477</v>
      </c>
      <c r="L35" s="122">
        <f t="shared" si="8"/>
        <v>27541294.589170776</v>
      </c>
      <c r="M35" s="123"/>
      <c r="O35" s="104"/>
      <c r="P35" s="42" t="s">
        <v>147</v>
      </c>
      <c r="Q35" s="114"/>
    </row>
    <row r="36" spans="1:20" x14ac:dyDescent="0.25">
      <c r="A36" s="96">
        <f>ROW()</f>
        <v>36</v>
      </c>
      <c r="B36" s="37" t="s">
        <v>178</v>
      </c>
      <c r="C36" s="1553"/>
      <c r="D36" s="1553"/>
      <c r="E36" s="1553"/>
      <c r="F36" s="124">
        <f>' Enrol &amp; Rev'!F145</f>
        <v>26990956.81896</v>
      </c>
      <c r="G36" s="124">
        <f>' Enrol &amp; Rev'!G145</f>
        <v>26990956.81896</v>
      </c>
      <c r="H36" s="124">
        <f>' Enrol &amp; Rev'!H145</f>
        <v>26990468.698274467</v>
      </c>
      <c r="I36" s="124">
        <f>' Enrol &amp; Rev'!I145</f>
        <v>26990468.698274467</v>
      </c>
      <c r="J36" s="124">
        <f>' Enrol &amp; Rev'!J145</f>
        <v>26990468.698274467</v>
      </c>
      <c r="K36" s="124">
        <f>' Enrol &amp; Rev'!K145</f>
        <v>26990468.698274467</v>
      </c>
      <c r="L36" s="124">
        <f>' Enrol &amp; Rev'!L145</f>
        <v>26990468.698274467</v>
      </c>
      <c r="M36" s="125"/>
      <c r="O36" s="104"/>
      <c r="P36" s="42" t="s">
        <v>147</v>
      </c>
      <c r="Q36" s="114"/>
      <c r="T36" s="1233">
        <f>F35/2320</f>
        <v>11634.033111620689</v>
      </c>
    </row>
    <row r="37" spans="1:20" x14ac:dyDescent="0.25">
      <c r="A37" s="96">
        <f>ROW()</f>
        <v>37</v>
      </c>
      <c r="B37" s="37" t="s">
        <v>1406</v>
      </c>
      <c r="C37" s="1554"/>
      <c r="D37" s="1554"/>
      <c r="E37" s="1554"/>
      <c r="F37" s="126">
        <f>+F35-F36</f>
        <v>0</v>
      </c>
      <c r="G37" s="126">
        <f t="shared" ref="G37:L37" si="9">+G35-G36</f>
        <v>267459.57818960026</v>
      </c>
      <c r="H37" s="126">
        <f t="shared" si="9"/>
        <v>545168.32794299349</v>
      </c>
      <c r="I37" s="126">
        <f t="shared" si="9"/>
        <v>550712.74052434787</v>
      </c>
      <c r="J37" s="126">
        <f t="shared" si="9"/>
        <v>550823.6287759766</v>
      </c>
      <c r="K37" s="126">
        <f t="shared" si="9"/>
        <v>550825.84654100984</v>
      </c>
      <c r="L37" s="126">
        <f t="shared" si="9"/>
        <v>550825.89089630917</v>
      </c>
      <c r="M37" s="125"/>
      <c r="O37" s="104"/>
      <c r="Q37" s="1520" t="s">
        <v>1407</v>
      </c>
    </row>
    <row r="38" spans="1:20" x14ac:dyDescent="0.25">
      <c r="A38" s="96">
        <f>ROW()</f>
        <v>38</v>
      </c>
      <c r="B38" s="37" t="s">
        <v>179</v>
      </c>
      <c r="C38" s="1554"/>
      <c r="D38" s="1554"/>
      <c r="E38" s="1554"/>
      <c r="F38" s="128">
        <f t="shared" ref="F38" si="10">+F35/F9</f>
        <v>11633.932819096388</v>
      </c>
      <c r="G38" s="128">
        <f t="shared" ref="G38:L38" si="11">+G35/G9</f>
        <v>11749.216126218567</v>
      </c>
      <c r="H38" s="128">
        <f t="shared" si="11"/>
        <v>11868.706746587297</v>
      </c>
      <c r="I38" s="128">
        <f t="shared" si="11"/>
        <v>11871.09655899467</v>
      </c>
      <c r="J38" s="128">
        <f t="shared" si="11"/>
        <v>11871.144355242819</v>
      </c>
      <c r="K38" s="128">
        <f t="shared" si="11"/>
        <v>11871.145311167782</v>
      </c>
      <c r="L38" s="128">
        <f t="shared" si="11"/>
        <v>11871.145330286281</v>
      </c>
      <c r="M38" s="125"/>
      <c r="O38" s="104"/>
      <c r="Q38" s="104"/>
    </row>
    <row r="39" spans="1:20" x14ac:dyDescent="0.25">
      <c r="A39" s="96">
        <f>ROW()</f>
        <v>39</v>
      </c>
      <c r="B39" s="37" t="s">
        <v>180</v>
      </c>
      <c r="C39" s="1555"/>
      <c r="D39" s="1555"/>
      <c r="E39" s="1556"/>
      <c r="F39" s="129">
        <f>+' Enrol &amp; Rev'!F146</f>
        <v>11633.932819096388</v>
      </c>
      <c r="G39" s="129">
        <f>+' Enrol &amp; Rev'!G146</f>
        <v>11633.932819096388</v>
      </c>
      <c r="H39" s="129">
        <f>+' Enrol &amp; Rev'!H146</f>
        <v>11633.722424062926</v>
      </c>
      <c r="I39" s="129">
        <f>+' Enrol &amp; Rev'!I146</f>
        <v>11633.722424062926</v>
      </c>
      <c r="J39" s="129">
        <f>+' Enrol &amp; Rev'!J146</f>
        <v>11633.722424062926</v>
      </c>
      <c r="K39" s="129">
        <f>+' Enrol &amp; Rev'!K146</f>
        <v>11633.722424062926</v>
      </c>
      <c r="L39" s="129">
        <f>+' Enrol &amp; Rev'!L146</f>
        <v>11633.722424062926</v>
      </c>
      <c r="M39" s="125"/>
      <c r="O39" s="104"/>
      <c r="Q39" s="104"/>
    </row>
    <row r="40" spans="1:20" x14ac:dyDescent="0.25">
      <c r="A40" s="96">
        <f>ROW()</f>
        <v>40</v>
      </c>
      <c r="B40" s="37" t="s">
        <v>181</v>
      </c>
      <c r="C40" s="1554"/>
      <c r="D40" s="1554"/>
      <c r="E40" s="1554"/>
      <c r="F40" s="128">
        <f t="shared" ref="F40:L40" si="12">+F39-F38</f>
        <v>0</v>
      </c>
      <c r="G40" s="128">
        <f t="shared" si="12"/>
        <v>-115.28330712217939</v>
      </c>
      <c r="H40" s="128">
        <f t="shared" si="12"/>
        <v>-234.98432252437124</v>
      </c>
      <c r="I40" s="128">
        <f t="shared" si="12"/>
        <v>-237.37413493174427</v>
      </c>
      <c r="J40" s="128">
        <f t="shared" si="12"/>
        <v>-237.42193117989336</v>
      </c>
      <c r="K40" s="128">
        <f t="shared" si="12"/>
        <v>-237.42288710485627</v>
      </c>
      <c r="L40" s="128">
        <f t="shared" si="12"/>
        <v>-237.42290622335531</v>
      </c>
      <c r="M40" s="125"/>
      <c r="O40" s="104"/>
      <c r="Q40" s="1520" t="s">
        <v>1402</v>
      </c>
    </row>
    <row r="41" spans="1:20" x14ac:dyDescent="0.25">
      <c r="A41" s="96">
        <f>ROW()</f>
        <v>41</v>
      </c>
      <c r="B41" s="37" t="s">
        <v>182</v>
      </c>
      <c r="C41" s="1557">
        <f>SUM(C17:C23)/C35</f>
        <v>1.4569925520104924E-2</v>
      </c>
      <c r="D41" s="1557" t="e">
        <f t="shared" ref="D41:L41" si="13">SUM(D17:D23)/D35</f>
        <v>#DIV/0!</v>
      </c>
      <c r="E41" s="1557">
        <f t="shared" si="13"/>
        <v>1.4531903410438083E-2</v>
      </c>
      <c r="F41" s="130">
        <f t="shared" si="13"/>
        <v>1.4802303114328588E-2</v>
      </c>
      <c r="G41" s="130">
        <f t="shared" si="13"/>
        <v>1.4657062918071005E-2</v>
      </c>
      <c r="H41" s="130">
        <f t="shared" si="13"/>
        <v>1.4509499954535201E-2</v>
      </c>
      <c r="I41" s="130">
        <f t="shared" si="13"/>
        <v>1.4506578995814682E-2</v>
      </c>
      <c r="J41" s="130">
        <f t="shared" si="13"/>
        <v>1.4506520588636003E-2</v>
      </c>
      <c r="K41" s="130">
        <f t="shared" si="13"/>
        <v>1.4506519420497226E-2</v>
      </c>
      <c r="L41" s="130">
        <f t="shared" si="13"/>
        <v>1.4506519397134454E-2</v>
      </c>
      <c r="M41" s="125"/>
      <c r="O41" s="104"/>
      <c r="Q41" s="104"/>
    </row>
    <row r="42" spans="1:20" x14ac:dyDescent="0.25">
      <c r="A42" s="96">
        <f>ROW()</f>
        <v>42</v>
      </c>
      <c r="B42" s="125"/>
      <c r="C42" s="1554"/>
      <c r="D42" s="1554"/>
      <c r="E42" s="1554"/>
      <c r="F42" s="127"/>
      <c r="G42" s="128"/>
      <c r="H42" s="128"/>
      <c r="I42" s="128"/>
      <c r="J42" s="128"/>
      <c r="K42" s="128"/>
      <c r="L42" s="128"/>
      <c r="M42" s="125"/>
      <c r="O42" s="104"/>
      <c r="Q42" s="104"/>
    </row>
    <row r="43" spans="1:20" ht="18" x14ac:dyDescent="0.25">
      <c r="A43" s="96">
        <f>ROW()</f>
        <v>43</v>
      </c>
      <c r="B43" s="131" t="s">
        <v>183</v>
      </c>
      <c r="C43" s="1545" t="s">
        <v>157</v>
      </c>
      <c r="D43" s="1545" t="s">
        <v>158</v>
      </c>
      <c r="E43" s="1558" t="s">
        <v>159</v>
      </c>
      <c r="F43" s="132">
        <f t="shared" ref="F43:L43" si="14">F6</f>
        <v>0</v>
      </c>
      <c r="G43" s="132">
        <f t="shared" si="14"/>
        <v>1</v>
      </c>
      <c r="H43" s="132">
        <f t="shared" si="14"/>
        <v>2</v>
      </c>
      <c r="I43" s="132">
        <f t="shared" si="14"/>
        <v>3</v>
      </c>
      <c r="J43" s="132">
        <f t="shared" si="14"/>
        <v>4</v>
      </c>
      <c r="K43" s="132">
        <f t="shared" si="14"/>
        <v>5</v>
      </c>
      <c r="L43" s="132">
        <f t="shared" si="14"/>
        <v>6</v>
      </c>
      <c r="M43" s="125"/>
      <c r="O43" s="104"/>
      <c r="P43" s="42" t="s">
        <v>147</v>
      </c>
      <c r="Q43" s="104"/>
    </row>
    <row r="44" spans="1:20" x14ac:dyDescent="0.25">
      <c r="A44" s="96">
        <f>ROW()</f>
        <v>44</v>
      </c>
      <c r="B44" s="42" t="s">
        <v>184</v>
      </c>
      <c r="C44" s="1547">
        <f t="shared" ref="C44:C51" si="15">SUM(F44:L44)</f>
        <v>116394044.99138159</v>
      </c>
      <c r="D44" s="1547">
        <f t="shared" ref="D44:D51" si="16">AVERAGE(G44:L44)</f>
        <v>16627720.713054514</v>
      </c>
      <c r="E44" s="1548">
        <f t="shared" ref="E44:E52" si="17">IFERROR(+D44/$D$35,0)</f>
        <v>0.60479424539869631</v>
      </c>
      <c r="F44" s="112">
        <f>+Staff!G461</f>
        <v>16627720.713054515</v>
      </c>
      <c r="G44" s="112">
        <f>+Staff!H461</f>
        <v>16627720.713054515</v>
      </c>
      <c r="H44" s="112">
        <f>+Staff!I461</f>
        <v>16627720.713054515</v>
      </c>
      <c r="I44" s="112">
        <f>+Staff!J461</f>
        <v>16627720.713054515</v>
      </c>
      <c r="J44" s="112">
        <f>+Staff!K461</f>
        <v>16627720.713054515</v>
      </c>
      <c r="K44" s="112">
        <f>+Staff!L461</f>
        <v>16627720.713054515</v>
      </c>
      <c r="L44" s="112">
        <f>+Staff!M461</f>
        <v>16627720.713054515</v>
      </c>
      <c r="M44" s="133"/>
      <c r="O44" s="104"/>
      <c r="P44" s="42" t="s">
        <v>147</v>
      </c>
      <c r="Q44" s="104"/>
    </row>
    <row r="45" spans="1:20" x14ac:dyDescent="0.25">
      <c r="A45" s="96">
        <f>ROW()</f>
        <v>45</v>
      </c>
      <c r="B45" s="42" t="s">
        <v>123</v>
      </c>
      <c r="C45" s="1549">
        <f t="shared" si="15"/>
        <v>8753780.6944713928</v>
      </c>
      <c r="D45" s="1549">
        <f t="shared" si="16"/>
        <v>1268559.4490785652</v>
      </c>
      <c r="E45" s="1548">
        <f t="shared" si="17"/>
        <v>4.6140867289556423E-2</v>
      </c>
      <c r="F45" s="117">
        <f>Facilities!F76</f>
        <v>1142424.0000000002</v>
      </c>
      <c r="G45" s="117">
        <f>Facilities!G76</f>
        <v>1176696.7200000002</v>
      </c>
      <c r="H45" s="117">
        <f>Facilities!H76</f>
        <v>1211997.6216000002</v>
      </c>
      <c r="I45" s="117">
        <f>Facilities!I76</f>
        <v>1248357.5502480003</v>
      </c>
      <c r="J45" s="117">
        <f>Facilities!J76</f>
        <v>1285808.2767554403</v>
      </c>
      <c r="K45" s="117">
        <f>Facilities!K76</f>
        <v>1324382.5250581035</v>
      </c>
      <c r="L45" s="117">
        <f>Facilities!L76</f>
        <v>1364114.0008098467</v>
      </c>
      <c r="M45" s="133"/>
      <c r="O45" s="104"/>
      <c r="P45" s="42" t="s">
        <v>147</v>
      </c>
      <c r="Q45" s="104"/>
    </row>
    <row r="46" spans="1:20" x14ac:dyDescent="0.25">
      <c r="A46" s="96">
        <f>ROW()</f>
        <v>46</v>
      </c>
      <c r="B46" s="42" t="s">
        <v>185</v>
      </c>
      <c r="C46" s="1549">
        <f t="shared" si="15"/>
        <v>56482416.637947232</v>
      </c>
      <c r="D46" s="1549">
        <f t="shared" si="16"/>
        <v>8185061.2198662059</v>
      </c>
      <c r="E46" s="1548">
        <f t="shared" si="17"/>
        <v>0.29771235693925413</v>
      </c>
      <c r="F46" s="117">
        <f>+'Gen Optg'!F199</f>
        <v>7372049.3187499996</v>
      </c>
      <c r="G46" s="117">
        <f>+'Gen Optg'!G199</f>
        <v>7593210.7983125001</v>
      </c>
      <c r="H46" s="117">
        <f>+'Gen Optg'!H199</f>
        <v>7819946.222261874</v>
      </c>
      <c r="I46" s="117">
        <f>+'Gen Optg'!I199</f>
        <v>8054544.608929731</v>
      </c>
      <c r="J46" s="117">
        <f>+'Gen Optg'!J199</f>
        <v>8296180.9471976217</v>
      </c>
      <c r="K46" s="117">
        <f>+'Gen Optg'!K199</f>
        <v>8545066.3756135497</v>
      </c>
      <c r="L46" s="117">
        <f>+'Gen Optg'!L199</f>
        <v>8801418.3668819573</v>
      </c>
      <c r="M46" s="133"/>
      <c r="O46" s="104"/>
      <c r="P46" s="42" t="s">
        <v>147</v>
      </c>
      <c r="Q46" s="104"/>
    </row>
    <row r="47" spans="1:20" x14ac:dyDescent="0.25">
      <c r="A47" s="96">
        <f>ROW()</f>
        <v>47</v>
      </c>
      <c r="B47" s="42" t="s">
        <v>186</v>
      </c>
      <c r="C47" s="1549">
        <f t="shared" si="15"/>
        <v>0</v>
      </c>
      <c r="D47" s="1549">
        <f t="shared" si="16"/>
        <v>0</v>
      </c>
      <c r="E47" s="1548">
        <f t="shared" si="17"/>
        <v>0</v>
      </c>
      <c r="F47" s="117">
        <f>'EMO-CMO-BOSP'!E39</f>
        <v>0</v>
      </c>
      <c r="G47" s="117">
        <f>'EMO-CMO-BOSP'!F39</f>
        <v>0</v>
      </c>
      <c r="H47" s="117">
        <f>'EMO-CMO-BOSP'!G39</f>
        <v>0</v>
      </c>
      <c r="I47" s="117">
        <f>'EMO-CMO-BOSP'!H39</f>
        <v>0</v>
      </c>
      <c r="J47" s="117">
        <f>'EMO-CMO-BOSP'!I39</f>
        <v>0</v>
      </c>
      <c r="K47" s="117">
        <f>'EMO-CMO-BOSP'!J39</f>
        <v>0</v>
      </c>
      <c r="L47" s="117">
        <f>'EMO-CMO-BOSP'!K39</f>
        <v>0</v>
      </c>
      <c r="M47" s="115"/>
      <c r="O47" s="104"/>
      <c r="P47" s="42" t="s">
        <v>147</v>
      </c>
      <c r="Q47" s="104"/>
    </row>
    <row r="48" spans="1:20" x14ac:dyDescent="0.25">
      <c r="A48" s="96">
        <f>ROW()</f>
        <v>48</v>
      </c>
      <c r="B48" s="42" t="s">
        <v>131</v>
      </c>
      <c r="C48" s="1549">
        <f t="shared" si="15"/>
        <v>1659000</v>
      </c>
      <c r="D48" s="1549">
        <f t="shared" si="16"/>
        <v>237000</v>
      </c>
      <c r="E48" s="1548">
        <f t="shared" si="17"/>
        <v>8.6203177593040144E-3</v>
      </c>
      <c r="F48" s="117">
        <f>Marketing!H44</f>
        <v>237000</v>
      </c>
      <c r="G48" s="117">
        <f>Marketing!I44</f>
        <v>237000</v>
      </c>
      <c r="H48" s="117">
        <f>Marketing!J44</f>
        <v>237000</v>
      </c>
      <c r="I48" s="117">
        <f>Marketing!K44</f>
        <v>237000</v>
      </c>
      <c r="J48" s="117">
        <f>Marketing!L44</f>
        <v>237000</v>
      </c>
      <c r="K48" s="117">
        <f>Marketing!M44</f>
        <v>237000</v>
      </c>
      <c r="L48" s="117">
        <f>Marketing!N44</f>
        <v>237000</v>
      </c>
      <c r="M48" s="115"/>
      <c r="O48" s="104"/>
      <c r="P48" s="42" t="s">
        <v>147</v>
      </c>
      <c r="Q48" s="104"/>
    </row>
    <row r="49" spans="1:19" x14ac:dyDescent="0.25">
      <c r="A49" s="96">
        <f>ROW()</f>
        <v>49</v>
      </c>
      <c r="B49" s="42" t="s">
        <v>187</v>
      </c>
      <c r="C49" s="1549">
        <f t="shared" si="15"/>
        <v>875000</v>
      </c>
      <c r="D49" s="1549">
        <f t="shared" si="16"/>
        <v>125000</v>
      </c>
      <c r="E49" s="1548">
        <f t="shared" si="17"/>
        <v>4.5465810966793321E-3</v>
      </c>
      <c r="F49" s="117">
        <f>'FFE&amp;T'!F43</f>
        <v>125000</v>
      </c>
      <c r="G49" s="117">
        <f>'FFE&amp;T'!G43</f>
        <v>125000</v>
      </c>
      <c r="H49" s="117">
        <f>'FFE&amp;T'!H43</f>
        <v>125000</v>
      </c>
      <c r="I49" s="117">
        <f>'FFE&amp;T'!I43</f>
        <v>125000</v>
      </c>
      <c r="J49" s="117">
        <f>'FFE&amp;T'!J43</f>
        <v>125000</v>
      </c>
      <c r="K49" s="117">
        <f>'FFE&amp;T'!K43</f>
        <v>125000</v>
      </c>
      <c r="L49" s="117">
        <f>'FFE&amp;T'!L43</f>
        <v>125000</v>
      </c>
      <c r="M49" s="115"/>
      <c r="O49" s="104"/>
      <c r="P49" s="42" t="s">
        <v>147</v>
      </c>
      <c r="Q49" s="104"/>
    </row>
    <row r="50" spans="1:19" x14ac:dyDescent="0.25">
      <c r="A50" s="96">
        <f>ROW()</f>
        <v>50</v>
      </c>
      <c r="B50" s="42" t="s">
        <v>172</v>
      </c>
      <c r="C50" s="1549">
        <f t="shared" si="15"/>
        <v>0</v>
      </c>
      <c r="D50" s="1549">
        <f t="shared" si="16"/>
        <v>0</v>
      </c>
      <c r="E50" s="1548">
        <f t="shared" si="17"/>
        <v>0</v>
      </c>
      <c r="F50" s="117">
        <f>+'Gen Optg'!F180</f>
        <v>0</v>
      </c>
      <c r="G50" s="117">
        <f>+'Gen Optg'!G180</f>
        <v>0</v>
      </c>
      <c r="H50" s="117">
        <f>+'Gen Optg'!H180</f>
        <v>0</v>
      </c>
      <c r="I50" s="117">
        <f>+'Gen Optg'!I180</f>
        <v>0</v>
      </c>
      <c r="J50" s="117">
        <f>+'Gen Optg'!J180</f>
        <v>0</v>
      </c>
      <c r="K50" s="117">
        <f>+'Gen Optg'!K180</f>
        <v>0</v>
      </c>
      <c r="L50" s="117">
        <f>+'Gen Optg'!L180</f>
        <v>0</v>
      </c>
      <c r="M50" s="115"/>
      <c r="O50" s="104"/>
      <c r="P50" s="42" t="s">
        <v>147</v>
      </c>
      <c r="Q50" s="1520" t="s">
        <v>188</v>
      </c>
    </row>
    <row r="51" spans="1:19" x14ac:dyDescent="0.25">
      <c r="A51" s="96">
        <f>ROW()</f>
        <v>51</v>
      </c>
      <c r="B51" s="42" t="s">
        <v>129</v>
      </c>
      <c r="C51" s="1549">
        <f t="shared" si="15"/>
        <v>606578.04974200262</v>
      </c>
      <c r="D51" s="1549">
        <f t="shared" si="16"/>
        <v>87497.674957000461</v>
      </c>
      <c r="E51" s="1548">
        <f t="shared" si="17"/>
        <v>3.1825221997031274E-3</v>
      </c>
      <c r="F51" s="117">
        <f>Ins!F51</f>
        <v>81592</v>
      </c>
      <c r="G51" s="117">
        <f>Ins!G51</f>
        <v>83223.839999999997</v>
      </c>
      <c r="H51" s="117">
        <f>Ins!H51</f>
        <v>84888.316800000001</v>
      </c>
      <c r="I51" s="117">
        <f>Ins!I51</f>
        <v>86586.083136000001</v>
      </c>
      <c r="J51" s="117">
        <f>Ins!J51</f>
        <v>88317.804798719997</v>
      </c>
      <c r="K51" s="117">
        <f>Ins!K51</f>
        <v>90084.160894694403</v>
      </c>
      <c r="L51" s="117">
        <f>Ins!L51</f>
        <v>91885.844112588296</v>
      </c>
      <c r="M51" s="115"/>
      <c r="O51" s="104"/>
      <c r="P51" s="42" t="s">
        <v>147</v>
      </c>
      <c r="Q51" s="104"/>
    </row>
    <row r="52" spans="1:19" x14ac:dyDescent="0.25">
      <c r="A52" s="96">
        <f>ROW()</f>
        <v>52</v>
      </c>
      <c r="B52" s="119" t="s">
        <v>189</v>
      </c>
      <c r="C52" s="1551">
        <f>SUM(C44:C51)</f>
        <v>184770820.37354222</v>
      </c>
      <c r="D52" s="1551">
        <f>AVERAGE(G52:L52)</f>
        <v>26530839.056956291</v>
      </c>
      <c r="E52" s="1552">
        <f t="shared" si="17"/>
        <v>0.96499689068319361</v>
      </c>
      <c r="F52" s="122">
        <f t="shared" ref="F52:L52" si="18">SUM(F44:F51)</f>
        <v>25585786.031804517</v>
      </c>
      <c r="G52" s="122">
        <f t="shared" si="18"/>
        <v>25842852.071367014</v>
      </c>
      <c r="H52" s="122">
        <f t="shared" si="18"/>
        <v>26106552.873716392</v>
      </c>
      <c r="I52" s="122">
        <f t="shared" si="18"/>
        <v>26379208.955368247</v>
      </c>
      <c r="J52" s="122">
        <f t="shared" si="18"/>
        <v>26660027.741806295</v>
      </c>
      <c r="K52" s="122">
        <f t="shared" si="18"/>
        <v>26949253.774620865</v>
      </c>
      <c r="L52" s="122">
        <f t="shared" si="18"/>
        <v>27247138.924858913</v>
      </c>
      <c r="M52" s="115"/>
      <c r="O52" s="104"/>
      <c r="P52" s="42" t="s">
        <v>147</v>
      </c>
      <c r="Q52" s="104"/>
    </row>
    <row r="53" spans="1:19" x14ac:dyDescent="0.25">
      <c r="A53" s="96">
        <f>ROW()</f>
        <v>53</v>
      </c>
      <c r="B53" s="37" t="s">
        <v>190</v>
      </c>
      <c r="C53" s="1559"/>
      <c r="D53" s="1559"/>
      <c r="E53" s="1560"/>
      <c r="F53" s="129">
        <f t="shared" ref="F53:L53" si="19">IFERROR(F52/F9,0)</f>
        <v>11028.260976976284</v>
      </c>
      <c r="G53" s="129">
        <f t="shared" si="19"/>
        <v>11139.064349172428</v>
      </c>
      <c r="H53" s="129">
        <f t="shared" si="19"/>
        <v>11252.727508261305</v>
      </c>
      <c r="I53" s="129">
        <f t="shared" si="19"/>
        <v>11370.250668256414</v>
      </c>
      <c r="J53" s="129">
        <f t="shared" si="19"/>
        <v>11491.292205156116</v>
      </c>
      <c r="K53" s="129">
        <f t="shared" si="19"/>
        <v>11615.95752390965</v>
      </c>
      <c r="L53" s="129">
        <f t="shared" si="19"/>
        <v>11744.355188687559</v>
      </c>
      <c r="M53" s="115"/>
      <c r="O53" s="104"/>
      <c r="P53" s="42" t="s">
        <v>147</v>
      </c>
      <c r="Q53" s="104"/>
    </row>
    <row r="54" spans="1:19" ht="15.75" thickBot="1" x14ac:dyDescent="0.3">
      <c r="A54" s="96">
        <f>ROW()</f>
        <v>54</v>
      </c>
      <c r="B54" s="38"/>
      <c r="C54" s="1559"/>
      <c r="D54" s="1559"/>
      <c r="E54" s="1560"/>
      <c r="F54" s="136"/>
      <c r="G54" s="136"/>
      <c r="H54" s="136"/>
      <c r="I54" s="136"/>
      <c r="J54" s="136"/>
      <c r="K54" s="136"/>
      <c r="L54" s="136"/>
      <c r="M54" s="115"/>
      <c r="O54" s="104"/>
      <c r="Q54" s="104"/>
    </row>
    <row r="55" spans="1:19" ht="15.75" thickBot="1" x14ac:dyDescent="0.3">
      <c r="A55" s="96">
        <f>ROW()</f>
        <v>55</v>
      </c>
      <c r="B55" s="137" t="s">
        <v>191</v>
      </c>
      <c r="C55" s="1561">
        <f>C35-C52</f>
        <v>7179252.7686203122</v>
      </c>
      <c r="D55" s="1561">
        <f>AVERAGE(G55:L55)</f>
        <v>962346.99691080803</v>
      </c>
      <c r="E55" s="1562">
        <f>IFERROR(+D55/$D$35,0)</f>
        <v>3.5003109316806433E-2</v>
      </c>
      <c r="F55" s="138">
        <f t="shared" ref="F55:L55" si="20">F35-F52</f>
        <v>1405170.7871554829</v>
      </c>
      <c r="G55" s="138">
        <f t="shared" si="20"/>
        <v>1415564.3257825859</v>
      </c>
      <c r="H55" s="138">
        <f t="shared" si="20"/>
        <v>1429084.152501069</v>
      </c>
      <c r="I55" s="138">
        <f t="shared" si="20"/>
        <v>1161972.4834305681</v>
      </c>
      <c r="J55" s="138">
        <f t="shared" si="20"/>
        <v>881264.58524414897</v>
      </c>
      <c r="K55" s="138">
        <f t="shared" si="20"/>
        <v>592040.77019461244</v>
      </c>
      <c r="L55" s="138">
        <f t="shared" si="20"/>
        <v>294155.66431186348</v>
      </c>
      <c r="M55" s="115"/>
      <c r="N55" s="139"/>
      <c r="O55" s="104" t="s">
        <v>192</v>
      </c>
      <c r="P55" s="140" t="s">
        <v>147</v>
      </c>
      <c r="Q55" s="104"/>
      <c r="R55" s="140"/>
    </row>
    <row r="56" spans="1:19" ht="15.75" thickBot="1" x14ac:dyDescent="0.3">
      <c r="A56" s="96">
        <f>ROW()</f>
        <v>56</v>
      </c>
      <c r="B56" s="141" t="s">
        <v>193</v>
      </c>
      <c r="C56" s="142"/>
      <c r="D56" s="142"/>
      <c r="E56" s="142"/>
      <c r="F56" s="128">
        <f>IFERROR(F55/Statistics!F20,0)</f>
        <v>605.67184212010363</v>
      </c>
      <c r="G56" s="128">
        <f>IFERROR(G55/Statistics!G20,0)</f>
        <v>610.15177704614007</v>
      </c>
      <c r="H56" s="128">
        <f>IFERROR(H55/Statistics!H20,0)</f>
        <v>615.97923832599247</v>
      </c>
      <c r="I56" s="128">
        <f>IFERROR(I55/Statistics!I20,0)</f>
        <v>500.84589073825578</v>
      </c>
      <c r="J56" s="128">
        <f>IFERROR(J55/Statistics!J20,0)</f>
        <v>379.85215008670139</v>
      </c>
      <c r="K56" s="128">
        <f>IFERROR(K55/Statistics!K20,0)</f>
        <v>255.18778725813246</v>
      </c>
      <c r="L56" s="128">
        <f>IFERROR(L55/Statistics!L20,0)</f>
        <v>126.79014159872048</v>
      </c>
      <c r="M56" s="115"/>
      <c r="O56" s="104"/>
      <c r="P56" s="42" t="s">
        <v>147</v>
      </c>
      <c r="Q56" s="104"/>
    </row>
    <row r="57" spans="1:19" ht="15.75" thickBot="1" x14ac:dyDescent="0.3">
      <c r="A57" s="96">
        <f>ROW()</f>
        <v>57</v>
      </c>
      <c r="B57" s="144" t="s">
        <v>194</v>
      </c>
      <c r="C57" s="145"/>
      <c r="D57" s="145"/>
      <c r="E57" s="146"/>
      <c r="F57" s="147">
        <f t="shared" ref="F57:L57" si="21">+F55+E57</f>
        <v>1405170.7871554829</v>
      </c>
      <c r="G57" s="147">
        <f t="shared" si="21"/>
        <v>2820735.1129380688</v>
      </c>
      <c r="H57" s="147">
        <f t="shared" si="21"/>
        <v>4249819.2654391378</v>
      </c>
      <c r="I57" s="147">
        <f t="shared" si="21"/>
        <v>5411791.7488697059</v>
      </c>
      <c r="J57" s="147">
        <f t="shared" si="21"/>
        <v>6293056.3341138549</v>
      </c>
      <c r="K57" s="147">
        <f t="shared" si="21"/>
        <v>6885097.1043084674</v>
      </c>
      <c r="L57" s="147">
        <f t="shared" si="21"/>
        <v>7179252.7686203308</v>
      </c>
      <c r="M57" s="148"/>
      <c r="O57" s="78" t="s">
        <v>195</v>
      </c>
      <c r="P57" s="42" t="s">
        <v>147</v>
      </c>
      <c r="Q57" s="149"/>
      <c r="S57" s="124"/>
    </row>
    <row r="58" spans="1:19" x14ac:dyDescent="0.25">
      <c r="A58" s="96">
        <f>ROW()</f>
        <v>58</v>
      </c>
      <c r="B58" s="150" t="s">
        <v>196</v>
      </c>
      <c r="C58" s="151">
        <f>SUM(F58:L58)</f>
        <v>111755923.12144504</v>
      </c>
      <c r="D58" s="152"/>
      <c r="E58" s="153"/>
      <c r="F58" s="154">
        <f>F57+11073000</f>
        <v>12478170.787155483</v>
      </c>
      <c r="G58" s="154">
        <f>F58+G55</f>
        <v>13893735.112938069</v>
      </c>
      <c r="H58" s="154">
        <f t="shared" ref="H58:L58" si="22">G58+H55</f>
        <v>15322819.265439138</v>
      </c>
      <c r="I58" s="154">
        <f t="shared" si="22"/>
        <v>16484791.748869706</v>
      </c>
      <c r="J58" s="154">
        <f t="shared" si="22"/>
        <v>17366056.334113855</v>
      </c>
      <c r="K58" s="154">
        <f t="shared" si="22"/>
        <v>17958097.104308467</v>
      </c>
      <c r="L58" s="154">
        <f t="shared" si="22"/>
        <v>18252252.768620331</v>
      </c>
      <c r="M58" s="148"/>
      <c r="O58" s="104"/>
      <c r="Q58" s="1520" t="s">
        <v>1408</v>
      </c>
      <c r="S58" s="124"/>
    </row>
    <row r="59" spans="1:19" x14ac:dyDescent="0.25">
      <c r="A59" s="96">
        <f>ROW()</f>
        <v>59</v>
      </c>
      <c r="B59" s="150"/>
      <c r="C59" s="151"/>
      <c r="D59" s="152"/>
      <c r="E59" s="153"/>
      <c r="F59" s="153"/>
      <c r="G59" s="153"/>
      <c r="H59" s="153"/>
      <c r="I59" s="153"/>
      <c r="J59" s="153"/>
      <c r="K59" s="153"/>
      <c r="L59" s="153"/>
      <c r="M59" s="148"/>
      <c r="O59" s="104"/>
      <c r="Q59" s="104"/>
      <c r="S59" s="124"/>
    </row>
    <row r="60" spans="1:19" x14ac:dyDescent="0.25">
      <c r="A60" s="96">
        <f>ROW()</f>
        <v>60</v>
      </c>
      <c r="B60" s="1563" t="s">
        <v>197</v>
      </c>
      <c r="C60" s="1564"/>
      <c r="D60" s="1565"/>
      <c r="E60" s="1566"/>
      <c r="F60" s="1567"/>
      <c r="G60" s="1567"/>
      <c r="H60" s="1567"/>
      <c r="I60" s="1567"/>
      <c r="J60" s="1567"/>
      <c r="K60" s="1567"/>
      <c r="L60" s="1567"/>
      <c r="M60" s="148"/>
      <c r="O60" s="104"/>
      <c r="Q60" s="104"/>
      <c r="S60" s="124"/>
    </row>
    <row r="61" spans="1:19" x14ac:dyDescent="0.25">
      <c r="A61" s="96">
        <f>ROW()</f>
        <v>61</v>
      </c>
      <c r="B61" s="1563" t="s">
        <v>198</v>
      </c>
      <c r="C61" s="1564"/>
      <c r="D61" s="1565"/>
      <c r="E61" s="1566"/>
      <c r="F61" s="1568"/>
      <c r="G61" s="1568"/>
      <c r="H61" s="1568"/>
      <c r="I61" s="1568"/>
      <c r="J61" s="1568"/>
      <c r="K61" s="1568"/>
      <c r="L61" s="1568"/>
      <c r="M61" s="148"/>
      <c r="O61" s="104"/>
      <c r="Q61" s="104"/>
      <c r="S61" s="124"/>
    </row>
    <row r="62" spans="1:19" x14ac:dyDescent="0.25">
      <c r="A62" s="96">
        <f>ROW()</f>
        <v>62</v>
      </c>
      <c r="B62" s="1563" t="s">
        <v>199</v>
      </c>
      <c r="C62" s="1564"/>
      <c r="D62" s="1565"/>
      <c r="E62" s="1566"/>
      <c r="F62" s="1568"/>
      <c r="G62" s="1568"/>
      <c r="H62" s="1568"/>
      <c r="I62" s="1568"/>
      <c r="J62" s="1568"/>
      <c r="K62" s="1568"/>
      <c r="L62" s="1568"/>
      <c r="M62" s="148"/>
      <c r="O62" s="104"/>
      <c r="Q62" s="104"/>
      <c r="S62" s="124"/>
    </row>
    <row r="63" spans="1:19" x14ac:dyDescent="0.25">
      <c r="A63" s="96">
        <f>ROW()</f>
        <v>63</v>
      </c>
      <c r="B63" s="1563" t="s">
        <v>200</v>
      </c>
      <c r="C63" s="1564"/>
      <c r="D63" s="1565"/>
      <c r="E63" s="1566"/>
      <c r="F63" s="1569">
        <v>0</v>
      </c>
      <c r="G63" s="1570">
        <f>+F71</f>
        <v>0</v>
      </c>
      <c r="H63" s="1570">
        <f>+G71</f>
        <v>0</v>
      </c>
      <c r="I63" s="1570">
        <f t="shared" ref="I63:L63" si="23">+H71</f>
        <v>0</v>
      </c>
      <c r="J63" s="1570">
        <f t="shared" si="23"/>
        <v>0</v>
      </c>
      <c r="K63" s="1570">
        <f t="shared" si="23"/>
        <v>0</v>
      </c>
      <c r="L63" s="1570">
        <f t="shared" si="23"/>
        <v>0</v>
      </c>
      <c r="M63" s="148"/>
      <c r="O63" s="104"/>
      <c r="Q63" s="104"/>
      <c r="S63" s="124"/>
    </row>
    <row r="64" spans="1:19" x14ac:dyDescent="0.25">
      <c r="A64" s="96">
        <f>ROW()</f>
        <v>64</v>
      </c>
      <c r="B64" s="1563" t="s">
        <v>201</v>
      </c>
      <c r="C64" s="1564"/>
      <c r="D64" s="1565"/>
      <c r="E64" s="1566"/>
      <c r="F64" s="1568">
        <f t="shared" ref="F64:L64" si="24">IF(F55&lt;0,-F55,0)</f>
        <v>0</v>
      </c>
      <c r="G64" s="1568">
        <f t="shared" si="24"/>
        <v>0</v>
      </c>
      <c r="H64" s="1568">
        <f t="shared" si="24"/>
        <v>0</v>
      </c>
      <c r="I64" s="1568">
        <f t="shared" si="24"/>
        <v>0</v>
      </c>
      <c r="J64" s="1568">
        <f t="shared" si="24"/>
        <v>0</v>
      </c>
      <c r="K64" s="1568">
        <f t="shared" si="24"/>
        <v>0</v>
      </c>
      <c r="L64" s="1568">
        <f t="shared" si="24"/>
        <v>0</v>
      </c>
      <c r="M64" s="148"/>
      <c r="O64" s="104"/>
      <c r="Q64" s="104"/>
      <c r="S64" s="124"/>
    </row>
    <row r="65" spans="1:21" x14ac:dyDescent="0.25">
      <c r="A65" s="96">
        <f>ROW()</f>
        <v>65</v>
      </c>
      <c r="B65" s="1563" t="s">
        <v>202</v>
      </c>
      <c r="C65" s="1564"/>
      <c r="D65" s="1571">
        <v>0.06</v>
      </c>
      <c r="E65" s="1566"/>
      <c r="F65" s="1568"/>
      <c r="G65" s="1568">
        <f>G63*$D$65</f>
        <v>0</v>
      </c>
      <c r="H65" s="1568">
        <f t="shared" ref="H65:L65" si="25">H63*$D$65</f>
        <v>0</v>
      </c>
      <c r="I65" s="1568">
        <f t="shared" si="25"/>
        <v>0</v>
      </c>
      <c r="J65" s="1568">
        <f t="shared" si="25"/>
        <v>0</v>
      </c>
      <c r="K65" s="1568">
        <f t="shared" si="25"/>
        <v>0</v>
      </c>
      <c r="L65" s="1568">
        <f t="shared" si="25"/>
        <v>0</v>
      </c>
      <c r="M65" s="148"/>
      <c r="O65" s="104"/>
      <c r="Q65" s="104"/>
      <c r="S65" s="124"/>
    </row>
    <row r="66" spans="1:21" x14ac:dyDescent="0.25">
      <c r="A66" s="96">
        <f>ROW()</f>
        <v>66</v>
      </c>
      <c r="B66" s="1563"/>
      <c r="C66" s="1564"/>
      <c r="D66" s="1564"/>
      <c r="E66" s="1566"/>
      <c r="F66" s="1570">
        <f>SUM(F63:F65)</f>
        <v>0</v>
      </c>
      <c r="G66" s="1570">
        <f>SUM(G63:G65)</f>
        <v>0</v>
      </c>
      <c r="H66" s="1570">
        <f t="shared" ref="H66:L66" si="26">SUM(H63:H65)</f>
        <v>0</v>
      </c>
      <c r="I66" s="1570">
        <f t="shared" si="26"/>
        <v>0</v>
      </c>
      <c r="J66" s="1570">
        <f t="shared" si="26"/>
        <v>0</v>
      </c>
      <c r="K66" s="1570">
        <f t="shared" si="26"/>
        <v>0</v>
      </c>
      <c r="L66" s="1570">
        <f t="shared" si="26"/>
        <v>0</v>
      </c>
      <c r="M66" s="148"/>
      <c r="O66" s="104"/>
      <c r="Q66" s="104"/>
      <c r="S66" s="124"/>
    </row>
    <row r="67" spans="1:21" x14ac:dyDescent="0.25">
      <c r="A67" s="96">
        <f>ROW()</f>
        <v>67</v>
      </c>
      <c r="B67" s="1563" t="s">
        <v>203</v>
      </c>
      <c r="C67" s="1564"/>
      <c r="D67" s="1564"/>
      <c r="E67" s="1566"/>
      <c r="F67" s="1568"/>
      <c r="G67" s="1568"/>
      <c r="H67" s="1568"/>
      <c r="I67" s="1568"/>
      <c r="J67" s="1568"/>
      <c r="K67" s="1568"/>
      <c r="L67" s="1568"/>
      <c r="M67" s="148"/>
      <c r="O67" s="104"/>
      <c r="Q67" s="104"/>
      <c r="S67" s="124"/>
    </row>
    <row r="68" spans="1:21" x14ac:dyDescent="0.25">
      <c r="A68" s="96">
        <f>ROW()</f>
        <v>68</v>
      </c>
      <c r="B68" s="1563" t="s">
        <v>204</v>
      </c>
      <c r="C68" s="1564"/>
      <c r="D68" s="1565"/>
      <c r="E68" s="1566"/>
      <c r="F68" s="1568">
        <f t="shared" ref="F68:L68" si="27">IF(F55&gt;0,F55,F55+F63+F64+F65)</f>
        <v>1405170.7871554829</v>
      </c>
      <c r="G68" s="1568">
        <f t="shared" si="27"/>
        <v>1415564.3257825859</v>
      </c>
      <c r="H68" s="1568">
        <f t="shared" si="27"/>
        <v>1429084.152501069</v>
      </c>
      <c r="I68" s="1568">
        <f t="shared" si="27"/>
        <v>1161972.4834305681</v>
      </c>
      <c r="J68" s="1568">
        <f t="shared" si="27"/>
        <v>881264.58524414897</v>
      </c>
      <c r="K68" s="1568">
        <f t="shared" si="27"/>
        <v>592040.77019461244</v>
      </c>
      <c r="L68" s="1568">
        <f t="shared" si="27"/>
        <v>294155.66431186348</v>
      </c>
      <c r="M68" s="148"/>
      <c r="O68" s="104"/>
      <c r="Q68" s="104"/>
      <c r="S68" s="124"/>
    </row>
    <row r="69" spans="1:21" x14ac:dyDescent="0.25">
      <c r="A69" s="96">
        <f>ROW()</f>
        <v>69</v>
      </c>
      <c r="B69" s="1563" t="s">
        <v>205</v>
      </c>
      <c r="C69" s="1564"/>
      <c r="D69" s="1565"/>
      <c r="E69" s="1566"/>
      <c r="F69" s="1568">
        <f>+E69+F68</f>
        <v>1405170.7871554829</v>
      </c>
      <c r="G69" s="1568">
        <f>+F69+G68</f>
        <v>2820735.1129380688</v>
      </c>
      <c r="H69" s="1568">
        <f>+G69+H68</f>
        <v>4249819.2654391378</v>
      </c>
      <c r="I69" s="1568">
        <f t="shared" ref="I69:L69" si="28">+H69+I68</f>
        <v>5411791.7488697059</v>
      </c>
      <c r="J69" s="1568">
        <f t="shared" si="28"/>
        <v>6293056.3341138549</v>
      </c>
      <c r="K69" s="1568">
        <f t="shared" si="28"/>
        <v>6885097.1043084674</v>
      </c>
      <c r="L69" s="1568">
        <f t="shared" si="28"/>
        <v>7179252.7686203308</v>
      </c>
      <c r="M69" s="148"/>
      <c r="O69" s="104"/>
      <c r="Q69" s="104"/>
      <c r="S69" s="124"/>
    </row>
    <row r="70" spans="1:21" x14ac:dyDescent="0.25">
      <c r="A70" s="96">
        <f>ROW()</f>
        <v>70</v>
      </c>
      <c r="B70" s="1563" t="s">
        <v>206</v>
      </c>
      <c r="C70" s="1564"/>
      <c r="D70" s="1565"/>
      <c r="E70" s="1566"/>
      <c r="F70" s="1572">
        <f t="shared" ref="F70:L70" si="29">IF(F55&gt;0,MIN(F68,F55,(F63+F65+F64)),0)</f>
        <v>0</v>
      </c>
      <c r="G70" s="1572">
        <f t="shared" si="29"/>
        <v>0</v>
      </c>
      <c r="H70" s="1572">
        <f t="shared" si="29"/>
        <v>0</v>
      </c>
      <c r="I70" s="1572">
        <f t="shared" si="29"/>
        <v>0</v>
      </c>
      <c r="J70" s="1572">
        <f t="shared" si="29"/>
        <v>0</v>
      </c>
      <c r="K70" s="1572">
        <f t="shared" si="29"/>
        <v>0</v>
      </c>
      <c r="L70" s="1572">
        <f t="shared" si="29"/>
        <v>0</v>
      </c>
      <c r="M70" s="148"/>
      <c r="O70" s="104"/>
      <c r="Q70" s="104"/>
      <c r="S70" s="124"/>
    </row>
    <row r="71" spans="1:21" x14ac:dyDescent="0.25">
      <c r="A71" s="96">
        <f>ROW()</f>
        <v>71</v>
      </c>
      <c r="B71" s="1563" t="s">
        <v>207</v>
      </c>
      <c r="C71" s="1564"/>
      <c r="D71" s="1565"/>
      <c r="E71" s="1566"/>
      <c r="F71" s="1570">
        <f t="shared" ref="F71:L71" si="30">F63+F64+F65-F70</f>
        <v>0</v>
      </c>
      <c r="G71" s="1570">
        <f t="shared" si="30"/>
        <v>0</v>
      </c>
      <c r="H71" s="1570">
        <f t="shared" si="30"/>
        <v>0</v>
      </c>
      <c r="I71" s="1570">
        <f t="shared" si="30"/>
        <v>0</v>
      </c>
      <c r="J71" s="1570">
        <f t="shared" si="30"/>
        <v>0</v>
      </c>
      <c r="K71" s="1570">
        <f t="shared" si="30"/>
        <v>0</v>
      </c>
      <c r="L71" s="1570">
        <f t="shared" si="30"/>
        <v>0</v>
      </c>
      <c r="M71" s="148"/>
      <c r="O71" s="104"/>
      <c r="Q71" s="104"/>
      <c r="S71" s="124"/>
    </row>
    <row r="72" spans="1:21" x14ac:dyDescent="0.25">
      <c r="A72" s="96">
        <f>ROW()</f>
        <v>72</v>
      </c>
      <c r="B72" s="1563"/>
      <c r="C72" s="1564"/>
      <c r="D72" s="1565"/>
      <c r="E72" s="1566"/>
      <c r="F72" s="1568"/>
      <c r="G72" s="1568"/>
      <c r="H72" s="1568"/>
      <c r="I72" s="1568"/>
      <c r="J72" s="1568"/>
      <c r="K72" s="1568"/>
      <c r="L72" s="1568"/>
      <c r="M72" s="148"/>
      <c r="O72" s="104"/>
      <c r="Q72" s="104"/>
      <c r="S72" s="124"/>
    </row>
    <row r="73" spans="1:21" x14ac:dyDescent="0.25">
      <c r="A73" s="96">
        <f>ROW()</f>
        <v>73</v>
      </c>
      <c r="B73" s="1563" t="s">
        <v>208</v>
      </c>
      <c r="C73" s="1564"/>
      <c r="D73" s="1565"/>
      <c r="E73" s="1566"/>
      <c r="F73" s="1568">
        <f t="shared" ref="F73:L73" si="31">IF(F55&gt;0,F55-F70,0)</f>
        <v>1405170.7871554829</v>
      </c>
      <c r="G73" s="1568">
        <f t="shared" si="31"/>
        <v>1415564.3257825859</v>
      </c>
      <c r="H73" s="1568">
        <f t="shared" si="31"/>
        <v>1429084.152501069</v>
      </c>
      <c r="I73" s="1568">
        <f t="shared" si="31"/>
        <v>1161972.4834305681</v>
      </c>
      <c r="J73" s="1568">
        <f t="shared" si="31"/>
        <v>881264.58524414897</v>
      </c>
      <c r="K73" s="1568">
        <f t="shared" si="31"/>
        <v>592040.77019461244</v>
      </c>
      <c r="L73" s="1568">
        <f t="shared" si="31"/>
        <v>294155.66431186348</v>
      </c>
      <c r="M73" s="148"/>
      <c r="O73" s="104"/>
      <c r="Q73" s="104"/>
      <c r="S73" s="124"/>
    </row>
    <row r="74" spans="1:21" x14ac:dyDescent="0.25">
      <c r="A74" s="96">
        <f>ROW()</f>
        <v>74</v>
      </c>
      <c r="B74" s="1563" t="s">
        <v>209</v>
      </c>
      <c r="C74" s="1564"/>
      <c r="D74" s="1565"/>
      <c r="E74" s="1566"/>
      <c r="F74" s="1568">
        <f t="shared" ref="F74:H74" si="32">+F73+E74</f>
        <v>1405170.7871554829</v>
      </c>
      <c r="G74" s="1568">
        <f t="shared" si="32"/>
        <v>2820735.1129380688</v>
      </c>
      <c r="H74" s="1568">
        <f t="shared" si="32"/>
        <v>4249819.2654391378</v>
      </c>
      <c r="I74" s="1568">
        <f>+I73+H74</f>
        <v>5411791.7488697059</v>
      </c>
      <c r="J74" s="1568">
        <f t="shared" ref="J74:L74" si="33">+J73+I74</f>
        <v>6293056.3341138549</v>
      </c>
      <c r="K74" s="1568">
        <f t="shared" si="33"/>
        <v>6885097.1043084674</v>
      </c>
      <c r="L74" s="1568">
        <f t="shared" si="33"/>
        <v>7179252.7686203308</v>
      </c>
      <c r="M74" s="148"/>
      <c r="O74" s="104"/>
      <c r="Q74" s="104"/>
      <c r="S74" s="124"/>
    </row>
    <row r="75" spans="1:21" x14ac:dyDescent="0.25">
      <c r="A75" s="96">
        <f>ROW()</f>
        <v>75</v>
      </c>
      <c r="B75" s="1566"/>
      <c r="C75" s="1566"/>
      <c r="D75" s="1566"/>
      <c r="E75" s="1566"/>
      <c r="F75" s="1564"/>
      <c r="G75" s="1564"/>
      <c r="H75" s="1564"/>
      <c r="I75" s="1564"/>
      <c r="J75" s="1564"/>
      <c r="K75" s="1564"/>
      <c r="L75" s="1564"/>
      <c r="M75" s="148"/>
      <c r="O75" s="104"/>
      <c r="Q75" s="104"/>
      <c r="S75" s="124"/>
    </row>
    <row r="76" spans="1:21" x14ac:dyDescent="0.25">
      <c r="A76" s="96">
        <f>ROW()</f>
        <v>76</v>
      </c>
      <c r="B76" s="1573" t="s">
        <v>210</v>
      </c>
      <c r="C76" s="1574"/>
      <c r="D76" s="1575"/>
      <c r="E76" s="1576"/>
      <c r="F76" s="1567">
        <v>0</v>
      </c>
      <c r="G76" s="1567">
        <v>0</v>
      </c>
      <c r="H76" s="1567">
        <v>0</v>
      </c>
      <c r="I76" s="1567">
        <v>0</v>
      </c>
      <c r="J76" s="1567">
        <v>0</v>
      </c>
      <c r="K76" s="1567">
        <v>0</v>
      </c>
      <c r="L76" s="1567">
        <v>0</v>
      </c>
      <c r="M76" s="148"/>
      <c r="O76" s="104"/>
      <c r="Q76" s="104"/>
      <c r="S76" s="124"/>
    </row>
    <row r="77" spans="1:21" x14ac:dyDescent="0.25">
      <c r="A77" s="96">
        <f>ROW()</f>
        <v>77</v>
      </c>
      <c r="B77" s="1573" t="s">
        <v>211</v>
      </c>
      <c r="C77" s="1574"/>
      <c r="D77" s="1575"/>
      <c r="E77" s="1576"/>
      <c r="F77" s="1577">
        <v>0</v>
      </c>
      <c r="G77" s="1577">
        <v>0</v>
      </c>
      <c r="H77" s="1577">
        <v>0</v>
      </c>
      <c r="I77" s="1577">
        <v>0</v>
      </c>
      <c r="J77" s="1577">
        <v>0</v>
      </c>
      <c r="K77" s="1577">
        <v>0</v>
      </c>
      <c r="L77" s="1577">
        <v>0</v>
      </c>
      <c r="M77" s="148"/>
      <c r="O77" s="104"/>
      <c r="Q77" s="104"/>
      <c r="S77" s="124"/>
    </row>
    <row r="78" spans="1:21" ht="15.75" thickBot="1" x14ac:dyDescent="0.3">
      <c r="A78" s="96">
        <f>ROW()</f>
        <v>78</v>
      </c>
      <c r="B78" s="1578" t="s">
        <v>212</v>
      </c>
      <c r="C78" s="1579"/>
      <c r="D78" s="1579"/>
      <c r="E78" s="1580"/>
      <c r="F78" s="1581">
        <f t="shared" ref="F78:L78" si="34">SUM(F76:F77)</f>
        <v>0</v>
      </c>
      <c r="G78" s="1581">
        <f t="shared" si="34"/>
        <v>0</v>
      </c>
      <c r="H78" s="1581">
        <f t="shared" si="34"/>
        <v>0</v>
      </c>
      <c r="I78" s="1581">
        <f t="shared" si="34"/>
        <v>0</v>
      </c>
      <c r="J78" s="1581">
        <f t="shared" si="34"/>
        <v>0</v>
      </c>
      <c r="K78" s="1581">
        <f t="shared" si="34"/>
        <v>0</v>
      </c>
      <c r="L78" s="1581">
        <f t="shared" si="34"/>
        <v>0</v>
      </c>
      <c r="M78" s="148"/>
      <c r="O78" s="104"/>
      <c r="Q78" s="104"/>
      <c r="S78" s="124"/>
    </row>
    <row r="79" spans="1:21" s="1521" customFormat="1" ht="15.75" thickBot="1" x14ac:dyDescent="0.3">
      <c r="A79" s="1518">
        <f>ROW()</f>
        <v>79</v>
      </c>
      <c r="B79" s="1537" t="s">
        <v>213</v>
      </c>
      <c r="C79" s="1538"/>
      <c r="D79" s="1538"/>
      <c r="E79" s="1539"/>
      <c r="F79" s="1540">
        <f>F58</f>
        <v>12478170.787155483</v>
      </c>
      <c r="G79" s="1540">
        <f t="shared" ref="G79:L79" si="35">+G55+G58-G78</f>
        <v>15309299.438720655</v>
      </c>
      <c r="H79" s="1540">
        <f t="shared" si="35"/>
        <v>16751903.417940207</v>
      </c>
      <c r="I79" s="1540">
        <f t="shared" si="35"/>
        <v>17646764.232300274</v>
      </c>
      <c r="J79" s="1540">
        <f t="shared" si="35"/>
        <v>18247320.919358004</v>
      </c>
      <c r="K79" s="1540">
        <f t="shared" si="35"/>
        <v>18550137.87450308</v>
      </c>
      <c r="L79" s="1540">
        <f t="shared" si="35"/>
        <v>18546408.432932194</v>
      </c>
      <c r="M79" s="1541"/>
      <c r="N79" s="1519"/>
      <c r="O79" s="1520"/>
      <c r="P79" s="1519"/>
      <c r="Q79" s="1520" t="s">
        <v>1399</v>
      </c>
      <c r="R79" s="1519"/>
      <c r="S79" s="1542"/>
      <c r="U79" s="1543"/>
    </row>
    <row r="80" spans="1:21" x14ac:dyDescent="0.25">
      <c r="A80" s="96">
        <f>ROW()</f>
        <v>80</v>
      </c>
      <c r="B80" s="141"/>
      <c r="C80" s="142"/>
      <c r="D80" s="142"/>
      <c r="E80" s="142"/>
      <c r="F80" s="156"/>
      <c r="G80" s="156"/>
      <c r="H80" s="156"/>
      <c r="I80" s="156"/>
      <c r="J80" s="156"/>
      <c r="K80" s="156"/>
      <c r="L80" s="156"/>
      <c r="M80" s="148"/>
      <c r="O80" s="104"/>
      <c r="P80" s="42" t="s">
        <v>147</v>
      </c>
      <c r="Q80" s="104"/>
    </row>
    <row r="81" spans="1:19" x14ac:dyDescent="0.25">
      <c r="A81" s="96">
        <f>ROW()</f>
        <v>81</v>
      </c>
      <c r="B81" s="141" t="s">
        <v>214</v>
      </c>
      <c r="C81" s="142"/>
      <c r="D81" s="142"/>
      <c r="E81" s="142"/>
      <c r="F81" s="143">
        <f t="shared" ref="F81:L81" si="36">+F55-(SUM(F33:F34))-F28</f>
        <v>1405170.7871554829</v>
      </c>
      <c r="G81" s="143">
        <f t="shared" si="36"/>
        <v>1415564.3257825859</v>
      </c>
      <c r="H81" s="143">
        <f t="shared" si="36"/>
        <v>1429084.152501069</v>
      </c>
      <c r="I81" s="143">
        <f t="shared" si="36"/>
        <v>1161972.4834305681</v>
      </c>
      <c r="J81" s="143">
        <f t="shared" si="36"/>
        <v>881264.58524414897</v>
      </c>
      <c r="K81" s="143">
        <f t="shared" si="36"/>
        <v>592040.77019461244</v>
      </c>
      <c r="L81" s="143">
        <f t="shared" si="36"/>
        <v>294155.66431186348</v>
      </c>
      <c r="M81" s="148"/>
      <c r="O81" s="104"/>
      <c r="P81" s="42" t="s">
        <v>147</v>
      </c>
      <c r="Q81" s="104"/>
    </row>
    <row r="82" spans="1:19" x14ac:dyDescent="0.25">
      <c r="A82" s="96">
        <f>ROW()</f>
        <v>82</v>
      </c>
      <c r="B82" s="141" t="s">
        <v>215</v>
      </c>
      <c r="C82" s="142"/>
      <c r="D82" s="142"/>
      <c r="E82" s="142"/>
      <c r="F82" s="143">
        <f t="shared" ref="F82:L82" si="37">+F81+E82</f>
        <v>1405170.7871554829</v>
      </c>
      <c r="G82" s="143">
        <f t="shared" si="37"/>
        <v>2820735.1129380688</v>
      </c>
      <c r="H82" s="143">
        <f t="shared" si="37"/>
        <v>4249819.2654391378</v>
      </c>
      <c r="I82" s="143">
        <f t="shared" si="37"/>
        <v>5411791.7488697059</v>
      </c>
      <c r="J82" s="143">
        <f t="shared" si="37"/>
        <v>6293056.3341138549</v>
      </c>
      <c r="K82" s="143">
        <f t="shared" si="37"/>
        <v>6885097.1043084674</v>
      </c>
      <c r="L82" s="143">
        <f t="shared" si="37"/>
        <v>7179252.7686203308</v>
      </c>
      <c r="M82" s="148"/>
      <c r="O82" s="104"/>
      <c r="P82" s="42" t="s">
        <v>147</v>
      </c>
      <c r="Q82" s="104"/>
    </row>
    <row r="83" spans="1:19" ht="15.75" thickBot="1" x14ac:dyDescent="0.3">
      <c r="A83" s="96">
        <f>ROW()</f>
        <v>83</v>
      </c>
      <c r="C83" s="142"/>
      <c r="D83" s="142"/>
      <c r="E83" s="142"/>
      <c r="F83" s="156"/>
      <c r="G83" s="156"/>
      <c r="H83" s="156"/>
      <c r="I83" s="156"/>
      <c r="J83" s="156"/>
      <c r="K83" s="156"/>
      <c r="L83" s="156"/>
      <c r="M83" s="148"/>
      <c r="O83" s="104"/>
      <c r="P83" s="42" t="s">
        <v>147</v>
      </c>
      <c r="Q83" s="104"/>
    </row>
    <row r="84" spans="1:19" ht="25.5" x14ac:dyDescent="0.35">
      <c r="A84" s="96">
        <f>ROW()</f>
        <v>84</v>
      </c>
      <c r="B84" s="1603" t="s">
        <v>1400</v>
      </c>
      <c r="C84" s="1604"/>
      <c r="D84" s="1604"/>
      <c r="E84" s="1604"/>
      <c r="F84" s="1604"/>
      <c r="G84" s="1604"/>
      <c r="H84" s="1604"/>
      <c r="I84" s="1604"/>
      <c r="J84" s="1604"/>
      <c r="K84" s="1604"/>
      <c r="L84" s="1605"/>
      <c r="M84"/>
      <c r="N84"/>
      <c r="O84"/>
      <c r="P84"/>
      <c r="Q84"/>
      <c r="R84"/>
      <c r="S84"/>
    </row>
    <row r="85" spans="1:19" ht="26.25" thickBot="1" x14ac:dyDescent="0.4">
      <c r="A85" s="96">
        <f>ROW()</f>
        <v>85</v>
      </c>
      <c r="B85" s="1606" t="s">
        <v>1413</v>
      </c>
      <c r="C85" s="1607"/>
      <c r="D85" s="1607"/>
      <c r="E85" s="1607"/>
      <c r="F85" s="1607"/>
      <c r="G85" s="1607"/>
      <c r="H85" s="1607"/>
      <c r="I85" s="1607"/>
      <c r="J85" s="1607"/>
      <c r="K85" s="1607"/>
      <c r="L85" s="1544"/>
      <c r="M85"/>
      <c r="N85"/>
      <c r="O85"/>
      <c r="P85"/>
      <c r="Q85"/>
      <c r="R85"/>
      <c r="S85"/>
    </row>
    <row r="86" spans="1:19" x14ac:dyDescent="0.25">
      <c r="A86" s="96">
        <f>ROW()</f>
        <v>86</v>
      </c>
      <c r="B86"/>
      <c r="C86"/>
      <c r="D86"/>
      <c r="E86"/>
      <c r="F86"/>
      <c r="G86"/>
      <c r="H86"/>
      <c r="I86"/>
      <c r="J86"/>
      <c r="K86"/>
      <c r="L86"/>
      <c r="M86"/>
      <c r="N86"/>
      <c r="O86"/>
      <c r="P86"/>
      <c r="Q86"/>
      <c r="R86"/>
      <c r="S86"/>
    </row>
    <row r="87" spans="1:19" x14ac:dyDescent="0.25">
      <c r="A87" s="96">
        <f>ROW()</f>
        <v>87</v>
      </c>
      <c r="B87"/>
      <c r="C87"/>
      <c r="D87"/>
      <c r="E87"/>
      <c r="F87"/>
      <c r="G87"/>
      <c r="H87"/>
      <c r="I87"/>
      <c r="J87"/>
      <c r="K87"/>
      <c r="L87"/>
      <c r="M87"/>
      <c r="N87"/>
      <c r="O87"/>
      <c r="P87"/>
      <c r="Q87"/>
      <c r="R87"/>
      <c r="S87"/>
    </row>
    <row r="88" spans="1:19" x14ac:dyDescent="0.25">
      <c r="A88" s="96">
        <f>ROW()</f>
        <v>88</v>
      </c>
      <c r="B88" s="1608" t="e" vm="1">
        <v>#VALUE!</v>
      </c>
      <c r="C88" s="1608"/>
      <c r="D88" s="1608"/>
      <c r="E88" s="1608"/>
      <c r="F88" s="1608"/>
      <c r="G88" s="1608"/>
      <c r="H88" s="1608"/>
      <c r="I88" s="1608"/>
      <c r="J88" s="1608"/>
      <c r="K88" s="1608"/>
      <c r="L88" s="1608"/>
      <c r="M88"/>
      <c r="N88"/>
      <c r="O88"/>
      <c r="P88"/>
      <c r="Q88"/>
      <c r="R88"/>
      <c r="S88"/>
    </row>
    <row r="89" spans="1:19" x14ac:dyDescent="0.25">
      <c r="A89" s="96">
        <f>ROW()</f>
        <v>89</v>
      </c>
      <c r="B89" s="1608"/>
      <c r="C89" s="1608"/>
      <c r="D89" s="1608"/>
      <c r="E89" s="1608"/>
      <c r="F89" s="1608"/>
      <c r="G89" s="1608"/>
      <c r="H89" s="1608"/>
      <c r="I89" s="1608"/>
      <c r="J89" s="1608"/>
      <c r="K89" s="1608"/>
      <c r="L89" s="1608"/>
      <c r="M89"/>
      <c r="N89"/>
      <c r="O89"/>
      <c r="P89"/>
      <c r="Q89"/>
      <c r="R89"/>
      <c r="S89"/>
    </row>
    <row r="90" spans="1:19" x14ac:dyDescent="0.25">
      <c r="A90" s="96">
        <f>ROW()</f>
        <v>90</v>
      </c>
      <c r="B90" s="1608"/>
      <c r="C90" s="1608"/>
      <c r="D90" s="1608"/>
      <c r="E90" s="1608"/>
      <c r="F90" s="1608"/>
      <c r="G90" s="1608"/>
      <c r="H90" s="1608"/>
      <c r="I90" s="1608"/>
      <c r="J90" s="1608"/>
      <c r="K90" s="1608"/>
      <c r="L90" s="1608"/>
      <c r="M90"/>
      <c r="N90"/>
      <c r="O90"/>
      <c r="P90"/>
      <c r="Q90"/>
      <c r="R90"/>
      <c r="S90"/>
    </row>
    <row r="91" spans="1:19" x14ac:dyDescent="0.25">
      <c r="A91" s="96">
        <f>ROW()</f>
        <v>91</v>
      </c>
      <c r="B91" s="1608"/>
      <c r="C91" s="1608"/>
      <c r="D91" s="1608"/>
      <c r="E91" s="1608"/>
      <c r="F91" s="1608"/>
      <c r="G91" s="1608"/>
      <c r="H91" s="1608"/>
      <c r="I91" s="1608"/>
      <c r="J91" s="1608"/>
      <c r="K91" s="1608"/>
      <c r="L91" s="1608"/>
      <c r="M91"/>
      <c r="N91"/>
      <c r="O91"/>
      <c r="P91"/>
      <c r="Q91"/>
      <c r="R91"/>
      <c r="S91"/>
    </row>
    <row r="92" spans="1:19" x14ac:dyDescent="0.25">
      <c r="A92" s="96">
        <f>ROW()</f>
        <v>92</v>
      </c>
      <c r="B92" s="1608"/>
      <c r="C92" s="1608"/>
      <c r="D92" s="1608"/>
      <c r="E92" s="1608"/>
      <c r="F92" s="1608"/>
      <c r="G92" s="1608"/>
      <c r="H92" s="1608"/>
      <c r="I92" s="1608"/>
      <c r="J92" s="1608"/>
      <c r="K92" s="1608"/>
      <c r="L92" s="1608"/>
      <c r="M92"/>
      <c r="N92"/>
      <c r="O92"/>
      <c r="P92"/>
      <c r="Q92"/>
      <c r="R92"/>
      <c r="S92"/>
    </row>
    <row r="93" spans="1:19" x14ac:dyDescent="0.25">
      <c r="A93" s="96">
        <f>ROW()</f>
        <v>93</v>
      </c>
      <c r="B93" s="1608"/>
      <c r="C93" s="1608"/>
      <c r="D93" s="1608"/>
      <c r="E93" s="1608"/>
      <c r="F93" s="1608"/>
      <c r="G93" s="1608"/>
      <c r="H93" s="1608"/>
      <c r="I93" s="1608"/>
      <c r="J93" s="1608"/>
      <c r="K93" s="1608"/>
      <c r="L93" s="1608"/>
      <c r="M93"/>
      <c r="N93"/>
      <c r="O93"/>
      <c r="P93"/>
      <c r="Q93"/>
      <c r="R93"/>
      <c r="S93"/>
    </row>
    <row r="94" spans="1:19" x14ac:dyDescent="0.25">
      <c r="A94" s="96">
        <f>ROW()</f>
        <v>94</v>
      </c>
      <c r="B94" s="1608"/>
      <c r="C94" s="1608"/>
      <c r="D94" s="1608"/>
      <c r="E94" s="1608"/>
      <c r="F94" s="1608"/>
      <c r="G94" s="1608"/>
      <c r="H94" s="1608"/>
      <c r="I94" s="1608"/>
      <c r="J94" s="1608"/>
      <c r="K94" s="1608"/>
      <c r="L94" s="1608"/>
      <c r="M94"/>
      <c r="N94"/>
      <c r="O94"/>
      <c r="P94"/>
      <c r="Q94"/>
      <c r="R94"/>
      <c r="S94"/>
    </row>
    <row r="95" spans="1:19" x14ac:dyDescent="0.25">
      <c r="A95" s="96">
        <f>ROW()</f>
        <v>95</v>
      </c>
      <c r="B95" s="1608"/>
      <c r="C95" s="1608"/>
      <c r="D95" s="1608"/>
      <c r="E95" s="1608"/>
      <c r="F95" s="1608"/>
      <c r="G95" s="1608"/>
      <c r="H95" s="1608"/>
      <c r="I95" s="1608"/>
      <c r="J95" s="1608"/>
      <c r="K95" s="1608"/>
      <c r="L95" s="1608"/>
      <c r="M95"/>
      <c r="N95"/>
      <c r="O95"/>
      <c r="P95"/>
      <c r="Q95"/>
      <c r="R95"/>
      <c r="S95"/>
    </row>
    <row r="96" spans="1:19" x14ac:dyDescent="0.25">
      <c r="A96" s="96">
        <f>ROW()</f>
        <v>96</v>
      </c>
      <c r="B96" s="1608"/>
      <c r="C96" s="1608"/>
      <c r="D96" s="1608"/>
      <c r="E96" s="1608"/>
      <c r="F96" s="1608"/>
      <c r="G96" s="1608"/>
      <c r="H96" s="1608"/>
      <c r="I96" s="1608"/>
      <c r="J96" s="1608"/>
      <c r="K96" s="1608"/>
      <c r="L96" s="1608"/>
      <c r="M96"/>
      <c r="N96"/>
      <c r="O96"/>
      <c r="P96"/>
      <c r="Q96"/>
      <c r="R96"/>
      <c r="S96"/>
    </row>
    <row r="97" spans="1:19" x14ac:dyDescent="0.25">
      <c r="A97" s="96">
        <f>ROW()</f>
        <v>97</v>
      </c>
      <c r="B97" s="1608"/>
      <c r="C97" s="1608"/>
      <c r="D97" s="1608"/>
      <c r="E97" s="1608"/>
      <c r="F97" s="1608"/>
      <c r="G97" s="1608"/>
      <c r="H97" s="1608"/>
      <c r="I97" s="1608"/>
      <c r="J97" s="1608"/>
      <c r="K97" s="1608"/>
      <c r="L97" s="1608"/>
      <c r="M97"/>
      <c r="N97"/>
      <c r="O97"/>
      <c r="P97"/>
      <c r="Q97"/>
      <c r="R97"/>
      <c r="S97"/>
    </row>
    <row r="98" spans="1:19" x14ac:dyDescent="0.25">
      <c r="A98" s="96">
        <f>ROW()</f>
        <v>98</v>
      </c>
      <c r="B98" s="1608"/>
      <c r="C98" s="1608"/>
      <c r="D98" s="1608"/>
      <c r="E98" s="1608"/>
      <c r="F98" s="1608"/>
      <c r="G98" s="1608"/>
      <c r="H98" s="1608"/>
      <c r="I98" s="1608"/>
      <c r="J98" s="1608"/>
      <c r="K98" s="1608"/>
      <c r="L98" s="1608"/>
      <c r="M98"/>
      <c r="N98"/>
      <c r="O98"/>
      <c r="P98"/>
      <c r="Q98"/>
      <c r="R98"/>
      <c r="S98"/>
    </row>
    <row r="99" spans="1:19" x14ac:dyDescent="0.25">
      <c r="A99" s="96">
        <f>ROW()</f>
        <v>99</v>
      </c>
      <c r="B99" s="1608"/>
      <c r="C99" s="1608"/>
      <c r="D99" s="1608"/>
      <c r="E99" s="1608"/>
      <c r="F99" s="1608"/>
      <c r="G99" s="1608"/>
      <c r="H99" s="1608"/>
      <c r="I99" s="1608"/>
      <c r="J99" s="1608"/>
      <c r="K99" s="1608"/>
      <c r="L99" s="1608"/>
      <c r="M99"/>
      <c r="N99"/>
      <c r="O99"/>
      <c r="P99"/>
      <c r="Q99"/>
      <c r="R99"/>
      <c r="S99"/>
    </row>
    <row r="100" spans="1:19" x14ac:dyDescent="0.25">
      <c r="A100" s="96">
        <f>ROW()</f>
        <v>100</v>
      </c>
      <c r="B100" s="1608"/>
      <c r="C100" s="1608"/>
      <c r="D100" s="1608"/>
      <c r="E100" s="1608"/>
      <c r="F100" s="1608"/>
      <c r="G100" s="1608"/>
      <c r="H100" s="1608"/>
      <c r="I100" s="1608"/>
      <c r="J100" s="1608"/>
      <c r="K100" s="1608"/>
      <c r="L100" s="1608"/>
      <c r="M100"/>
      <c r="N100"/>
      <c r="O100"/>
      <c r="P100"/>
      <c r="Q100"/>
      <c r="R100"/>
      <c r="S100"/>
    </row>
    <row r="101" spans="1:19" x14ac:dyDescent="0.25">
      <c r="A101" s="96">
        <f>ROW()</f>
        <v>101</v>
      </c>
      <c r="B101" s="1608"/>
      <c r="C101" s="1608"/>
      <c r="D101" s="1608"/>
      <c r="E101" s="1608"/>
      <c r="F101" s="1608"/>
      <c r="G101" s="1608"/>
      <c r="H101" s="1608"/>
      <c r="I101" s="1608"/>
      <c r="J101" s="1608"/>
      <c r="K101" s="1608"/>
      <c r="L101" s="1608"/>
      <c r="M101"/>
      <c r="N101"/>
      <c r="O101"/>
      <c r="P101"/>
      <c r="Q101"/>
      <c r="R101"/>
      <c r="S101"/>
    </row>
    <row r="102" spans="1:19" x14ac:dyDescent="0.25">
      <c r="A102" s="96">
        <f>ROW()</f>
        <v>102</v>
      </c>
      <c r="B102" s="1608"/>
      <c r="C102" s="1608"/>
      <c r="D102" s="1608"/>
      <c r="E102" s="1608"/>
      <c r="F102" s="1608"/>
      <c r="G102" s="1608"/>
      <c r="H102" s="1608"/>
      <c r="I102" s="1608"/>
      <c r="J102" s="1608"/>
      <c r="K102" s="1608"/>
      <c r="L102" s="1608"/>
      <c r="M102"/>
      <c r="N102"/>
      <c r="O102"/>
      <c r="P102"/>
      <c r="Q102"/>
      <c r="R102"/>
      <c r="S102"/>
    </row>
    <row r="103" spans="1:19" x14ac:dyDescent="0.25">
      <c r="A103" s="96">
        <f>ROW()</f>
        <v>103</v>
      </c>
      <c r="B103" s="1608"/>
      <c r="C103" s="1608"/>
      <c r="D103" s="1608"/>
      <c r="E103" s="1608"/>
      <c r="F103" s="1608"/>
      <c r="G103" s="1608"/>
      <c r="H103" s="1608"/>
      <c r="I103" s="1608"/>
      <c r="J103" s="1608"/>
      <c r="K103" s="1608"/>
      <c r="L103" s="1608"/>
      <c r="M103"/>
      <c r="N103"/>
      <c r="O103"/>
      <c r="P103"/>
      <c r="Q103"/>
      <c r="R103"/>
      <c r="S103"/>
    </row>
    <row r="104" spans="1:19" x14ac:dyDescent="0.25">
      <c r="A104" s="96">
        <f>ROW()</f>
        <v>104</v>
      </c>
      <c r="B104" s="1608"/>
      <c r="C104" s="1608"/>
      <c r="D104" s="1608"/>
      <c r="E104" s="1608"/>
      <c r="F104" s="1608"/>
      <c r="G104" s="1608"/>
      <c r="H104" s="1608"/>
      <c r="I104" s="1608"/>
      <c r="J104" s="1608"/>
      <c r="K104" s="1608"/>
      <c r="L104" s="1608"/>
      <c r="M104"/>
      <c r="N104"/>
      <c r="O104"/>
      <c r="P104"/>
      <c r="Q104"/>
      <c r="R104"/>
      <c r="S104"/>
    </row>
    <row r="105" spans="1:19" x14ac:dyDescent="0.25">
      <c r="A105" s="96">
        <f>ROW()</f>
        <v>105</v>
      </c>
      <c r="B105" s="1608"/>
      <c r="C105" s="1608"/>
      <c r="D105" s="1608"/>
      <c r="E105" s="1608"/>
      <c r="F105" s="1608"/>
      <c r="G105" s="1608"/>
      <c r="H105" s="1608"/>
      <c r="I105" s="1608"/>
      <c r="J105" s="1608"/>
      <c r="K105" s="1608"/>
      <c r="L105" s="1608"/>
      <c r="M105"/>
      <c r="N105"/>
      <c r="O105"/>
      <c r="P105"/>
      <c r="Q105"/>
      <c r="S105"/>
    </row>
    <row r="106" spans="1:19" x14ac:dyDescent="0.25">
      <c r="A106" s="96">
        <f>ROW()</f>
        <v>106</v>
      </c>
      <c r="B106" s="1608"/>
      <c r="C106" s="1608"/>
      <c r="D106" s="1608"/>
      <c r="E106" s="1608"/>
      <c r="F106" s="1608"/>
      <c r="G106" s="1608"/>
      <c r="H106" s="1608"/>
      <c r="I106" s="1608"/>
      <c r="J106" s="1608"/>
      <c r="K106" s="1608"/>
      <c r="L106" s="1608"/>
      <c r="M106"/>
      <c r="N106"/>
      <c r="O106"/>
      <c r="P106"/>
      <c r="Q106"/>
      <c r="R106"/>
      <c r="S106"/>
    </row>
    <row r="107" spans="1:19" x14ac:dyDescent="0.25">
      <c r="B107" s="1608"/>
      <c r="C107" s="1608"/>
      <c r="D107" s="1608"/>
      <c r="E107" s="1608"/>
      <c r="F107" s="1608"/>
      <c r="G107" s="1608"/>
      <c r="H107" s="1608"/>
      <c r="I107" s="1608"/>
      <c r="J107" s="1608"/>
      <c r="K107" s="1608"/>
      <c r="L107" s="1608"/>
      <c r="O107" s="104"/>
      <c r="P107" s="42" t="s">
        <v>147</v>
      </c>
      <c r="Q107" s="104"/>
    </row>
    <row r="108" spans="1:19" x14ac:dyDescent="0.25">
      <c r="O108" s="104"/>
      <c r="P108" s="42" t="s">
        <v>147</v>
      </c>
      <c r="Q108" s="104"/>
    </row>
    <row r="109" spans="1:19" x14ac:dyDescent="0.25">
      <c r="B109" s="1609" t="e" vm="2">
        <v>#VALUE!</v>
      </c>
      <c r="C109" s="1609"/>
      <c r="D109" s="1609"/>
      <c r="E109" s="1609"/>
      <c r="F109" s="1609"/>
      <c r="G109" s="1609"/>
      <c r="H109" s="1609"/>
      <c r="I109" s="1609"/>
      <c r="J109" s="1609"/>
      <c r="K109" s="1609"/>
      <c r="L109" s="1609"/>
      <c r="O109" s="104"/>
      <c r="P109" s="42" t="s">
        <v>147</v>
      </c>
      <c r="Q109" s="104"/>
    </row>
    <row r="110" spans="1:19" x14ac:dyDescent="0.25">
      <c r="B110" s="1609"/>
      <c r="C110" s="1609"/>
      <c r="D110" s="1609"/>
      <c r="E110" s="1609"/>
      <c r="F110" s="1609"/>
      <c r="G110" s="1609"/>
      <c r="H110" s="1609"/>
      <c r="I110" s="1609"/>
      <c r="J110" s="1609"/>
      <c r="K110" s="1609"/>
      <c r="L110" s="1609"/>
      <c r="O110" s="104"/>
      <c r="P110" s="42" t="s">
        <v>147</v>
      </c>
      <c r="Q110" s="104"/>
    </row>
    <row r="111" spans="1:19" x14ac:dyDescent="0.25">
      <c r="B111" s="1609"/>
      <c r="C111" s="1609"/>
      <c r="D111" s="1609"/>
      <c r="E111" s="1609"/>
      <c r="F111" s="1609"/>
      <c r="G111" s="1609"/>
      <c r="H111" s="1609"/>
      <c r="I111" s="1609"/>
      <c r="J111" s="1609"/>
      <c r="K111" s="1609"/>
      <c r="L111" s="1609"/>
      <c r="O111" s="104"/>
      <c r="P111" s="42" t="s">
        <v>147</v>
      </c>
      <c r="Q111" s="104"/>
    </row>
    <row r="112" spans="1:19" x14ac:dyDescent="0.25">
      <c r="B112" s="1609"/>
      <c r="C112" s="1609"/>
      <c r="D112" s="1609"/>
      <c r="E112" s="1609"/>
      <c r="F112" s="1609"/>
      <c r="G112" s="1609"/>
      <c r="H112" s="1609"/>
      <c r="I112" s="1609"/>
      <c r="J112" s="1609"/>
      <c r="K112" s="1609"/>
      <c r="L112" s="1609"/>
      <c r="O112" s="104"/>
      <c r="P112" s="42" t="s">
        <v>147</v>
      </c>
      <c r="Q112" s="104"/>
    </row>
    <row r="113" spans="2:17" x14ac:dyDescent="0.25">
      <c r="B113" s="1609"/>
      <c r="C113" s="1609"/>
      <c r="D113" s="1609"/>
      <c r="E113" s="1609"/>
      <c r="F113" s="1609"/>
      <c r="G113" s="1609"/>
      <c r="H113" s="1609"/>
      <c r="I113" s="1609"/>
      <c r="J113" s="1609"/>
      <c r="K113" s="1609"/>
      <c r="L113" s="1609"/>
      <c r="O113" s="104"/>
      <c r="P113" s="42" t="s">
        <v>147</v>
      </c>
      <c r="Q113" s="104"/>
    </row>
    <row r="114" spans="2:17" x14ac:dyDescent="0.25">
      <c r="B114" s="1609"/>
      <c r="C114" s="1609"/>
      <c r="D114" s="1609"/>
      <c r="E114" s="1609"/>
      <c r="F114" s="1609"/>
      <c r="G114" s="1609"/>
      <c r="H114" s="1609"/>
      <c r="I114" s="1609"/>
      <c r="J114" s="1609"/>
      <c r="K114" s="1609"/>
      <c r="L114" s="1609"/>
      <c r="O114" s="104"/>
      <c r="P114" s="42" t="s">
        <v>147</v>
      </c>
      <c r="Q114" s="104"/>
    </row>
    <row r="115" spans="2:17" x14ac:dyDescent="0.25">
      <c r="B115" s="1609"/>
      <c r="C115" s="1609"/>
      <c r="D115" s="1609"/>
      <c r="E115" s="1609"/>
      <c r="F115" s="1609"/>
      <c r="G115" s="1609"/>
      <c r="H115" s="1609"/>
      <c r="I115" s="1609"/>
      <c r="J115" s="1609"/>
      <c r="K115" s="1609"/>
      <c r="L115" s="1609"/>
      <c r="O115" s="104"/>
      <c r="P115" s="42" t="s">
        <v>147</v>
      </c>
      <c r="Q115" s="104"/>
    </row>
    <row r="116" spans="2:17" x14ac:dyDescent="0.25">
      <c r="B116" s="1609"/>
      <c r="C116" s="1609"/>
      <c r="D116" s="1609"/>
      <c r="E116" s="1609"/>
      <c r="F116" s="1609"/>
      <c r="G116" s="1609"/>
      <c r="H116" s="1609"/>
      <c r="I116" s="1609"/>
      <c r="J116" s="1609"/>
      <c r="K116" s="1609"/>
      <c r="L116" s="1609"/>
      <c r="O116" s="104"/>
      <c r="P116" s="42" t="s">
        <v>147</v>
      </c>
      <c r="Q116" s="104"/>
    </row>
    <row r="117" spans="2:17" x14ac:dyDescent="0.25">
      <c r="B117" s="1609"/>
      <c r="C117" s="1609"/>
      <c r="D117" s="1609"/>
      <c r="E117" s="1609"/>
      <c r="F117" s="1609"/>
      <c r="G117" s="1609"/>
      <c r="H117" s="1609"/>
      <c r="I117" s="1609"/>
      <c r="J117" s="1609"/>
      <c r="K117" s="1609"/>
      <c r="L117" s="1609"/>
      <c r="O117" s="104"/>
      <c r="P117" s="42" t="s">
        <v>147</v>
      </c>
      <c r="Q117" s="104"/>
    </row>
    <row r="118" spans="2:17" x14ac:dyDescent="0.25">
      <c r="B118" s="1609"/>
      <c r="C118" s="1609"/>
      <c r="D118" s="1609"/>
      <c r="E118" s="1609"/>
      <c r="F118" s="1609"/>
      <c r="G118" s="1609"/>
      <c r="H118" s="1609"/>
      <c r="I118" s="1609"/>
      <c r="J118" s="1609"/>
      <c r="K118" s="1609"/>
      <c r="L118" s="1609"/>
      <c r="O118" s="104"/>
      <c r="P118" s="42" t="s">
        <v>147</v>
      </c>
      <c r="Q118" s="104"/>
    </row>
    <row r="119" spans="2:17" x14ac:dyDescent="0.25">
      <c r="B119" s="1609"/>
      <c r="C119" s="1609"/>
      <c r="D119" s="1609"/>
      <c r="E119" s="1609"/>
      <c r="F119" s="1609"/>
      <c r="G119" s="1609"/>
      <c r="H119" s="1609"/>
      <c r="I119" s="1609"/>
      <c r="J119" s="1609"/>
      <c r="K119" s="1609"/>
      <c r="L119" s="1609"/>
      <c r="O119" s="104"/>
      <c r="P119" s="42" t="s">
        <v>147</v>
      </c>
      <c r="Q119" s="104"/>
    </row>
    <row r="120" spans="2:17" x14ac:dyDescent="0.25">
      <c r="B120" s="1609"/>
      <c r="C120" s="1609"/>
      <c r="D120" s="1609"/>
      <c r="E120" s="1609"/>
      <c r="F120" s="1609"/>
      <c r="G120" s="1609"/>
      <c r="H120" s="1609"/>
      <c r="I120" s="1609"/>
      <c r="J120" s="1609"/>
      <c r="K120" s="1609"/>
      <c r="L120" s="1609"/>
      <c r="O120" s="104"/>
      <c r="P120" s="42" t="s">
        <v>147</v>
      </c>
      <c r="Q120" s="104"/>
    </row>
    <row r="121" spans="2:17" x14ac:dyDescent="0.25">
      <c r="B121" s="1609"/>
      <c r="C121" s="1609"/>
      <c r="D121" s="1609"/>
      <c r="E121" s="1609"/>
      <c r="F121" s="1609"/>
      <c r="G121" s="1609"/>
      <c r="H121" s="1609"/>
      <c r="I121" s="1609"/>
      <c r="J121" s="1609"/>
      <c r="K121" s="1609"/>
      <c r="L121" s="1609"/>
      <c r="O121" s="104"/>
      <c r="Q121" s="104"/>
    </row>
    <row r="122" spans="2:17" x14ac:dyDescent="0.25">
      <c r="B122" s="1609"/>
      <c r="C122" s="1609"/>
      <c r="D122" s="1609"/>
      <c r="E122" s="1609"/>
      <c r="F122" s="1609"/>
      <c r="G122" s="1609"/>
      <c r="H122" s="1609"/>
      <c r="I122" s="1609"/>
      <c r="J122" s="1609"/>
      <c r="K122" s="1609"/>
      <c r="L122" s="1609"/>
      <c r="O122" s="104"/>
      <c r="P122" s="42" t="s">
        <v>147</v>
      </c>
      <c r="Q122" s="104"/>
    </row>
    <row r="123" spans="2:17" x14ac:dyDescent="0.25">
      <c r="B123" s="1609"/>
      <c r="C123" s="1609"/>
      <c r="D123" s="1609"/>
      <c r="E123" s="1609"/>
      <c r="F123" s="1609"/>
      <c r="G123" s="1609"/>
      <c r="H123" s="1609"/>
      <c r="I123" s="1609"/>
      <c r="J123" s="1609"/>
      <c r="K123" s="1609"/>
      <c r="L123" s="1609"/>
      <c r="O123" s="104"/>
      <c r="P123" s="42" t="s">
        <v>147</v>
      </c>
      <c r="Q123" s="104"/>
    </row>
    <row r="124" spans="2:17" x14ac:dyDescent="0.25">
      <c r="B124" s="1609"/>
      <c r="C124" s="1609"/>
      <c r="D124" s="1609"/>
      <c r="E124" s="1609"/>
      <c r="F124" s="1609"/>
      <c r="G124" s="1609"/>
      <c r="H124" s="1609"/>
      <c r="I124" s="1609"/>
      <c r="J124" s="1609"/>
      <c r="K124" s="1609"/>
      <c r="L124" s="1609"/>
      <c r="O124" s="104"/>
      <c r="P124" s="42" t="s">
        <v>147</v>
      </c>
      <c r="Q124" s="104"/>
    </row>
    <row r="125" spans="2:17" x14ac:dyDescent="0.25">
      <c r="B125" s="1609"/>
      <c r="C125" s="1609"/>
      <c r="D125" s="1609"/>
      <c r="E125" s="1609"/>
      <c r="F125" s="1609"/>
      <c r="G125" s="1609"/>
      <c r="H125" s="1609"/>
      <c r="I125" s="1609"/>
      <c r="J125" s="1609"/>
      <c r="K125" s="1609"/>
      <c r="L125" s="1609"/>
      <c r="O125" s="104"/>
      <c r="P125" s="42" t="s">
        <v>147</v>
      </c>
      <c r="Q125" s="104"/>
    </row>
    <row r="126" spans="2:17" x14ac:dyDescent="0.25">
      <c r="B126" s="1609"/>
      <c r="C126" s="1609"/>
      <c r="D126" s="1609"/>
      <c r="E126" s="1609"/>
      <c r="F126" s="1609"/>
      <c r="G126" s="1609"/>
      <c r="H126" s="1609"/>
      <c r="I126" s="1609"/>
      <c r="J126" s="1609"/>
      <c r="K126" s="1609"/>
      <c r="L126" s="1609"/>
      <c r="O126" s="104"/>
      <c r="P126" s="42" t="s">
        <v>147</v>
      </c>
      <c r="Q126" s="104"/>
    </row>
    <row r="127" spans="2:17" x14ac:dyDescent="0.25">
      <c r="B127" s="1609"/>
      <c r="C127" s="1609"/>
      <c r="D127" s="1609"/>
      <c r="E127" s="1609"/>
      <c r="F127" s="1609"/>
      <c r="G127" s="1609"/>
      <c r="H127" s="1609"/>
      <c r="I127" s="1609"/>
      <c r="J127" s="1609"/>
      <c r="K127" s="1609"/>
      <c r="L127" s="1609"/>
      <c r="M127" s="111"/>
      <c r="O127" s="104"/>
      <c r="P127" s="42" t="s">
        <v>147</v>
      </c>
      <c r="Q127" s="104"/>
    </row>
    <row r="128" spans="2:17" x14ac:dyDescent="0.25">
      <c r="B128" s="1609"/>
      <c r="C128" s="1609"/>
      <c r="D128" s="1609"/>
      <c r="E128" s="1609"/>
      <c r="F128" s="1609"/>
      <c r="G128" s="1609"/>
      <c r="H128" s="1609"/>
      <c r="I128" s="1609"/>
      <c r="J128" s="1609"/>
      <c r="K128" s="1609"/>
      <c r="L128" s="1609"/>
      <c r="M128" s="111"/>
      <c r="O128" s="104"/>
      <c r="P128" s="42" t="s">
        <v>147</v>
      </c>
      <c r="Q128" s="104"/>
    </row>
    <row r="129" spans="2:17" x14ac:dyDescent="0.25">
      <c r="B129" s="1609"/>
      <c r="C129" s="1609"/>
      <c r="D129" s="1609"/>
      <c r="E129" s="1609"/>
      <c r="F129" s="1609"/>
      <c r="G129" s="1609"/>
      <c r="H129" s="1609"/>
      <c r="I129" s="1609"/>
      <c r="J129" s="1609"/>
      <c r="K129" s="1609"/>
      <c r="L129" s="1609"/>
      <c r="M129" s="111"/>
      <c r="O129" s="104"/>
      <c r="P129" s="42" t="s">
        <v>147</v>
      </c>
      <c r="Q129" s="104"/>
    </row>
    <row r="130" spans="2:17" x14ac:dyDescent="0.25">
      <c r="B130" s="1609"/>
      <c r="C130" s="1609"/>
      <c r="D130" s="1609"/>
      <c r="E130" s="1609"/>
      <c r="F130" s="1609"/>
      <c r="G130" s="1609"/>
      <c r="H130" s="1609"/>
      <c r="I130" s="1609"/>
      <c r="J130" s="1609"/>
      <c r="K130" s="1609"/>
      <c r="L130" s="1609"/>
      <c r="M130" s="111"/>
      <c r="O130" s="104"/>
      <c r="P130" s="42" t="s">
        <v>147</v>
      </c>
      <c r="Q130" s="104"/>
    </row>
    <row r="131" spans="2:17" x14ac:dyDescent="0.25">
      <c r="B131" s="1609"/>
      <c r="C131" s="1609"/>
      <c r="D131" s="1609"/>
      <c r="E131" s="1609"/>
      <c r="F131" s="1609"/>
      <c r="G131" s="1609"/>
      <c r="H131" s="1609"/>
      <c r="I131" s="1609"/>
      <c r="J131" s="1609"/>
      <c r="K131" s="1609"/>
      <c r="L131" s="1609"/>
      <c r="M131" s="111"/>
      <c r="O131" s="104"/>
      <c r="P131" s="42" t="s">
        <v>147</v>
      </c>
      <c r="Q131" s="104"/>
    </row>
    <row r="132" spans="2:17" x14ac:dyDescent="0.25">
      <c r="M132" s="111"/>
      <c r="O132" s="104"/>
      <c r="P132" s="42" t="s">
        <v>147</v>
      </c>
      <c r="Q132" s="104"/>
    </row>
    <row r="133" spans="2:17" x14ac:dyDescent="0.25">
      <c r="M133" s="111"/>
      <c r="O133" s="104"/>
      <c r="P133" s="42" t="s">
        <v>147</v>
      </c>
      <c r="Q133" s="104"/>
    </row>
    <row r="134" spans="2:17" x14ac:dyDescent="0.25">
      <c r="M134" s="111"/>
      <c r="O134" s="104"/>
      <c r="P134" s="42" t="s">
        <v>147</v>
      </c>
      <c r="Q134" s="104"/>
    </row>
    <row r="135" spans="2:17" x14ac:dyDescent="0.25">
      <c r="M135" s="111"/>
      <c r="O135" s="104"/>
      <c r="P135" s="42" t="s">
        <v>147</v>
      </c>
      <c r="Q135" s="104"/>
    </row>
    <row r="136" spans="2:17" x14ac:dyDescent="0.25">
      <c r="M136" s="111"/>
      <c r="O136" s="104"/>
      <c r="P136" s="42" t="s">
        <v>147</v>
      </c>
      <c r="Q136" s="104"/>
    </row>
    <row r="137" spans="2:17" x14ac:dyDescent="0.25">
      <c r="M137" s="111"/>
      <c r="O137" s="104"/>
      <c r="P137" s="42" t="s">
        <v>147</v>
      </c>
      <c r="Q137" s="104"/>
    </row>
    <row r="138" spans="2:17" x14ac:dyDescent="0.25">
      <c r="M138" s="111"/>
      <c r="O138" s="104"/>
      <c r="P138" s="42" t="s">
        <v>147</v>
      </c>
      <c r="Q138" s="104"/>
    </row>
    <row r="139" spans="2:17" x14ac:dyDescent="0.25">
      <c r="M139" s="111"/>
      <c r="O139" s="104"/>
      <c r="P139" s="42" t="s">
        <v>147</v>
      </c>
      <c r="Q139" s="104"/>
    </row>
    <row r="140" spans="2:17" x14ac:dyDescent="0.25">
      <c r="M140" s="111"/>
      <c r="O140" s="104"/>
      <c r="P140" s="42" t="s">
        <v>147</v>
      </c>
      <c r="Q140" s="104"/>
    </row>
    <row r="141" spans="2:17" x14ac:dyDescent="0.25">
      <c r="M141" s="111"/>
      <c r="O141" s="104"/>
      <c r="P141" s="42" t="s">
        <v>147</v>
      </c>
      <c r="Q141" s="104"/>
    </row>
    <row r="142" spans="2:17" x14ac:dyDescent="0.25">
      <c r="M142" s="111"/>
      <c r="O142" s="104"/>
      <c r="P142" s="42" t="s">
        <v>147</v>
      </c>
      <c r="Q142" s="104"/>
    </row>
    <row r="143" spans="2:17" x14ac:dyDescent="0.25">
      <c r="M143" s="111"/>
      <c r="O143" s="104"/>
      <c r="P143" s="42" t="s">
        <v>147</v>
      </c>
      <c r="Q143" s="104"/>
    </row>
    <row r="144" spans="2:17" x14ac:dyDescent="0.25">
      <c r="M144" s="111"/>
      <c r="O144" s="104"/>
      <c r="P144" s="42" t="s">
        <v>147</v>
      </c>
      <c r="Q144" s="104"/>
    </row>
    <row r="145" spans="13:17" x14ac:dyDescent="0.25">
      <c r="M145" s="111"/>
      <c r="O145" s="104"/>
      <c r="P145" s="42" t="s">
        <v>147</v>
      </c>
      <c r="Q145" s="104"/>
    </row>
    <row r="146" spans="13:17" x14ac:dyDescent="0.25">
      <c r="M146" s="111"/>
      <c r="O146" s="104"/>
      <c r="P146" s="42" t="s">
        <v>147</v>
      </c>
      <c r="Q146" s="104"/>
    </row>
    <row r="147" spans="13:17" x14ac:dyDescent="0.25">
      <c r="M147" s="111"/>
      <c r="O147" s="104"/>
      <c r="P147" s="42" t="s">
        <v>147</v>
      </c>
      <c r="Q147" s="104"/>
    </row>
    <row r="148" spans="13:17" x14ac:dyDescent="0.25">
      <c r="M148" s="111"/>
      <c r="O148" s="104"/>
      <c r="P148" s="42" t="s">
        <v>147</v>
      </c>
      <c r="Q148" s="104"/>
    </row>
    <row r="149" spans="13:17" x14ac:dyDescent="0.25">
      <c r="M149" s="111"/>
      <c r="O149" s="104"/>
      <c r="P149" s="42" t="s">
        <v>147</v>
      </c>
      <c r="Q149" s="104"/>
    </row>
    <row r="150" spans="13:17" x14ac:dyDescent="0.25">
      <c r="M150" s="111"/>
      <c r="O150" s="104"/>
      <c r="P150" s="42" t="s">
        <v>147</v>
      </c>
      <c r="Q150" s="104"/>
    </row>
    <row r="151" spans="13:17" x14ac:dyDescent="0.25">
      <c r="M151" s="111"/>
      <c r="O151" s="104"/>
      <c r="P151" s="42" t="s">
        <v>147</v>
      </c>
      <c r="Q151" s="104"/>
    </row>
    <row r="152" spans="13:17" x14ac:dyDescent="0.25">
      <c r="M152" s="111"/>
      <c r="O152" s="104"/>
      <c r="P152" s="42" t="s">
        <v>147</v>
      </c>
      <c r="Q152" s="104"/>
    </row>
    <row r="153" spans="13:17" x14ac:dyDescent="0.25">
      <c r="M153" s="111"/>
      <c r="O153" s="104"/>
      <c r="P153" s="42" t="s">
        <v>147</v>
      </c>
      <c r="Q153" s="104"/>
    </row>
    <row r="154" spans="13:17" x14ac:dyDescent="0.25">
      <c r="M154" s="111"/>
      <c r="O154" s="104"/>
      <c r="P154" s="42" t="s">
        <v>147</v>
      </c>
      <c r="Q154" s="104"/>
    </row>
    <row r="155" spans="13:17" x14ac:dyDescent="0.25">
      <c r="M155" s="111"/>
      <c r="O155" s="104"/>
      <c r="P155" s="42" t="s">
        <v>147</v>
      </c>
      <c r="Q155" s="104"/>
    </row>
    <row r="156" spans="13:17" x14ac:dyDescent="0.25">
      <c r="M156" s="111"/>
      <c r="O156" s="104"/>
      <c r="P156" s="42" t="s">
        <v>147</v>
      </c>
      <c r="Q156" s="104"/>
    </row>
    <row r="157" spans="13:17" x14ac:dyDescent="0.25">
      <c r="M157" s="111"/>
      <c r="O157" s="104"/>
      <c r="P157" s="42" t="s">
        <v>147</v>
      </c>
      <c r="Q157" s="104"/>
    </row>
    <row r="158" spans="13:17" x14ac:dyDescent="0.25">
      <c r="M158" s="111"/>
      <c r="O158" s="104"/>
      <c r="P158" s="42" t="s">
        <v>147</v>
      </c>
      <c r="Q158" s="104"/>
    </row>
    <row r="159" spans="13:17" x14ac:dyDescent="0.25">
      <c r="M159" s="111"/>
      <c r="O159" s="104"/>
      <c r="P159" s="42" t="s">
        <v>147</v>
      </c>
      <c r="Q159" s="104"/>
    </row>
    <row r="160" spans="13:17" x14ac:dyDescent="0.25">
      <c r="M160" s="111"/>
      <c r="O160" s="104"/>
      <c r="P160" s="42" t="s">
        <v>147</v>
      </c>
      <c r="Q160" s="104"/>
    </row>
    <row r="161" spans="13:19" x14ac:dyDescent="0.25">
      <c r="M161" s="111"/>
      <c r="O161" s="104"/>
      <c r="P161" s="42" t="s">
        <v>147</v>
      </c>
      <c r="Q161" s="104"/>
    </row>
    <row r="162" spans="13:19" x14ac:dyDescent="0.25">
      <c r="M162" s="111"/>
      <c r="O162" s="104"/>
      <c r="P162" s="42" t="s">
        <v>147</v>
      </c>
      <c r="Q162" s="104"/>
      <c r="S162" s="79"/>
    </row>
    <row r="163" spans="13:19" x14ac:dyDescent="0.25">
      <c r="M163" s="111"/>
      <c r="O163" s="104"/>
      <c r="P163" s="42" t="s">
        <v>147</v>
      </c>
      <c r="Q163" s="104"/>
    </row>
    <row r="164" spans="13:19" x14ac:dyDescent="0.25">
      <c r="M164" s="111"/>
      <c r="O164" s="104"/>
      <c r="P164" s="42" t="s">
        <v>147</v>
      </c>
      <c r="Q164" s="104"/>
    </row>
    <row r="165" spans="13:19" x14ac:dyDescent="0.25">
      <c r="M165" s="115"/>
      <c r="O165" s="104"/>
      <c r="P165" s="42" t="s">
        <v>147</v>
      </c>
      <c r="Q165" s="104"/>
    </row>
    <row r="166" spans="13:19" x14ac:dyDescent="0.25">
      <c r="M166" s="115"/>
      <c r="O166" s="104"/>
      <c r="P166" s="42" t="s">
        <v>147</v>
      </c>
      <c r="Q166" s="104"/>
    </row>
    <row r="167" spans="13:19" x14ac:dyDescent="0.25">
      <c r="M167" s="115"/>
      <c r="O167" s="104"/>
      <c r="P167" s="42" t="s">
        <v>147</v>
      </c>
      <c r="Q167" s="104"/>
    </row>
    <row r="168" spans="13:19" x14ac:dyDescent="0.25">
      <c r="M168" s="115"/>
      <c r="O168" s="104"/>
      <c r="P168" s="42" t="s">
        <v>147</v>
      </c>
      <c r="Q168" s="104"/>
    </row>
    <row r="169" spans="13:19" x14ac:dyDescent="0.25">
      <c r="M169" s="115"/>
      <c r="O169" s="104"/>
      <c r="P169" s="42" t="s">
        <v>147</v>
      </c>
      <c r="Q169" s="104"/>
    </row>
    <row r="170" spans="13:19" x14ac:dyDescent="0.25">
      <c r="M170" s="115"/>
      <c r="O170" s="104"/>
      <c r="P170" s="42" t="s">
        <v>147</v>
      </c>
      <c r="Q170" s="104"/>
    </row>
    <row r="171" spans="13:19" x14ac:dyDescent="0.25">
      <c r="M171" s="115"/>
      <c r="O171" s="104"/>
      <c r="P171" s="42" t="s">
        <v>147</v>
      </c>
      <c r="Q171" s="104"/>
    </row>
    <row r="172" spans="13:19" x14ac:dyDescent="0.25">
      <c r="M172" s="115"/>
      <c r="O172" s="104"/>
      <c r="P172" s="42" t="s">
        <v>147</v>
      </c>
      <c r="Q172" s="104"/>
    </row>
    <row r="173" spans="13:19" x14ac:dyDescent="0.25">
      <c r="M173" s="115"/>
      <c r="O173" s="104"/>
      <c r="P173" s="42" t="s">
        <v>147</v>
      </c>
      <c r="Q173" s="104"/>
    </row>
    <row r="174" spans="13:19" x14ac:dyDescent="0.25">
      <c r="M174" s="115"/>
      <c r="O174" s="104"/>
      <c r="P174" s="42" t="s">
        <v>147</v>
      </c>
      <c r="Q174" s="104"/>
    </row>
    <row r="175" spans="13:19" x14ac:dyDescent="0.25">
      <c r="M175" s="115"/>
      <c r="O175" s="104"/>
      <c r="P175" s="42" t="s">
        <v>147</v>
      </c>
      <c r="Q175" s="104"/>
    </row>
    <row r="176" spans="13:19" x14ac:dyDescent="0.25">
      <c r="M176" s="115"/>
      <c r="O176" s="104"/>
      <c r="P176" s="42" t="s">
        <v>147</v>
      </c>
      <c r="Q176" s="104"/>
    </row>
    <row r="177" spans="13:17" x14ac:dyDescent="0.25">
      <c r="M177" s="115"/>
      <c r="O177" s="104"/>
      <c r="P177" s="42" t="s">
        <v>147</v>
      </c>
      <c r="Q177" s="104"/>
    </row>
    <row r="178" spans="13:17" x14ac:dyDescent="0.25">
      <c r="M178" s="115"/>
      <c r="O178" s="104"/>
      <c r="P178" s="42" t="s">
        <v>147</v>
      </c>
      <c r="Q178" s="104"/>
    </row>
    <row r="179" spans="13:17" x14ac:dyDescent="0.25">
      <c r="M179" s="115"/>
      <c r="O179" s="104"/>
      <c r="P179" s="42" t="s">
        <v>147</v>
      </c>
      <c r="Q179" s="104"/>
    </row>
    <row r="180" spans="13:17" x14ac:dyDescent="0.25">
      <c r="M180" s="115"/>
      <c r="O180" s="104"/>
      <c r="P180" s="42" t="s">
        <v>147</v>
      </c>
      <c r="Q180" s="104"/>
    </row>
    <row r="181" spans="13:17" x14ac:dyDescent="0.25">
      <c r="M181" s="115"/>
      <c r="O181" s="104"/>
      <c r="P181" s="42" t="s">
        <v>147</v>
      </c>
      <c r="Q181" s="104"/>
    </row>
    <row r="182" spans="13:17" x14ac:dyDescent="0.25">
      <c r="M182" s="115"/>
      <c r="O182" s="104"/>
      <c r="P182" s="42" t="s">
        <v>147</v>
      </c>
      <c r="Q182" s="104"/>
    </row>
    <row r="183" spans="13:17" x14ac:dyDescent="0.25">
      <c r="M183" s="115"/>
      <c r="O183" s="104"/>
      <c r="P183" s="42" t="s">
        <v>147</v>
      </c>
      <c r="Q183" s="104"/>
    </row>
    <row r="184" spans="13:17" x14ac:dyDescent="0.25">
      <c r="M184" s="115"/>
      <c r="O184" s="104"/>
      <c r="P184" s="42" t="s">
        <v>147</v>
      </c>
      <c r="Q184" s="104"/>
    </row>
    <row r="185" spans="13:17" x14ac:dyDescent="0.25">
      <c r="M185" s="115"/>
      <c r="O185" s="104"/>
      <c r="P185" s="42" t="s">
        <v>147</v>
      </c>
      <c r="Q185" s="104"/>
    </row>
    <row r="186" spans="13:17" x14ac:dyDescent="0.25">
      <c r="M186" s="115"/>
      <c r="O186" s="104"/>
      <c r="P186" s="42" t="s">
        <v>147</v>
      </c>
      <c r="Q186" s="104"/>
    </row>
    <row r="187" spans="13:17" x14ac:dyDescent="0.25">
      <c r="M187" s="115"/>
      <c r="O187" s="104"/>
      <c r="P187" s="42" t="s">
        <v>147</v>
      </c>
      <c r="Q187" s="104"/>
    </row>
    <row r="188" spans="13:17" x14ac:dyDescent="0.25">
      <c r="M188" s="115"/>
      <c r="O188" s="104"/>
      <c r="P188" s="42" t="s">
        <v>147</v>
      </c>
      <c r="Q188" s="104"/>
    </row>
    <row r="189" spans="13:17" x14ac:dyDescent="0.25">
      <c r="M189" s="115"/>
      <c r="O189" s="104"/>
      <c r="P189" s="42" t="s">
        <v>147</v>
      </c>
      <c r="Q189" s="104"/>
    </row>
    <row r="190" spans="13:17" x14ac:dyDescent="0.25">
      <c r="P190" s="42" t="s">
        <v>147</v>
      </c>
    </row>
    <row r="191" spans="13:17" x14ac:dyDescent="0.25">
      <c r="M191" s="115"/>
      <c r="O191" s="104"/>
      <c r="P191" s="42" t="s">
        <v>147</v>
      </c>
      <c r="Q191" s="104"/>
    </row>
    <row r="192" spans="13:17" x14ac:dyDescent="0.25">
      <c r="M192" s="115"/>
      <c r="O192" s="104"/>
      <c r="P192" s="42" t="s">
        <v>147</v>
      </c>
      <c r="Q192" s="104"/>
    </row>
    <row r="193" spans="1:17" x14ac:dyDescent="0.25">
      <c r="M193" s="115"/>
      <c r="O193" s="104"/>
      <c r="P193" s="42" t="s">
        <v>147</v>
      </c>
      <c r="Q193" s="104"/>
    </row>
    <row r="194" spans="1:17" x14ac:dyDescent="0.25">
      <c r="M194" s="115"/>
      <c r="O194" s="104"/>
      <c r="P194" s="42" t="s">
        <v>147</v>
      </c>
      <c r="Q194" s="104"/>
    </row>
    <row r="195" spans="1:17" x14ac:dyDescent="0.25">
      <c r="M195" s="115"/>
      <c r="O195" s="104"/>
      <c r="P195" s="42" t="s">
        <v>147</v>
      </c>
      <c r="Q195" s="104"/>
    </row>
    <row r="196" spans="1:17" x14ac:dyDescent="0.25">
      <c r="M196" s="115"/>
      <c r="O196" s="104"/>
      <c r="P196" s="42" t="s">
        <v>147</v>
      </c>
      <c r="Q196" s="104"/>
    </row>
    <row r="197" spans="1:17" x14ac:dyDescent="0.25">
      <c r="M197" s="115"/>
      <c r="O197" s="104"/>
      <c r="P197" s="42" t="s">
        <v>147</v>
      </c>
      <c r="Q197" s="104"/>
    </row>
    <row r="198" spans="1:17" x14ac:dyDescent="0.25">
      <c r="M198" s="115"/>
      <c r="O198" s="104"/>
      <c r="P198" s="42" t="s">
        <v>147</v>
      </c>
      <c r="Q198" s="104"/>
    </row>
    <row r="199" spans="1:17" x14ac:dyDescent="0.25">
      <c r="B199" s="164"/>
      <c r="C199" s="165"/>
      <c r="D199" s="165"/>
      <c r="E199" s="165"/>
      <c r="F199" s="127"/>
      <c r="G199" s="166"/>
      <c r="H199" s="166"/>
      <c r="I199" s="166"/>
      <c r="J199" s="166"/>
      <c r="K199" s="166"/>
      <c r="L199" s="166"/>
      <c r="M199" s="115"/>
      <c r="O199" s="104"/>
      <c r="P199" s="42" t="s">
        <v>147</v>
      </c>
      <c r="Q199" s="104"/>
    </row>
    <row r="200" spans="1:17" x14ac:dyDescent="0.25">
      <c r="F200" s="127"/>
      <c r="G200" s="161"/>
      <c r="H200" s="161"/>
      <c r="I200" s="161"/>
      <c r="J200" s="161"/>
      <c r="K200" s="161"/>
      <c r="L200" s="161"/>
      <c r="M200" s="115"/>
      <c r="P200" s="42" t="s">
        <v>147</v>
      </c>
    </row>
    <row r="201" spans="1:17" x14ac:dyDescent="0.25">
      <c r="A201" s="42" t="s">
        <v>147</v>
      </c>
      <c r="B201" s="42" t="s">
        <v>147</v>
      </c>
      <c r="C201" s="42" t="s">
        <v>147</v>
      </c>
      <c r="E201" s="42" t="s">
        <v>147</v>
      </c>
      <c r="F201" s="125" t="s">
        <v>147</v>
      </c>
      <c r="G201" s="42" t="s">
        <v>147</v>
      </c>
      <c r="H201" s="42" t="s">
        <v>147</v>
      </c>
      <c r="I201" s="42" t="s">
        <v>147</v>
      </c>
      <c r="J201" s="42" t="s">
        <v>147</v>
      </c>
      <c r="K201" s="42" t="s">
        <v>147</v>
      </c>
      <c r="L201" s="42" t="s">
        <v>147</v>
      </c>
      <c r="M201" s="115" t="s">
        <v>147</v>
      </c>
      <c r="N201" s="42" t="s">
        <v>147</v>
      </c>
      <c r="O201" s="78" t="s">
        <v>147</v>
      </c>
      <c r="P201" s="42" t="s">
        <v>147</v>
      </c>
      <c r="Q201" s="78" t="s">
        <v>147</v>
      </c>
    </row>
    <row r="202" spans="1:17" x14ac:dyDescent="0.25">
      <c r="A202" s="42" t="s">
        <v>147</v>
      </c>
      <c r="B202" s="42" t="s">
        <v>147</v>
      </c>
      <c r="C202" s="42" t="s">
        <v>147</v>
      </c>
      <c r="E202" s="42" t="s">
        <v>147</v>
      </c>
      <c r="F202" s="125" t="s">
        <v>147</v>
      </c>
      <c r="G202" s="42" t="s">
        <v>147</v>
      </c>
      <c r="H202" s="42" t="s">
        <v>147</v>
      </c>
      <c r="I202" s="42" t="s">
        <v>147</v>
      </c>
      <c r="J202" s="42" t="s">
        <v>147</v>
      </c>
      <c r="K202" s="42" t="s">
        <v>147</v>
      </c>
      <c r="L202" s="42" t="s">
        <v>147</v>
      </c>
      <c r="M202" s="115" t="s">
        <v>147</v>
      </c>
      <c r="N202" s="42" t="s">
        <v>147</v>
      </c>
      <c r="O202" s="78" t="s">
        <v>147</v>
      </c>
      <c r="P202" s="42" t="s">
        <v>147</v>
      </c>
      <c r="Q202" s="78" t="s">
        <v>147</v>
      </c>
    </row>
    <row r="203" spans="1:17" x14ac:dyDescent="0.25">
      <c r="F203" s="125"/>
    </row>
    <row r="204" spans="1:17" x14ac:dyDescent="0.25">
      <c r="F204" s="125"/>
    </row>
    <row r="205" spans="1:17" x14ac:dyDescent="0.25">
      <c r="F205" s="125"/>
    </row>
    <row r="206" spans="1:17" x14ac:dyDescent="0.25">
      <c r="F206" s="125"/>
    </row>
  </sheetData>
  <mergeCells count="4">
    <mergeCell ref="B84:L84"/>
    <mergeCell ref="B85:K85"/>
    <mergeCell ref="B88:L107"/>
    <mergeCell ref="B109:L131"/>
  </mergeCells>
  <conditionalFormatting sqref="E1">
    <cfRule type="expression" dxfId="62" priority="1" stopIfTrue="1">
      <formula>MOD(ROW(),2)=0</formula>
    </cfRule>
  </conditionalFormatting>
  <conditionalFormatting sqref="L1">
    <cfRule type="expression" dxfId="61" priority="2" stopIfTrue="1">
      <formula>MOD(ROW(),2)=0</formula>
    </cfRule>
  </conditionalFormatting>
  <conditionalFormatting sqref="N55">
    <cfRule type="cellIs" dxfId="60" priority="3" stopIfTrue="1" operator="equal">
      <formula>0</formula>
    </cfRule>
  </conditionalFormatting>
  <hyperlinks>
    <hyperlink ref="E1" location="HypLink1" display="HypLink1" xr:uid="{E44CBB3A-833C-49CE-B160-F4F1456133AF}"/>
  </hyperlinks>
  <pageMargins left="0.7" right="0.7" top="0.75" bottom="0.75" header="0.3" footer="0.3"/>
  <pageSetup paperSize="119" scale="82" fitToHeight="0"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609D8-A7F5-4DCF-A58F-288C98B6E1AF}">
  <sheetPr>
    <pageSetUpPr fitToPage="1"/>
  </sheetPr>
  <dimension ref="A1:AA126"/>
  <sheetViews>
    <sheetView workbookViewId="0"/>
  </sheetViews>
  <sheetFormatPr defaultRowHeight="15" x14ac:dyDescent="0.25"/>
  <cols>
    <col min="1" max="1" width="5" style="168" customWidth="1"/>
    <col min="2" max="2" width="32.5703125" style="168" customWidth="1"/>
    <col min="3" max="3" width="16.7109375" style="168" customWidth="1"/>
    <col min="4" max="4" width="3.28515625" style="168" customWidth="1"/>
    <col min="5" max="5" width="8.7109375" style="168" hidden="1" customWidth="1"/>
    <col min="6" max="6" width="12.42578125" style="168" customWidth="1"/>
    <col min="7" max="7" width="12" style="168" customWidth="1"/>
    <col min="8" max="8" width="12.5703125" style="168" customWidth="1"/>
    <col min="9" max="9" width="12.28515625" style="168" customWidth="1"/>
    <col min="10" max="10" width="13.7109375" style="168" customWidth="1"/>
    <col min="11" max="12" width="14.28515625" style="168" customWidth="1"/>
    <col min="13" max="17" width="9.140625" style="168"/>
    <col min="27" max="27" width="9.140625" customWidth="1"/>
  </cols>
  <sheetData>
    <row r="1" spans="1:16" ht="18.75" x14ac:dyDescent="0.3">
      <c r="A1" s="167" t="s">
        <v>114</v>
      </c>
      <c r="B1" s="75"/>
      <c r="C1" s="22" t="s">
        <v>3</v>
      </c>
      <c r="D1" s="76"/>
      <c r="F1" s="42"/>
      <c r="G1" s="42"/>
      <c r="H1" s="42"/>
      <c r="I1" s="42"/>
      <c r="J1" s="42"/>
      <c r="K1" s="77"/>
      <c r="L1" s="22"/>
    </row>
    <row r="2" spans="1:16" ht="15.75" x14ac:dyDescent="0.25">
      <c r="A2" s="80" t="s">
        <v>217</v>
      </c>
      <c r="B2" s="81"/>
      <c r="C2" s="38"/>
      <c r="D2" s="38"/>
      <c r="E2" s="42"/>
      <c r="F2" s="42"/>
      <c r="G2" s="38"/>
      <c r="H2" s="42"/>
      <c r="I2" s="42"/>
      <c r="J2" s="42"/>
      <c r="K2" s="42"/>
      <c r="L2" s="42"/>
    </row>
    <row r="3" spans="1:16" x14ac:dyDescent="0.25">
      <c r="A3" s="82" t="s">
        <v>2</v>
      </c>
      <c r="B3" s="42"/>
      <c r="C3" s="42"/>
      <c r="D3" s="42"/>
      <c r="E3" s="42"/>
      <c r="F3" s="42"/>
      <c r="G3" s="42"/>
      <c r="H3" s="42"/>
      <c r="I3" s="42"/>
      <c r="J3" s="42"/>
      <c r="K3" s="42"/>
      <c r="L3" s="42"/>
    </row>
    <row r="4" spans="1:16" x14ac:dyDescent="0.25">
      <c r="A4" s="83" t="s">
        <v>218</v>
      </c>
      <c r="B4" s="42"/>
      <c r="C4" s="42"/>
      <c r="D4" s="42"/>
      <c r="E4" s="42"/>
      <c r="F4" s="42"/>
      <c r="G4" s="42"/>
      <c r="H4" s="42"/>
      <c r="I4" s="42"/>
      <c r="J4" s="42"/>
      <c r="K4" s="42"/>
      <c r="L4" s="42"/>
    </row>
    <row r="5" spans="1:16" x14ac:dyDescent="0.25">
      <c r="A5" s="42"/>
      <c r="B5" s="42"/>
      <c r="C5" s="42"/>
      <c r="D5" s="42"/>
      <c r="E5" s="42"/>
      <c r="F5" s="42"/>
      <c r="G5" s="42"/>
      <c r="H5" s="42"/>
      <c r="I5" s="42"/>
      <c r="J5" s="42"/>
      <c r="K5" s="42"/>
      <c r="L5" s="42"/>
    </row>
    <row r="6" spans="1:16" x14ac:dyDescent="0.25">
      <c r="A6" s="42"/>
      <c r="B6" s="38"/>
      <c r="C6" s="84"/>
      <c r="D6" s="84"/>
      <c r="E6" s="84"/>
      <c r="F6" s="169" t="s">
        <v>219</v>
      </c>
      <c r="G6" s="86">
        <v>1</v>
      </c>
      <c r="H6" s="86">
        <v>2</v>
      </c>
      <c r="I6" s="86">
        <v>3</v>
      </c>
      <c r="J6" s="86">
        <v>4</v>
      </c>
      <c r="K6" s="86">
        <v>5</v>
      </c>
      <c r="L6" s="87">
        <v>6</v>
      </c>
      <c r="M6" s="170"/>
      <c r="N6" s="170"/>
      <c r="O6" s="170"/>
      <c r="P6" s="170"/>
    </row>
    <row r="7" spans="1:16" x14ac:dyDescent="0.25">
      <c r="A7" s="42"/>
      <c r="B7" s="38"/>
      <c r="C7" s="84" t="s">
        <v>148</v>
      </c>
      <c r="D7" s="84"/>
      <c r="E7" s="84"/>
      <c r="F7" s="171">
        <f>+Summary!F7</f>
        <v>2024</v>
      </c>
      <c r="G7" s="90">
        <f>+Summary!G7</f>
        <v>2025</v>
      </c>
      <c r="H7" s="90">
        <f>+Summary!H7</f>
        <v>2026</v>
      </c>
      <c r="I7" s="90">
        <f>+Summary!I7</f>
        <v>2027</v>
      </c>
      <c r="J7" s="90">
        <f>+Summary!J7</f>
        <v>2028</v>
      </c>
      <c r="K7" s="90">
        <f>+Summary!K7</f>
        <v>2029</v>
      </c>
      <c r="L7" s="91">
        <f>+Summary!L7</f>
        <v>2030</v>
      </c>
      <c r="M7" s="170"/>
      <c r="N7" s="170"/>
      <c r="O7" s="170"/>
      <c r="P7" s="170"/>
    </row>
    <row r="8" spans="1:16" x14ac:dyDescent="0.25">
      <c r="A8" s="42"/>
      <c r="B8" s="28"/>
      <c r="C8" s="35"/>
      <c r="D8" s="35"/>
      <c r="E8" s="172"/>
      <c r="F8" s="173">
        <f>+Summary!F8</f>
        <v>2025</v>
      </c>
      <c r="G8" s="93">
        <f>+Summary!G8</f>
        <v>2026</v>
      </c>
      <c r="H8" s="93">
        <f>+Summary!H8</f>
        <v>2027</v>
      </c>
      <c r="I8" s="93">
        <f>+Summary!I8</f>
        <v>2028</v>
      </c>
      <c r="J8" s="93">
        <f>+Summary!J8</f>
        <v>2029</v>
      </c>
      <c r="K8" s="93">
        <f>+Summary!K8</f>
        <v>2030</v>
      </c>
      <c r="L8" s="94">
        <f>+Summary!L8</f>
        <v>2031</v>
      </c>
      <c r="M8" s="170"/>
      <c r="N8" s="170"/>
      <c r="O8" s="170"/>
      <c r="P8" s="170"/>
    </row>
    <row r="9" spans="1:16" x14ac:dyDescent="0.25">
      <c r="A9" s="96">
        <f>ROW()</f>
        <v>9</v>
      </c>
      <c r="B9" s="97" t="s">
        <v>220</v>
      </c>
      <c r="C9" s="98">
        <v>400</v>
      </c>
      <c r="D9" s="99"/>
      <c r="E9" s="84"/>
      <c r="F9" s="100">
        <f>+F20</f>
        <v>2320.02</v>
      </c>
      <c r="G9" s="100">
        <f>+G20</f>
        <v>2320.02</v>
      </c>
      <c r="H9" s="100">
        <f t="shared" ref="H9:L10" si="0">+H20</f>
        <v>2320.02</v>
      </c>
      <c r="I9" s="100">
        <f t="shared" si="0"/>
        <v>2320.02</v>
      </c>
      <c r="J9" s="100">
        <f t="shared" si="0"/>
        <v>2320.02</v>
      </c>
      <c r="K9" s="100">
        <f t="shared" si="0"/>
        <v>2320.02</v>
      </c>
      <c r="L9" s="100">
        <f t="shared" si="0"/>
        <v>2320.02</v>
      </c>
      <c r="M9" s="170"/>
      <c r="N9" s="170"/>
      <c r="O9" s="170"/>
      <c r="P9" s="170"/>
    </row>
    <row r="10" spans="1:16" x14ac:dyDescent="0.25">
      <c r="A10" s="96">
        <f>ROW()</f>
        <v>10</v>
      </c>
      <c r="B10" s="102" t="s">
        <v>152</v>
      </c>
      <c r="C10" s="98">
        <v>6</v>
      </c>
      <c r="D10" s="99"/>
      <c r="E10" s="84"/>
      <c r="F10" s="103">
        <f t="shared" ref="F10" si="1">+F21</f>
        <v>123</v>
      </c>
      <c r="G10" s="103">
        <f>+G21</f>
        <v>123</v>
      </c>
      <c r="H10" s="103">
        <f t="shared" si="0"/>
        <v>123</v>
      </c>
      <c r="I10" s="103">
        <f t="shared" si="0"/>
        <v>123</v>
      </c>
      <c r="J10" s="103">
        <f t="shared" si="0"/>
        <v>123</v>
      </c>
      <c r="K10" s="103">
        <f t="shared" si="0"/>
        <v>123</v>
      </c>
      <c r="L10" s="103">
        <f t="shared" si="0"/>
        <v>123</v>
      </c>
      <c r="M10" s="170"/>
      <c r="N10" s="170"/>
      <c r="O10" s="170"/>
      <c r="P10" s="170"/>
    </row>
    <row r="11" spans="1:16" x14ac:dyDescent="0.25">
      <c r="A11" s="96">
        <f>ROW()</f>
        <v>11</v>
      </c>
      <c r="B11" s="102" t="s">
        <v>153</v>
      </c>
      <c r="C11" s="98"/>
      <c r="D11" s="99"/>
      <c r="E11" s="84"/>
      <c r="F11" s="175">
        <f>Facilities!F93</f>
        <v>47424</v>
      </c>
      <c r="G11" s="175">
        <f>Facilities!G93</f>
        <v>47424</v>
      </c>
      <c r="H11" s="175">
        <f>Facilities!H93</f>
        <v>47424</v>
      </c>
      <c r="I11" s="175">
        <f>Facilities!I93</f>
        <v>47424</v>
      </c>
      <c r="J11" s="175">
        <f>Facilities!J93</f>
        <v>47424</v>
      </c>
      <c r="K11" s="175">
        <f>Facilities!K93</f>
        <v>47424</v>
      </c>
      <c r="L11" s="175">
        <f>Facilities!L93</f>
        <v>47424</v>
      </c>
      <c r="M11" s="170"/>
      <c r="N11" s="170"/>
      <c r="O11" s="170"/>
      <c r="P11" s="170"/>
    </row>
    <row r="12" spans="1:16" x14ac:dyDescent="0.25">
      <c r="A12" s="96">
        <f>ROW()</f>
        <v>12</v>
      </c>
      <c r="B12" s="102" t="s">
        <v>221</v>
      </c>
      <c r="C12" s="98"/>
      <c r="D12" s="99"/>
      <c r="E12" s="84"/>
      <c r="F12" s="176">
        <f t="shared" ref="F12" si="2">IFERROR(F11/F9,0)</f>
        <v>20.441203093076783</v>
      </c>
      <c r="G12" s="176">
        <f t="shared" ref="G12:L12" si="3">IFERROR(G11/G9,0)</f>
        <v>20.441203093076783</v>
      </c>
      <c r="H12" s="176">
        <f t="shared" si="3"/>
        <v>20.441203093076783</v>
      </c>
      <c r="I12" s="176">
        <f t="shared" si="3"/>
        <v>20.441203093076783</v>
      </c>
      <c r="J12" s="176">
        <f t="shared" si="3"/>
        <v>20.441203093076783</v>
      </c>
      <c r="K12" s="176">
        <f t="shared" si="3"/>
        <v>20.441203093076783</v>
      </c>
      <c r="L12" s="176">
        <f t="shared" si="3"/>
        <v>20.441203093076783</v>
      </c>
      <c r="M12" s="170"/>
      <c r="N12" s="170"/>
      <c r="O12" s="170"/>
      <c r="P12" s="170"/>
    </row>
    <row r="13" spans="1:16" x14ac:dyDescent="0.25">
      <c r="A13" s="96">
        <f>ROW()</f>
        <v>13</v>
      </c>
      <c r="B13" s="141"/>
      <c r="C13" s="142"/>
      <c r="D13" s="142"/>
      <c r="E13" s="142"/>
      <c r="F13" s="156"/>
      <c r="G13" s="156"/>
      <c r="H13" s="156"/>
      <c r="I13" s="156"/>
      <c r="J13" s="156"/>
      <c r="K13" s="156"/>
      <c r="L13" s="156"/>
      <c r="M13" s="170"/>
      <c r="N13" s="170"/>
      <c r="O13" s="170"/>
      <c r="P13" s="170"/>
    </row>
    <row r="14" spans="1:16" ht="18" x14ac:dyDescent="0.25">
      <c r="A14" s="96">
        <f>ROW()</f>
        <v>14</v>
      </c>
      <c r="B14" s="177" t="s">
        <v>222</v>
      </c>
      <c r="C14" s="178"/>
      <c r="D14" s="178"/>
      <c r="E14" s="178"/>
      <c r="F14" s="179">
        <f>Summary!F6</f>
        <v>0</v>
      </c>
      <c r="G14" s="179">
        <f>Summary!G6</f>
        <v>1</v>
      </c>
      <c r="H14" s="179">
        <f>Summary!H6</f>
        <v>2</v>
      </c>
      <c r="I14" s="179">
        <f>Summary!I6</f>
        <v>3</v>
      </c>
      <c r="J14" s="179">
        <f>Summary!J6</f>
        <v>4</v>
      </c>
      <c r="K14" s="179">
        <f>Summary!K6</f>
        <v>5</v>
      </c>
      <c r="L14" s="179">
        <f>Summary!L6</f>
        <v>6</v>
      </c>
    </row>
    <row r="15" spans="1:16" x14ac:dyDescent="0.25">
      <c r="A15" s="96">
        <f>ROW()</f>
        <v>15</v>
      </c>
      <c r="B15" s="180" t="s">
        <v>223</v>
      </c>
      <c r="C15" s="180"/>
      <c r="D15" s="180"/>
      <c r="E15" s="180"/>
      <c r="F15" s="182">
        <f>IFERROR(+Summary!F55/F43,0)</f>
        <v>120.78209570275162</v>
      </c>
      <c r="G15" s="182">
        <f>IFERROR(+Summary!G55/G43,0)</f>
        <v>120.48159728917838</v>
      </c>
      <c r="H15" s="182">
        <f>IFERROR(+Summary!H55/H43,0)</f>
        <v>120.40773969851305</v>
      </c>
      <c r="I15" s="182">
        <f>IFERROR(+Summary!I55/I43,0)</f>
        <v>97.882489427663486</v>
      </c>
      <c r="J15" s="182">
        <f>IFERROR(+Summary!J55/J43,0)</f>
        <v>74.235857881295473</v>
      </c>
      <c r="K15" s="182">
        <f>IFERROR(+Summary!K55/K43,0)</f>
        <v>49.872253660112307</v>
      </c>
      <c r="L15" s="182">
        <f>IFERROR(+Summary!L55/L43,0)</f>
        <v>24.779046682327973</v>
      </c>
    </row>
    <row r="16" spans="1:16" x14ac:dyDescent="0.25">
      <c r="A16" s="96">
        <f>ROW()</f>
        <v>16</v>
      </c>
      <c r="B16" s="42" t="s">
        <v>224</v>
      </c>
      <c r="C16" s="42"/>
      <c r="D16" s="42"/>
      <c r="E16" s="42"/>
      <c r="F16" s="183">
        <f t="shared" ref="F16" si="4">IFERROR(+F15/F20,0)</f>
        <v>5.2060799347743388E-2</v>
      </c>
      <c r="G16" s="183">
        <f t="shared" ref="G16:L16" si="5">IFERROR(+G15/G20,0)</f>
        <v>5.1931275286065802E-2</v>
      </c>
      <c r="H16" s="183">
        <f t="shared" si="5"/>
        <v>5.1899440392114318E-2</v>
      </c>
      <c r="I16" s="183">
        <f t="shared" si="5"/>
        <v>4.2190364491540372E-2</v>
      </c>
      <c r="J16" s="183">
        <f t="shared" si="5"/>
        <v>3.1997938759707016E-2</v>
      </c>
      <c r="K16" s="183">
        <f t="shared" si="5"/>
        <v>2.1496475745947149E-2</v>
      </c>
      <c r="L16" s="183">
        <f t="shared" si="5"/>
        <v>1.0680531496421571E-2</v>
      </c>
    </row>
    <row r="17" spans="1:27" x14ac:dyDescent="0.25">
      <c r="A17" s="96">
        <f>ROW()</f>
        <v>17</v>
      </c>
      <c r="B17" s="180" t="s">
        <v>225</v>
      </c>
      <c r="C17" s="184"/>
      <c r="D17" s="184"/>
      <c r="E17" s="184">
        <f>Summary!F58</f>
        <v>12478170.787155483</v>
      </c>
      <c r="F17" s="185">
        <f>Summary!F55+E17</f>
        <v>13883341.574310966</v>
      </c>
      <c r="G17" s="185">
        <f>Summary!G55+F17</f>
        <v>15298905.900093552</v>
      </c>
      <c r="H17" s="185">
        <f>+G17+Summary!H55</f>
        <v>16727990.052594621</v>
      </c>
      <c r="I17" s="185">
        <f>H17+Summary!I55</f>
        <v>17889962.536025189</v>
      </c>
      <c r="J17" s="185">
        <f>I17+Summary!J55</f>
        <v>18771227.121269338</v>
      </c>
      <c r="K17" s="185">
        <f>J17+Summary!K55</f>
        <v>19363267.89146395</v>
      </c>
      <c r="L17" s="185">
        <f>K17+Summary!L55</f>
        <v>19657423.555775814</v>
      </c>
    </row>
    <row r="18" spans="1:27" x14ac:dyDescent="0.25">
      <c r="A18" s="96">
        <f>ROW()</f>
        <v>18</v>
      </c>
      <c r="B18" s="42" t="s">
        <v>226</v>
      </c>
      <c r="C18" s="159"/>
      <c r="D18" s="159"/>
      <c r="E18" s="159"/>
      <c r="F18" s="186"/>
      <c r="G18" s="187">
        <f>IFERROR(+G17/Summary!G52,0)</f>
        <v>0.5919975805241795</v>
      </c>
      <c r="H18" s="187">
        <f>IFERROR(+H17/Summary!H52,0)</f>
        <v>0.64075828522868905</v>
      </c>
      <c r="I18" s="187">
        <f>IFERROR(+I17/Summary!I52,0)</f>
        <v>0.67818419294883858</v>
      </c>
      <c r="J18" s="187">
        <f>IFERROR(+J17/Summary!J52,0)</f>
        <v>0.70409630864088257</v>
      </c>
      <c r="K18" s="187">
        <f>IFERROR(+K17/Summary!K52,0)</f>
        <v>0.71850849947092321</v>
      </c>
      <c r="L18" s="187">
        <f>IFERROR(+L17/Summary!L52,0)</f>
        <v>0.72144908902128335</v>
      </c>
    </row>
    <row r="19" spans="1:27" x14ac:dyDescent="0.25">
      <c r="A19" s="96">
        <f>ROW()</f>
        <v>19</v>
      </c>
      <c r="B19" s="42"/>
      <c r="C19" s="42"/>
      <c r="D19" s="42"/>
      <c r="E19" s="42"/>
      <c r="F19" s="161"/>
      <c r="G19" s="161"/>
      <c r="H19" s="161"/>
      <c r="I19" s="161"/>
      <c r="J19" s="161"/>
      <c r="K19" s="161"/>
      <c r="L19" s="161"/>
    </row>
    <row r="20" spans="1:27" x14ac:dyDescent="0.25">
      <c r="A20" s="96">
        <f>ROW()</f>
        <v>20</v>
      </c>
      <c r="B20" s="188" t="s">
        <v>220</v>
      </c>
      <c r="C20" s="189">
        <f>MAX(F20:L20)</f>
        <v>2320.02</v>
      </c>
      <c r="D20" s="190"/>
      <c r="E20" s="191"/>
      <c r="F20" s="192">
        <f>' Enrol &amp; Rev'!F36</f>
        <v>2320.02</v>
      </c>
      <c r="G20" s="192">
        <f>' Enrol &amp; Rev'!G36</f>
        <v>2320.02</v>
      </c>
      <c r="H20" s="192">
        <f>' Enrol &amp; Rev'!H36</f>
        <v>2320.02</v>
      </c>
      <c r="I20" s="192">
        <f>' Enrol &amp; Rev'!I36</f>
        <v>2320.02</v>
      </c>
      <c r="J20" s="192">
        <f>' Enrol &amp; Rev'!J36</f>
        <v>2320.02</v>
      </c>
      <c r="K20" s="192">
        <f>' Enrol &amp; Rev'!K36</f>
        <v>2320.02</v>
      </c>
      <c r="L20" s="192">
        <f>' Enrol &amp; Rev'!L36</f>
        <v>2320.02</v>
      </c>
    </row>
    <row r="21" spans="1:27" x14ac:dyDescent="0.25">
      <c r="A21" s="96">
        <f>ROW()</f>
        <v>21</v>
      </c>
      <c r="B21" s="193" t="s">
        <v>152</v>
      </c>
      <c r="C21" s="194">
        <f>MAX(F21:L21)</f>
        <v>123</v>
      </c>
      <c r="D21" s="195"/>
      <c r="E21" s="196"/>
      <c r="F21" s="197">
        <f>Staff!G27</f>
        <v>123</v>
      </c>
      <c r="G21" s="197">
        <f>Staff!H27</f>
        <v>123</v>
      </c>
      <c r="H21" s="197">
        <f>Staff!I27</f>
        <v>123</v>
      </c>
      <c r="I21" s="197">
        <f>Staff!J27</f>
        <v>123</v>
      </c>
      <c r="J21" s="197">
        <f>Staff!K27</f>
        <v>123</v>
      </c>
      <c r="K21" s="197">
        <f>Staff!L27</f>
        <v>123</v>
      </c>
      <c r="L21" s="197">
        <f>Staff!M27</f>
        <v>123</v>
      </c>
    </row>
    <row r="22" spans="1:27" ht="20.25" x14ac:dyDescent="0.3">
      <c r="A22" s="96">
        <f>ROW()</f>
        <v>22</v>
      </c>
      <c r="B22" s="97" t="s">
        <v>227</v>
      </c>
      <c r="C22" s="198">
        <f>MAX(F22:L22)</f>
        <v>2443.02</v>
      </c>
      <c r="D22" s="190"/>
      <c r="E22" s="191"/>
      <c r="F22" s="192">
        <f t="shared" ref="F22:L22" si="6">SUM(F20:F21)</f>
        <v>2443.02</v>
      </c>
      <c r="G22" s="192">
        <f t="shared" si="6"/>
        <v>2443.02</v>
      </c>
      <c r="H22" s="192">
        <f t="shared" si="6"/>
        <v>2443.02</v>
      </c>
      <c r="I22" s="192">
        <f t="shared" si="6"/>
        <v>2443.02</v>
      </c>
      <c r="J22" s="192">
        <f t="shared" si="6"/>
        <v>2443.02</v>
      </c>
      <c r="K22" s="192">
        <f t="shared" si="6"/>
        <v>2443.02</v>
      </c>
      <c r="L22" s="192">
        <f t="shared" si="6"/>
        <v>2443.02</v>
      </c>
      <c r="M22" s="1587" t="s">
        <v>1417</v>
      </c>
      <c r="N22" s="1588"/>
      <c r="O22" s="1588"/>
      <c r="P22" s="1588"/>
      <c r="Q22" s="1588"/>
      <c r="R22" s="1589"/>
      <c r="S22" s="1589"/>
      <c r="T22" s="1589"/>
      <c r="U22" s="1589"/>
      <c r="V22" s="1589"/>
      <c r="W22" s="1589"/>
      <c r="X22" s="1589"/>
      <c r="Y22" s="1589"/>
      <c r="Z22" s="1589"/>
      <c r="AA22" s="1589"/>
    </row>
    <row r="23" spans="1:27" ht="20.25" x14ac:dyDescent="0.3">
      <c r="A23" s="96">
        <f>ROW()</f>
        <v>23</v>
      </c>
      <c r="B23" s="199" t="s">
        <v>228</v>
      </c>
      <c r="C23" s="198"/>
      <c r="D23" s="115"/>
      <c r="E23" s="196"/>
      <c r="F23" s="100"/>
      <c r="G23" s="100"/>
      <c r="H23" s="187">
        <f>IFERROR(+H20/G20-1,0)</f>
        <v>0</v>
      </c>
      <c r="I23" s="187">
        <f>IFERROR(+I20/H20-1,0)</f>
        <v>0</v>
      </c>
      <c r="J23" s="187">
        <f>IFERROR(+J20/I20-1,0)</f>
        <v>0</v>
      </c>
      <c r="K23" s="187">
        <f>IFERROR(+K20/J20-1,0)</f>
        <v>0</v>
      </c>
      <c r="L23" s="187">
        <f>IFERROR(+L20/K20-1,0)</f>
        <v>0</v>
      </c>
      <c r="M23" s="1587" t="s">
        <v>1415</v>
      </c>
      <c r="N23" s="1588"/>
      <c r="O23" s="1588"/>
      <c r="P23" s="1588"/>
      <c r="Q23" s="1588"/>
      <c r="R23" s="1589"/>
      <c r="S23" s="1589"/>
      <c r="T23" s="1589"/>
      <c r="U23" s="1589"/>
      <c r="V23" s="1589"/>
      <c r="W23" s="1589"/>
      <c r="X23" s="1589"/>
      <c r="Y23" s="1589"/>
      <c r="Z23" s="1589"/>
      <c r="AA23" s="1589"/>
    </row>
    <row r="24" spans="1:27" ht="20.25" x14ac:dyDescent="0.3">
      <c r="A24" s="96">
        <f>ROW()</f>
        <v>24</v>
      </c>
      <c r="B24" s="102" t="s">
        <v>229</v>
      </c>
      <c r="C24" s="198">
        <f>MAX(F24:L24)</f>
        <v>27</v>
      </c>
      <c r="D24" s="195"/>
      <c r="E24" s="196"/>
      <c r="F24" s="100">
        <f>+Staff!G106</f>
        <v>27</v>
      </c>
      <c r="G24" s="100">
        <f>+Staff!H106</f>
        <v>27</v>
      </c>
      <c r="H24" s="100">
        <f>+Staff!I106</f>
        <v>27</v>
      </c>
      <c r="I24" s="100">
        <f>+Staff!J106</f>
        <v>27</v>
      </c>
      <c r="J24" s="100">
        <f>+Staff!K106</f>
        <v>27</v>
      </c>
      <c r="K24" s="100">
        <f>+Staff!L106</f>
        <v>27</v>
      </c>
      <c r="L24" s="100">
        <f>+Staff!M106</f>
        <v>27</v>
      </c>
      <c r="M24" s="1587" t="s">
        <v>1416</v>
      </c>
      <c r="N24" s="1588"/>
      <c r="O24" s="1588"/>
      <c r="P24" s="1588"/>
      <c r="Q24" s="1588"/>
      <c r="R24" s="1589"/>
      <c r="S24" s="1589"/>
      <c r="T24" s="1589"/>
      <c r="U24" s="1589"/>
      <c r="V24" s="1589"/>
      <c r="W24" s="1589"/>
      <c r="X24" s="1589"/>
      <c r="Y24" s="1589"/>
      <c r="Z24" s="1589"/>
      <c r="AA24" s="1589"/>
    </row>
    <row r="25" spans="1:27" x14ac:dyDescent="0.25">
      <c r="A25" s="96">
        <f>ROW()</f>
        <v>25</v>
      </c>
      <c r="B25" s="102" t="s">
        <v>230</v>
      </c>
      <c r="C25" s="198">
        <f>MAX(F25:L25)</f>
        <v>4</v>
      </c>
      <c r="D25" s="195"/>
      <c r="E25" s="196"/>
      <c r="F25" s="100">
        <f>+Staff!G120</f>
        <v>4</v>
      </c>
      <c r="G25" s="100">
        <f>+Staff!H120</f>
        <v>4</v>
      </c>
      <c r="H25" s="100">
        <f>+Staff!I120</f>
        <v>4</v>
      </c>
      <c r="I25" s="100">
        <f>+Staff!J120</f>
        <v>4</v>
      </c>
      <c r="J25" s="100">
        <f>+Staff!K120</f>
        <v>4</v>
      </c>
      <c r="K25" s="100">
        <f>+Staff!L120</f>
        <v>4</v>
      </c>
      <c r="L25" s="100">
        <f>+Staff!M120</f>
        <v>4</v>
      </c>
      <c r="M25" s="1588"/>
      <c r="N25" s="1588"/>
      <c r="O25" s="1588"/>
      <c r="P25" s="1588"/>
      <c r="Q25" s="1588"/>
      <c r="R25" s="1589"/>
      <c r="S25" s="1589"/>
      <c r="T25" s="1589"/>
      <c r="U25" s="1589"/>
      <c r="V25" s="1589"/>
      <c r="W25" s="1589"/>
      <c r="X25" s="1589"/>
      <c r="Y25" s="1589"/>
      <c r="Z25" s="1589"/>
      <c r="AA25" s="1589"/>
    </row>
    <row r="26" spans="1:27" x14ac:dyDescent="0.25">
      <c r="A26" s="96">
        <f>ROW()</f>
        <v>26</v>
      </c>
      <c r="B26" s="102" t="s">
        <v>231</v>
      </c>
      <c r="C26" s="198">
        <f>MAX(F26:L26)</f>
        <v>52</v>
      </c>
      <c r="D26" s="195"/>
      <c r="E26" s="196"/>
      <c r="F26" s="100">
        <f>+Staff!G238</f>
        <v>52</v>
      </c>
      <c r="G26" s="100">
        <f>+Staff!H238</f>
        <v>52</v>
      </c>
      <c r="H26" s="100">
        <f>+Staff!I238</f>
        <v>52</v>
      </c>
      <c r="I26" s="100">
        <f>+Staff!J238</f>
        <v>52</v>
      </c>
      <c r="J26" s="100">
        <f>+Staff!K238</f>
        <v>52</v>
      </c>
      <c r="K26" s="100">
        <f>+Staff!L238</f>
        <v>52</v>
      </c>
      <c r="L26" s="100">
        <f>+Staff!M238</f>
        <v>52</v>
      </c>
    </row>
    <row r="27" spans="1:27" x14ac:dyDescent="0.25">
      <c r="A27" s="96">
        <f>ROW()</f>
        <v>27</v>
      </c>
      <c r="B27" s="200" t="s">
        <v>232</v>
      </c>
      <c r="C27" s="201">
        <f>MAX(G27:L27)</f>
        <v>83</v>
      </c>
      <c r="D27" s="190"/>
      <c r="E27" s="202"/>
      <c r="F27" s="192">
        <f t="shared" ref="F27:L27" si="7">SUM(F24:F26)</f>
        <v>83</v>
      </c>
      <c r="G27" s="192">
        <f t="shared" si="7"/>
        <v>83</v>
      </c>
      <c r="H27" s="192">
        <f t="shared" si="7"/>
        <v>83</v>
      </c>
      <c r="I27" s="192">
        <f t="shared" si="7"/>
        <v>83</v>
      </c>
      <c r="J27" s="192">
        <f t="shared" si="7"/>
        <v>83</v>
      </c>
      <c r="K27" s="192">
        <f t="shared" si="7"/>
        <v>83</v>
      </c>
      <c r="L27" s="192">
        <f t="shared" si="7"/>
        <v>83</v>
      </c>
    </row>
    <row r="28" spans="1:27" x14ac:dyDescent="0.25">
      <c r="A28" s="96">
        <f>ROW()</f>
        <v>28</v>
      </c>
      <c r="B28" s="188" t="s">
        <v>233</v>
      </c>
      <c r="C28" s="198">
        <f>MAX(G28:L28)</f>
        <v>27.952048192771084</v>
      </c>
      <c r="D28" s="190"/>
      <c r="E28" s="191"/>
      <c r="F28" s="181">
        <f t="shared" ref="F28" si="8">IFERROR(+F20/F27,0)</f>
        <v>27.952048192771084</v>
      </c>
      <c r="G28" s="181">
        <f t="shared" ref="G28:L28" si="9">IFERROR(+G20/G27,0)</f>
        <v>27.952048192771084</v>
      </c>
      <c r="H28" s="181">
        <f t="shared" si="9"/>
        <v>27.952048192771084</v>
      </c>
      <c r="I28" s="181">
        <f t="shared" si="9"/>
        <v>27.952048192771084</v>
      </c>
      <c r="J28" s="181">
        <f t="shared" si="9"/>
        <v>27.952048192771084</v>
      </c>
      <c r="K28" s="181">
        <f t="shared" si="9"/>
        <v>27.952048192771084</v>
      </c>
      <c r="L28" s="181">
        <f t="shared" si="9"/>
        <v>27.952048192771084</v>
      </c>
    </row>
    <row r="29" spans="1:27" x14ac:dyDescent="0.25">
      <c r="A29" s="96">
        <f>ROW()</f>
        <v>29</v>
      </c>
      <c r="B29" s="193" t="s">
        <v>234</v>
      </c>
      <c r="C29" s="198"/>
      <c r="D29" s="115"/>
      <c r="E29" s="196"/>
      <c r="F29" s="203">
        <f>' Enrol &amp; Rev'!F21</f>
        <v>25</v>
      </c>
      <c r="G29" s="203">
        <f>' Enrol &amp; Rev'!G21</f>
        <v>25</v>
      </c>
      <c r="H29" s="203">
        <f>' Enrol &amp; Rev'!H21</f>
        <v>25</v>
      </c>
      <c r="I29" s="203">
        <f>' Enrol &amp; Rev'!I21</f>
        <v>25</v>
      </c>
      <c r="J29" s="203">
        <f>' Enrol &amp; Rev'!J21</f>
        <v>25</v>
      </c>
      <c r="K29" s="203">
        <f>' Enrol &amp; Rev'!K21</f>
        <v>25</v>
      </c>
      <c r="L29" s="203">
        <f>' Enrol &amp; Rev'!L21</f>
        <v>25</v>
      </c>
    </row>
    <row r="30" spans="1:27" x14ac:dyDescent="0.25">
      <c r="A30" s="96">
        <f>ROW()</f>
        <v>30</v>
      </c>
      <c r="B30" s="102" t="s">
        <v>235</v>
      </c>
      <c r="C30" s="198">
        <f t="shared" ref="C30:C35" si="10">MAX(G30:L30)</f>
        <v>9</v>
      </c>
      <c r="D30" s="195"/>
      <c r="E30" s="196"/>
      <c r="F30" s="100">
        <f>+Staff!G86</f>
        <v>9</v>
      </c>
      <c r="G30" s="100">
        <f>+Staff!H86</f>
        <v>9</v>
      </c>
      <c r="H30" s="100">
        <f>+Staff!I86</f>
        <v>9</v>
      </c>
      <c r="I30" s="100">
        <f>+Staff!J86</f>
        <v>9</v>
      </c>
      <c r="J30" s="100">
        <f>+Staff!K86</f>
        <v>9</v>
      </c>
      <c r="K30" s="100">
        <f>+Staff!L86</f>
        <v>9</v>
      </c>
      <c r="L30" s="100">
        <f>+Staff!M86</f>
        <v>9</v>
      </c>
    </row>
    <row r="31" spans="1:27" x14ac:dyDescent="0.25">
      <c r="A31" s="96">
        <f>ROW()</f>
        <v>31</v>
      </c>
      <c r="B31" s="97" t="s">
        <v>236</v>
      </c>
      <c r="C31" s="189">
        <f t="shared" si="10"/>
        <v>257.77999999999997</v>
      </c>
      <c r="D31" s="190"/>
      <c r="E31" s="191"/>
      <c r="F31" s="192">
        <f>IFERROR(F20/F30,0)</f>
        <v>257.77999999999997</v>
      </c>
      <c r="G31" s="192">
        <f t="shared" ref="G31:L31" si="11">IFERROR(+G20/G30,0)</f>
        <v>257.77999999999997</v>
      </c>
      <c r="H31" s="192">
        <f t="shared" si="11"/>
        <v>257.77999999999997</v>
      </c>
      <c r="I31" s="192">
        <f t="shared" si="11"/>
        <v>257.77999999999997</v>
      </c>
      <c r="J31" s="192">
        <f t="shared" si="11"/>
        <v>257.77999999999997</v>
      </c>
      <c r="K31" s="192">
        <f t="shared" si="11"/>
        <v>257.77999999999997</v>
      </c>
      <c r="L31" s="192">
        <f t="shared" si="11"/>
        <v>257.77999999999997</v>
      </c>
    </row>
    <row r="32" spans="1:27" x14ac:dyDescent="0.25">
      <c r="A32" s="96">
        <f>ROW()</f>
        <v>32</v>
      </c>
      <c r="B32" s="102" t="s">
        <v>237</v>
      </c>
      <c r="C32" s="198">
        <f t="shared" si="10"/>
        <v>9.2222222222222214</v>
      </c>
      <c r="D32" s="195"/>
      <c r="E32" s="196"/>
      <c r="F32" s="100">
        <f>IFERROR(F27/F30,0)</f>
        <v>9.2222222222222214</v>
      </c>
      <c r="G32" s="100">
        <f t="shared" ref="G32:L32" si="12">IFERROR(+G27/G30,0)</f>
        <v>9.2222222222222214</v>
      </c>
      <c r="H32" s="100">
        <f t="shared" si="12"/>
        <v>9.2222222222222214</v>
      </c>
      <c r="I32" s="100">
        <f t="shared" si="12"/>
        <v>9.2222222222222214</v>
      </c>
      <c r="J32" s="100">
        <f t="shared" si="12"/>
        <v>9.2222222222222214</v>
      </c>
      <c r="K32" s="100">
        <f t="shared" si="12"/>
        <v>9.2222222222222214</v>
      </c>
      <c r="L32" s="100">
        <f t="shared" si="12"/>
        <v>9.2222222222222214</v>
      </c>
    </row>
    <row r="33" spans="1:27" x14ac:dyDescent="0.25">
      <c r="A33" s="96">
        <f>ROW()</f>
        <v>33</v>
      </c>
      <c r="B33" s="102" t="s">
        <v>238</v>
      </c>
      <c r="C33" s="194">
        <f t="shared" si="10"/>
        <v>30</v>
      </c>
      <c r="D33" s="195"/>
      <c r="E33" s="196"/>
      <c r="F33" s="100">
        <f>+Staff!G94</f>
        <v>30</v>
      </c>
      <c r="G33" s="100">
        <f>+Staff!H94</f>
        <v>30</v>
      </c>
      <c r="H33" s="100">
        <f>+Staff!I94</f>
        <v>30</v>
      </c>
      <c r="I33" s="100">
        <f>+Staff!J94</f>
        <v>30</v>
      </c>
      <c r="J33" s="100">
        <f>+Staff!K94</f>
        <v>30</v>
      </c>
      <c r="K33" s="100">
        <f>+Staff!L94</f>
        <v>30</v>
      </c>
      <c r="L33" s="100">
        <f>+Staff!M94</f>
        <v>30</v>
      </c>
    </row>
    <row r="34" spans="1:27" x14ac:dyDescent="0.25">
      <c r="A34" s="96">
        <f>ROW()</f>
        <v>34</v>
      </c>
      <c r="B34" s="97" t="s">
        <v>239</v>
      </c>
      <c r="C34" s="198">
        <f t="shared" si="10"/>
        <v>77.334000000000003</v>
      </c>
      <c r="D34" s="190"/>
      <c r="E34" s="191"/>
      <c r="F34" s="192">
        <f t="shared" ref="F34" si="13">IFERROR(+F20/F33,0)</f>
        <v>77.334000000000003</v>
      </c>
      <c r="G34" s="192">
        <f t="shared" ref="G34:L34" si="14">IFERROR(+G20/G33,0)</f>
        <v>77.334000000000003</v>
      </c>
      <c r="H34" s="192">
        <f t="shared" si="14"/>
        <v>77.334000000000003</v>
      </c>
      <c r="I34" s="192">
        <f t="shared" si="14"/>
        <v>77.334000000000003</v>
      </c>
      <c r="J34" s="192">
        <f t="shared" si="14"/>
        <v>77.334000000000003</v>
      </c>
      <c r="K34" s="192">
        <f t="shared" si="14"/>
        <v>77.334000000000003</v>
      </c>
      <c r="L34" s="192">
        <f t="shared" si="14"/>
        <v>77.334000000000003</v>
      </c>
    </row>
    <row r="35" spans="1:27" x14ac:dyDescent="0.25">
      <c r="A35" s="96">
        <f>ROW()</f>
        <v>35</v>
      </c>
      <c r="B35" s="102" t="s">
        <v>240</v>
      </c>
      <c r="C35" s="198">
        <f t="shared" si="10"/>
        <v>2.7666666666666666</v>
      </c>
      <c r="D35" s="195"/>
      <c r="E35" s="196"/>
      <c r="F35" s="100">
        <f t="shared" ref="F35" si="15">IFERROR(+F27/F33,0)</f>
        <v>2.7666666666666666</v>
      </c>
      <c r="G35" s="100">
        <f t="shared" ref="G35:L35" si="16">IFERROR(+G27/G33,0)</f>
        <v>2.7666666666666666</v>
      </c>
      <c r="H35" s="100">
        <f t="shared" si="16"/>
        <v>2.7666666666666666</v>
      </c>
      <c r="I35" s="100">
        <f t="shared" si="16"/>
        <v>2.7666666666666666</v>
      </c>
      <c r="J35" s="100">
        <f t="shared" si="16"/>
        <v>2.7666666666666666</v>
      </c>
      <c r="K35" s="100">
        <f t="shared" si="16"/>
        <v>2.7666666666666666</v>
      </c>
      <c r="L35" s="100">
        <f t="shared" si="16"/>
        <v>2.7666666666666666</v>
      </c>
    </row>
    <row r="36" spans="1:27" x14ac:dyDescent="0.25">
      <c r="A36" s="96">
        <f>ROW()</f>
        <v>36</v>
      </c>
      <c r="B36" s="102" t="s">
        <v>241</v>
      </c>
      <c r="C36" s="204">
        <f t="shared" ref="C36:C41" si="17">AVERAGE(G36:L36)</f>
        <v>165182.64000000001</v>
      </c>
      <c r="D36" s="204"/>
      <c r="E36" s="151"/>
      <c r="F36" s="126">
        <f>IFERROR(+Staff!G249/F30,0)</f>
        <v>165182.64000000001</v>
      </c>
      <c r="G36" s="126">
        <f>IFERROR(+Staff!H249/G30,0)</f>
        <v>165182.64000000001</v>
      </c>
      <c r="H36" s="126">
        <f>IFERROR(+Staff!I249/H30,0)</f>
        <v>165182.64000000001</v>
      </c>
      <c r="I36" s="126">
        <f>IFERROR(+Staff!J249/I30,0)</f>
        <v>165182.64000000001</v>
      </c>
      <c r="J36" s="126">
        <f>IFERROR(+Staff!K249/J30,0)</f>
        <v>165182.64000000001</v>
      </c>
      <c r="K36" s="126">
        <f>IFERROR(+Staff!L249/K30,0)</f>
        <v>165182.64000000001</v>
      </c>
      <c r="L36" s="126">
        <f>IFERROR(+Staff!M249/L30,0)</f>
        <v>165182.64000000001</v>
      </c>
    </row>
    <row r="37" spans="1:27" x14ac:dyDescent="0.25">
      <c r="A37" s="96">
        <f>ROW()</f>
        <v>37</v>
      </c>
      <c r="B37" s="102" t="s">
        <v>242</v>
      </c>
      <c r="C37" s="204">
        <f t="shared" si="17"/>
        <v>55764.263333333329</v>
      </c>
      <c r="D37" s="204"/>
      <c r="E37" s="196"/>
      <c r="F37" s="100">
        <f>IFERROR(+Staff!G256/F33,0)</f>
        <v>55764.263333333329</v>
      </c>
      <c r="G37" s="100">
        <f>IFERROR(+Staff!H256/G33,0)</f>
        <v>55764.263333333329</v>
      </c>
      <c r="H37" s="100">
        <f>IFERROR(+Staff!I256/H33,0)</f>
        <v>55764.263333333329</v>
      </c>
      <c r="I37" s="100">
        <f>IFERROR(+Staff!J256/I33,0)</f>
        <v>55764.263333333329</v>
      </c>
      <c r="J37" s="100">
        <f>IFERROR(+Staff!K256/J33,0)</f>
        <v>55764.263333333329</v>
      </c>
      <c r="K37" s="100">
        <f>IFERROR(+Staff!L256/K33,0)</f>
        <v>55764.263333333329</v>
      </c>
      <c r="L37" s="100">
        <f>IFERROR(+Staff!M256/L33,0)</f>
        <v>55764.263333333329</v>
      </c>
    </row>
    <row r="38" spans="1:27" x14ac:dyDescent="0.25">
      <c r="A38" s="96">
        <f>ROW()</f>
        <v>38</v>
      </c>
      <c r="B38" s="102" t="s">
        <v>243</v>
      </c>
      <c r="C38" s="204">
        <f t="shared" si="17"/>
        <v>69913.201851851845</v>
      </c>
      <c r="D38" s="204"/>
      <c r="E38" s="196"/>
      <c r="F38" s="100">
        <f>IFERROR(+Staff!G271/F24,0)</f>
        <v>69913.201851851845</v>
      </c>
      <c r="G38" s="100">
        <f>IFERROR(+Staff!H271/G24,0)</f>
        <v>69913.201851851845</v>
      </c>
      <c r="H38" s="100">
        <f>IFERROR(+Staff!I271/H24,0)</f>
        <v>69913.201851851845</v>
      </c>
      <c r="I38" s="100">
        <f>IFERROR(+Staff!J271/I24,0)</f>
        <v>69913.201851851845</v>
      </c>
      <c r="J38" s="100">
        <f>IFERROR(+Staff!K271/J24,0)</f>
        <v>69913.201851851845</v>
      </c>
      <c r="K38" s="100">
        <f>IFERROR(+Staff!L271/K24,0)</f>
        <v>69913.201851851845</v>
      </c>
      <c r="L38" s="100">
        <f>IFERROR(+Staff!M271/L24,0)</f>
        <v>69913.201851851845</v>
      </c>
    </row>
    <row r="39" spans="1:27" x14ac:dyDescent="0.25">
      <c r="A39" s="96">
        <f>ROW()</f>
        <v>39</v>
      </c>
      <c r="B39" s="102" t="s">
        <v>244</v>
      </c>
      <c r="C39" s="204">
        <f t="shared" si="17"/>
        <v>94819.75</v>
      </c>
      <c r="D39" s="204"/>
      <c r="E39" s="196"/>
      <c r="F39" s="100">
        <f>IFERROR(Staff!G283/F25,0)</f>
        <v>94819.75</v>
      </c>
      <c r="G39" s="100">
        <f>IFERROR(Staff!H283/G25,0)</f>
        <v>94819.75</v>
      </c>
      <c r="H39" s="100">
        <f>IFERROR(Staff!I283/H25,0)</f>
        <v>94819.75</v>
      </c>
      <c r="I39" s="100">
        <f>IFERROR(Staff!J283/I25,0)</f>
        <v>94819.75</v>
      </c>
      <c r="J39" s="100">
        <f>IFERROR(Staff!K283/J25,0)</f>
        <v>94819.75</v>
      </c>
      <c r="K39" s="100">
        <f>IFERROR(Staff!L283/K25,0)</f>
        <v>94819.75</v>
      </c>
      <c r="L39" s="100">
        <f>IFERROR(Staff!M283/L25,0)</f>
        <v>94819.75</v>
      </c>
    </row>
    <row r="40" spans="1:27" x14ac:dyDescent="0.25">
      <c r="A40" s="96">
        <f>ROW()</f>
        <v>40</v>
      </c>
      <c r="B40" s="102" t="s">
        <v>245</v>
      </c>
      <c r="C40" s="204">
        <f t="shared" si="17"/>
        <v>92305.336730769239</v>
      </c>
      <c r="D40" s="204"/>
      <c r="E40" s="196"/>
      <c r="F40" s="100">
        <f>IFERROR(Staff!G394/F26,0)</f>
        <v>92305.336730769224</v>
      </c>
      <c r="G40" s="100">
        <f>IFERROR(Staff!H394/G26,0)</f>
        <v>92305.336730769224</v>
      </c>
      <c r="H40" s="100">
        <f>IFERROR(Staff!I394/H26,0)</f>
        <v>92305.336730769224</v>
      </c>
      <c r="I40" s="100">
        <f>IFERROR(Staff!J394/I26,0)</f>
        <v>92305.336730769224</v>
      </c>
      <c r="J40" s="100">
        <f>IFERROR(Staff!K394/J26,0)</f>
        <v>92305.336730769224</v>
      </c>
      <c r="K40" s="100">
        <f>IFERROR(Staff!L394/K26,0)</f>
        <v>92305.336730769224</v>
      </c>
      <c r="L40" s="100">
        <f>IFERROR(Staff!M394/L26,0)</f>
        <v>92305.336730769224</v>
      </c>
    </row>
    <row r="41" spans="1:27" x14ac:dyDescent="0.25">
      <c r="A41" s="96">
        <f>ROW()</f>
        <v>41</v>
      </c>
      <c r="B41" s="102" t="s">
        <v>246</v>
      </c>
      <c r="C41" s="204">
        <f t="shared" si="17"/>
        <v>0</v>
      </c>
      <c r="D41" s="204"/>
      <c r="E41" s="196"/>
      <c r="F41" s="100">
        <f>IFERROR(+Summary!F18/F27,0)</f>
        <v>0</v>
      </c>
      <c r="G41" s="100">
        <f>IFERROR(+Summary!G18/G27,0)</f>
        <v>0</v>
      </c>
      <c r="H41" s="100">
        <f>IFERROR(+Summary!H18/H27,0)</f>
        <v>0</v>
      </c>
      <c r="I41" s="100">
        <f>IFERROR(+Summary!I18/I27,0)</f>
        <v>0</v>
      </c>
      <c r="J41" s="100">
        <f>IFERROR(+Summary!J18/J27,0)</f>
        <v>0</v>
      </c>
      <c r="K41" s="100">
        <f>IFERROR(+Summary!K18/K27,0)</f>
        <v>0</v>
      </c>
      <c r="L41" s="100">
        <f>IFERROR(+Summary!L18/L27,0)</f>
        <v>0</v>
      </c>
    </row>
    <row r="42" spans="1:27" x14ac:dyDescent="0.25">
      <c r="A42" s="96">
        <f>ROW()</f>
        <v>42</v>
      </c>
      <c r="B42" s="102"/>
      <c r="C42" s="205"/>
      <c r="D42" s="205"/>
      <c r="E42" s="196"/>
      <c r="F42" s="100"/>
      <c r="G42" s="100"/>
      <c r="H42" s="100"/>
      <c r="I42" s="100"/>
      <c r="J42" s="100"/>
      <c r="K42" s="100"/>
      <c r="L42" s="100"/>
    </row>
    <row r="43" spans="1:27" x14ac:dyDescent="0.25">
      <c r="A43" s="96">
        <f>ROW()</f>
        <v>43</v>
      </c>
      <c r="B43" s="102" t="s">
        <v>247</v>
      </c>
      <c r="C43" s="204">
        <f>AVERAGE(G43:L43)</f>
        <v>11850.409071416238</v>
      </c>
      <c r="D43" s="204"/>
      <c r="E43" s="206"/>
      <c r="F43" s="207">
        <f>IFERROR(Summary!F35/F20,0)</f>
        <v>11633.932819096388</v>
      </c>
      <c r="G43" s="207">
        <f>IFERROR(Summary!G35/G20,0)</f>
        <v>11749.216126218567</v>
      </c>
      <c r="H43" s="207">
        <f>IFERROR(Summary!H35/H20,0)</f>
        <v>11868.706746587297</v>
      </c>
      <c r="I43" s="207">
        <f>IFERROR(Summary!I35/I20,0)</f>
        <v>11871.09655899467</v>
      </c>
      <c r="J43" s="207">
        <f>IFERROR(Summary!J35/J20,0)</f>
        <v>11871.144355242819</v>
      </c>
      <c r="K43" s="207">
        <f>IFERROR(Summary!K35/K20,0)</f>
        <v>11871.145311167782</v>
      </c>
      <c r="L43" s="207">
        <f>IFERROR(Summary!L35/L20,0)</f>
        <v>11871.145330286281</v>
      </c>
    </row>
    <row r="44" spans="1:27" x14ac:dyDescent="0.25">
      <c r="A44" s="96">
        <f>ROW()</f>
        <v>44</v>
      </c>
      <c r="B44" s="102" t="s">
        <v>248</v>
      </c>
      <c r="C44" s="204">
        <f>AVERAGE(G44:L44)</f>
        <v>11435.607907240579</v>
      </c>
      <c r="D44" s="204"/>
      <c r="E44" s="206"/>
      <c r="F44" s="117">
        <f>IFERROR(Summary!F52/F20,0)</f>
        <v>11028.260976976284</v>
      </c>
      <c r="G44" s="117">
        <f>IFERROR(Summary!G52/G20,0)</f>
        <v>11139.064349172428</v>
      </c>
      <c r="H44" s="117">
        <f>IFERROR(Summary!H52/H20,0)</f>
        <v>11252.727508261305</v>
      </c>
      <c r="I44" s="117">
        <f>IFERROR(Summary!I52/I20,0)</f>
        <v>11370.250668256414</v>
      </c>
      <c r="J44" s="117">
        <f>IFERROR(Summary!J52/J20,0)</f>
        <v>11491.292205156116</v>
      </c>
      <c r="K44" s="117">
        <f>IFERROR(Summary!K52/K20,0)</f>
        <v>11615.95752390965</v>
      </c>
      <c r="L44" s="117">
        <f>IFERROR(Summary!L52/L20,0)</f>
        <v>11744.355188687559</v>
      </c>
    </row>
    <row r="45" spans="1:27" x14ac:dyDescent="0.25">
      <c r="A45" s="96">
        <f>ROW()</f>
        <v>45</v>
      </c>
      <c r="B45" s="208" t="s">
        <v>249</v>
      </c>
      <c r="C45" s="209">
        <f>AVERAGE(G45:L45)</f>
        <v>414.80116417565722</v>
      </c>
      <c r="D45" s="209"/>
      <c r="E45" s="210"/>
      <c r="F45" s="212">
        <f t="shared" ref="F45" si="18">+F43-F44</f>
        <v>605.67184212010397</v>
      </c>
      <c r="G45" s="212">
        <f t="shared" ref="G45:L45" si="19">+G43-G44</f>
        <v>610.15177704613961</v>
      </c>
      <c r="H45" s="212">
        <f t="shared" si="19"/>
        <v>615.9792383259919</v>
      </c>
      <c r="I45" s="212">
        <f t="shared" si="19"/>
        <v>500.84589073825555</v>
      </c>
      <c r="J45" s="212">
        <f t="shared" si="19"/>
        <v>379.85215008670275</v>
      </c>
      <c r="K45" s="212">
        <f t="shared" si="19"/>
        <v>255.18778725813172</v>
      </c>
      <c r="L45" s="211">
        <f t="shared" si="19"/>
        <v>126.79014159872168</v>
      </c>
    </row>
    <row r="46" spans="1:27" ht="20.25" x14ac:dyDescent="0.3">
      <c r="A46" s="96">
        <f>ROW()</f>
        <v>46</v>
      </c>
      <c r="B46" s="102" t="s">
        <v>250</v>
      </c>
      <c r="C46" s="198">
        <f>MAX(G46:L46)</f>
        <v>47424</v>
      </c>
      <c r="D46" s="195"/>
      <c r="E46" s="196"/>
      <c r="F46" s="117">
        <f>Facilities!F93</f>
        <v>47424</v>
      </c>
      <c r="G46" s="117">
        <f>Facilities!G93</f>
        <v>47424</v>
      </c>
      <c r="H46" s="117">
        <f>Facilities!H93</f>
        <v>47424</v>
      </c>
      <c r="I46" s="117">
        <f>Facilities!I93</f>
        <v>47424</v>
      </c>
      <c r="J46" s="117">
        <f>Facilities!J93</f>
        <v>47424</v>
      </c>
      <c r="K46" s="117">
        <f>Facilities!K93</f>
        <v>47424</v>
      </c>
      <c r="L46" s="117">
        <f>Facilities!L93</f>
        <v>47424</v>
      </c>
      <c r="M46" s="1587" t="s">
        <v>1418</v>
      </c>
      <c r="N46" s="1588"/>
      <c r="O46" s="1588"/>
      <c r="P46" s="1588"/>
      <c r="Q46" s="1588"/>
      <c r="R46" s="1589"/>
      <c r="S46" s="1589"/>
      <c r="T46" s="1589"/>
      <c r="U46" s="1589"/>
      <c r="V46" s="1589"/>
      <c r="W46" s="1589"/>
      <c r="X46" s="1589"/>
      <c r="Y46" s="1589"/>
      <c r="Z46" s="1589"/>
      <c r="AA46" s="1589"/>
    </row>
    <row r="47" spans="1:27" ht="20.25" x14ac:dyDescent="0.3">
      <c r="A47" s="96">
        <f>ROW()</f>
        <v>47</v>
      </c>
      <c r="B47" s="102" t="s">
        <v>251</v>
      </c>
      <c r="C47" s="213">
        <f>MIN(G47:L47)</f>
        <v>20.441203093076783</v>
      </c>
      <c r="D47" s="213"/>
      <c r="E47" s="196"/>
      <c r="F47" s="117">
        <f t="shared" ref="F47" si="20">IFERROR(F46/F20,0)</f>
        <v>20.441203093076783</v>
      </c>
      <c r="G47" s="117">
        <f t="shared" ref="G47:L47" si="21">IFERROR(G46/G20,0)</f>
        <v>20.441203093076783</v>
      </c>
      <c r="H47" s="117">
        <f t="shared" si="21"/>
        <v>20.441203093076783</v>
      </c>
      <c r="I47" s="117">
        <f t="shared" si="21"/>
        <v>20.441203093076783</v>
      </c>
      <c r="J47" s="117">
        <f t="shared" si="21"/>
        <v>20.441203093076783</v>
      </c>
      <c r="K47" s="117">
        <f t="shared" si="21"/>
        <v>20.441203093076783</v>
      </c>
      <c r="L47" s="117">
        <f t="shared" si="21"/>
        <v>20.441203093076783</v>
      </c>
      <c r="M47" s="1587" t="s">
        <v>1419</v>
      </c>
      <c r="N47" s="1588"/>
      <c r="O47" s="1588"/>
      <c r="P47" s="1588"/>
      <c r="Q47" s="1588"/>
      <c r="R47" s="1589"/>
      <c r="S47" s="1589"/>
      <c r="T47" s="1589"/>
      <c r="U47" s="1589"/>
      <c r="V47" s="1589"/>
      <c r="W47" s="1589"/>
      <c r="X47" s="1589"/>
      <c r="Y47" s="1589"/>
      <c r="Z47" s="1589"/>
      <c r="AA47" s="1589"/>
    </row>
    <row r="48" spans="1:27" x14ac:dyDescent="0.25">
      <c r="A48" s="96">
        <f>ROW()</f>
        <v>48</v>
      </c>
      <c r="B48" s="102" t="s">
        <v>252</v>
      </c>
      <c r="C48" s="213">
        <f>MIN(G48:L48)</f>
        <v>19.412039197386839</v>
      </c>
      <c r="D48" s="213"/>
      <c r="E48" s="196"/>
      <c r="F48" s="117">
        <f t="shared" ref="F48" si="22">IFERROR(+F46/F22,0)</f>
        <v>19.412039197386839</v>
      </c>
      <c r="G48" s="117">
        <f t="shared" ref="G48:L48" si="23">IFERROR(+G46/G22,0)</f>
        <v>19.412039197386839</v>
      </c>
      <c r="H48" s="117">
        <f t="shared" si="23"/>
        <v>19.412039197386839</v>
      </c>
      <c r="I48" s="117">
        <f t="shared" si="23"/>
        <v>19.412039197386839</v>
      </c>
      <c r="J48" s="117">
        <f t="shared" si="23"/>
        <v>19.412039197386839</v>
      </c>
      <c r="K48" s="117">
        <f t="shared" si="23"/>
        <v>19.412039197386839</v>
      </c>
      <c r="L48" s="117">
        <f t="shared" si="23"/>
        <v>19.412039197386839</v>
      </c>
      <c r="M48"/>
      <c r="N48"/>
      <c r="O48"/>
      <c r="P48"/>
      <c r="Q48"/>
    </row>
    <row r="49" spans="1:17" x14ac:dyDescent="0.25">
      <c r="A49" s="96">
        <f>ROW()</f>
        <v>49</v>
      </c>
      <c r="B49" s="102" t="s">
        <v>253</v>
      </c>
      <c r="C49" s="204">
        <f>AVERAGE(G49:L49)</f>
        <v>0</v>
      </c>
      <c r="D49" s="213"/>
      <c r="E49" s="196"/>
      <c r="F49" s="117"/>
      <c r="G49" s="117">
        <f>+Summary!G28/Summary!G9</f>
        <v>0</v>
      </c>
      <c r="H49" s="117">
        <f>+Summary!H28/Summary!H9</f>
        <v>0</v>
      </c>
      <c r="I49" s="117">
        <f>+Summary!I28/Summary!I9</f>
        <v>0</v>
      </c>
      <c r="J49" s="117">
        <f>+Summary!J28/Summary!J9</f>
        <v>0</v>
      </c>
      <c r="K49" s="117">
        <f>+Summary!K28/Summary!K9</f>
        <v>0</v>
      </c>
      <c r="L49" s="117">
        <f>+Summary!L28/Summary!L9</f>
        <v>0</v>
      </c>
      <c r="M49"/>
      <c r="N49"/>
      <c r="O49"/>
      <c r="P49"/>
      <c r="Q49"/>
    </row>
    <row r="50" spans="1:17" x14ac:dyDescent="0.25">
      <c r="A50" s="96">
        <f>ROW()</f>
        <v>50</v>
      </c>
      <c r="B50" s="42"/>
      <c r="C50" s="42"/>
      <c r="D50" s="42"/>
      <c r="E50" s="42"/>
      <c r="F50" s="161"/>
      <c r="G50" s="161"/>
      <c r="H50" s="161"/>
      <c r="I50" s="161"/>
      <c r="J50" s="161"/>
      <c r="K50" s="161"/>
      <c r="L50" s="161"/>
    </row>
    <row r="51" spans="1:17" ht="18" x14ac:dyDescent="0.25">
      <c r="A51" s="96">
        <f>ROW()</f>
        <v>51</v>
      </c>
      <c r="B51" s="214" t="s">
        <v>254</v>
      </c>
      <c r="C51" s="215"/>
      <c r="D51" s="215"/>
      <c r="E51" s="215"/>
      <c r="F51" s="216">
        <f>Summary!F$6</f>
        <v>0</v>
      </c>
      <c r="G51" s="216">
        <f>Summary!G$6</f>
        <v>1</v>
      </c>
      <c r="H51" s="216">
        <f>Summary!H$6</f>
        <v>2</v>
      </c>
      <c r="I51" s="216">
        <f>Summary!I$6</f>
        <v>3</v>
      </c>
      <c r="J51" s="216">
        <f>Summary!J$6</f>
        <v>4</v>
      </c>
      <c r="K51" s="216">
        <f>Summary!K$6</f>
        <v>5</v>
      </c>
      <c r="L51" s="216">
        <f>Summary!L$6</f>
        <v>6</v>
      </c>
    </row>
    <row r="52" spans="1:17" x14ac:dyDescent="0.25">
      <c r="A52" s="96">
        <f>ROW()</f>
        <v>52</v>
      </c>
      <c r="B52" s="217" t="s">
        <v>255</v>
      </c>
      <c r="C52" s="218"/>
      <c r="D52" s="218"/>
      <c r="E52" s="218"/>
      <c r="F52" s="219"/>
      <c r="G52" s="219"/>
      <c r="H52" s="219"/>
      <c r="I52" s="219"/>
      <c r="J52" s="219"/>
      <c r="K52" s="219"/>
      <c r="L52" s="219"/>
    </row>
    <row r="53" spans="1:17" x14ac:dyDescent="0.25">
      <c r="A53" s="96">
        <f>ROW()</f>
        <v>53</v>
      </c>
      <c r="B53" s="42" t="str">
        <f>+Summary!B15</f>
        <v>PCFP Base and ELL</v>
      </c>
      <c r="C53" s="111">
        <f>IFERROR(Summary!C15/Summary!C$35,)</f>
        <v>0.81188187860003125</v>
      </c>
      <c r="D53" s="111"/>
      <c r="E53" s="111"/>
      <c r="F53" s="220">
        <f>IF(Summary!F15&gt;0,Summary!F15/Summary!F$35,0)</f>
        <v>0.82482760167884339</v>
      </c>
      <c r="G53" s="220">
        <f>IF(Summary!G15&gt;0,Summary!G15/Summary!G$35,0)</f>
        <v>0.81673439335705578</v>
      </c>
      <c r="H53" s="220">
        <f>IF(Summary!H15&gt;0,Summary!H15/Summary!H$35,0)</f>
        <v>0.80851598613161668</v>
      </c>
      <c r="I53" s="220">
        <f>IF(Summary!I15&gt;0,Summary!I15/Summary!I$35,0)</f>
        <v>0.80835322092070172</v>
      </c>
      <c r="J53" s="220">
        <f>IF(Summary!J15&gt;0,Summary!J15/Summary!J$35,0)</f>
        <v>0.80834996628492428</v>
      </c>
      <c r="K53" s="220">
        <f>IF(Summary!K15&gt;0,Summary!K15/Summary!K$35,0)</f>
        <v>0.80834990119247596</v>
      </c>
      <c r="L53" s="220">
        <f>IF(Summary!L15&gt;0,Summary!L15/Summary!L$35,0)</f>
        <v>0.80834989989062711</v>
      </c>
    </row>
    <row r="54" spans="1:17" x14ac:dyDescent="0.25">
      <c r="A54" s="96">
        <f>ROW()</f>
        <v>54</v>
      </c>
      <c r="B54" s="42" t="str">
        <f>+Summary!B16</f>
        <v>CS Sponsorship Fee 1.15% of base</v>
      </c>
      <c r="C54" s="116">
        <f>IFERROR(Summary!C16/Summary!C$35,0)</f>
        <v>-9.1595369970912041E-3</v>
      </c>
      <c r="D54" s="111"/>
      <c r="E54" s="111"/>
      <c r="F54" s="220">
        <f>IF(Summary!F16&gt;0,Summary!F16/Summary!F$35,0)</f>
        <v>0</v>
      </c>
      <c r="G54" s="220">
        <f>IF(Summary!G16&gt;0,Summary!G16/Summary!G$35,0)</f>
        <v>0</v>
      </c>
      <c r="H54" s="220">
        <f>IF(Summary!H16&gt;0,Summary!H16/Summary!H$35,0)</f>
        <v>0</v>
      </c>
      <c r="I54" s="220">
        <f>IF(Summary!I16&gt;0,Summary!I16/Summary!I$35,0)</f>
        <v>0</v>
      </c>
      <c r="J54" s="220">
        <f>IF(Summary!J16&gt;0,Summary!J16/Summary!J$35,0)</f>
        <v>0</v>
      </c>
      <c r="K54" s="220">
        <f>IF(Summary!K16&gt;0,Summary!K16/Summary!K$35,0)</f>
        <v>0</v>
      </c>
      <c r="L54" s="220">
        <f>IF(Summary!L16&gt;0,Summary!L16/Summary!L$35,0)</f>
        <v>0</v>
      </c>
    </row>
    <row r="55" spans="1:17" hidden="1" x14ac:dyDescent="0.25">
      <c r="A55" s="96">
        <f>ROW()</f>
        <v>55</v>
      </c>
      <c r="B55" s="42">
        <f>+Summary!B17</f>
        <v>0</v>
      </c>
      <c r="C55" s="111">
        <f>IFERROR(Summary!C17/Summary!C$35,)</f>
        <v>0</v>
      </c>
      <c r="D55" s="111"/>
      <c r="E55" s="111"/>
      <c r="F55" s="220">
        <f>IF(Summary!F17&gt;0,Summary!F17/Summary!F$35,0)</f>
        <v>0</v>
      </c>
      <c r="G55" s="220">
        <f>IF(Summary!G17&gt;0,Summary!G17/Summary!G$35,0)</f>
        <v>0</v>
      </c>
      <c r="H55" s="220">
        <f>IF(Summary!H17&gt;0,Summary!H17/Summary!H$35,0)</f>
        <v>0</v>
      </c>
      <c r="I55" s="220">
        <f>IF(Summary!I17&gt;0,Summary!I17/Summary!I$35,0)</f>
        <v>0</v>
      </c>
      <c r="J55" s="220">
        <f>IF(Summary!J17&gt;0,Summary!J17/Summary!J$35,0)</f>
        <v>0</v>
      </c>
      <c r="K55" s="220">
        <f>IF(Summary!K17&gt;0,Summary!K17/Summary!K$35,0)</f>
        <v>0</v>
      </c>
      <c r="L55" s="220">
        <f>IF(Summary!L17&gt;0,Summary!L17/Summary!L$35,0)</f>
        <v>0</v>
      </c>
    </row>
    <row r="56" spans="1:17" hidden="1" x14ac:dyDescent="0.25">
      <c r="A56" s="96">
        <f>ROW()</f>
        <v>56</v>
      </c>
      <c r="B56" s="42">
        <f>+Summary!B18</f>
        <v>0</v>
      </c>
      <c r="C56" s="111">
        <f>IFERROR(Summary!C18/Summary!C$35,)</f>
        <v>0</v>
      </c>
      <c r="D56" s="111"/>
      <c r="E56" s="111"/>
      <c r="F56" s="220">
        <f>IF(Summary!F18&gt;0,Summary!F18/Summary!F$35,0)</f>
        <v>0</v>
      </c>
      <c r="G56" s="220">
        <f>IF(Summary!G18&gt;0,Summary!G18/Summary!G$35,0)</f>
        <v>0</v>
      </c>
      <c r="H56" s="220">
        <f>IF(Summary!H18&gt;0,Summary!H18/Summary!H$35,0)</f>
        <v>0</v>
      </c>
      <c r="I56" s="220">
        <f>IF(Summary!I18&gt;0,Summary!I18/Summary!I$35,0)</f>
        <v>0</v>
      </c>
      <c r="J56" s="220">
        <f>IF(Summary!J18&gt;0,Summary!J18/Summary!J$35,0)</f>
        <v>0</v>
      </c>
      <c r="K56" s="220">
        <f>IF(Summary!K18&gt;0,Summary!K18/Summary!K$35,0)</f>
        <v>0</v>
      </c>
      <c r="L56" s="220">
        <f>IF(Summary!L18&gt;0,Summary!L18/Summary!L$35,0)</f>
        <v>0</v>
      </c>
    </row>
    <row r="57" spans="1:17" hidden="1" x14ac:dyDescent="0.25">
      <c r="A57" s="96">
        <f>ROW()</f>
        <v>57</v>
      </c>
      <c r="B57" s="42">
        <f>+Summary!B19</f>
        <v>0</v>
      </c>
      <c r="C57" s="111">
        <f>IFERROR(Summary!C19/Summary!C$35,)</f>
        <v>0</v>
      </c>
      <c r="D57" s="111"/>
      <c r="E57" s="111"/>
      <c r="F57" s="220">
        <f>IF(Summary!F19&gt;0,Summary!F19/Summary!F$35,0)</f>
        <v>0</v>
      </c>
      <c r="G57" s="220">
        <f>IF(Summary!G19&gt;0,Summary!G19/Summary!G$35,0)</f>
        <v>0</v>
      </c>
      <c r="H57" s="220">
        <f>IF(Summary!H19&gt;0,Summary!H19/Summary!H$35,0)</f>
        <v>0</v>
      </c>
      <c r="I57" s="220">
        <f>IF(Summary!I19&gt;0,Summary!I19/Summary!I$35,0)</f>
        <v>0</v>
      </c>
      <c r="J57" s="220">
        <f>IF(Summary!J19&gt;0,Summary!J19/Summary!J$35,0)</f>
        <v>0</v>
      </c>
      <c r="K57" s="220">
        <f>IF(Summary!K19&gt;0,Summary!K19/Summary!K$35,0)</f>
        <v>0</v>
      </c>
      <c r="L57" s="220">
        <f>IF(Summary!L19&gt;0,Summary!L19/Summary!L$35,0)</f>
        <v>0</v>
      </c>
    </row>
    <row r="58" spans="1:17" hidden="1" x14ac:dyDescent="0.25">
      <c r="A58" s="96">
        <f>ROW()</f>
        <v>58</v>
      </c>
      <c r="B58" s="42">
        <f>+Summary!B20</f>
        <v>0</v>
      </c>
      <c r="C58" s="111">
        <f>IFERROR(Summary!C20/Summary!C$35,)</f>
        <v>0</v>
      </c>
      <c r="D58" s="111"/>
      <c r="E58" s="111"/>
      <c r="F58" s="220">
        <f>IF(Summary!F20&gt;0,Summary!F20/Summary!F$35,0)</f>
        <v>0</v>
      </c>
      <c r="G58" s="220">
        <f>IF(Summary!G20&gt;0,Summary!G20/Summary!G$35,0)</f>
        <v>0</v>
      </c>
      <c r="H58" s="220">
        <f>IF(Summary!H20&gt;0,Summary!H20/Summary!H$35,0)</f>
        <v>0</v>
      </c>
      <c r="I58" s="220">
        <f>IF(Summary!I20&gt;0,Summary!I20/Summary!I$35,0)</f>
        <v>0</v>
      </c>
      <c r="J58" s="220">
        <f>IF(Summary!J20&gt;0,Summary!J20/Summary!J$35,0)</f>
        <v>0</v>
      </c>
      <c r="K58" s="220">
        <f>IF(Summary!K20&gt;0,Summary!K20/Summary!K$35,0)</f>
        <v>0</v>
      </c>
      <c r="L58" s="220">
        <f>IF(Summary!L20&gt;0,Summary!L20/Summary!L$35,0)</f>
        <v>0</v>
      </c>
    </row>
    <row r="59" spans="1:17" hidden="1" x14ac:dyDescent="0.25">
      <c r="A59" s="96">
        <f>ROW()</f>
        <v>59</v>
      </c>
      <c r="B59" s="42">
        <f>+Summary!B21</f>
        <v>0</v>
      </c>
      <c r="C59" s="111">
        <f>IFERROR(Summary!C21/Summary!C$35,)</f>
        <v>0</v>
      </c>
      <c r="D59" s="111"/>
      <c r="E59" s="111"/>
      <c r="F59" s="220">
        <f>IF(Summary!F21&gt;0,Summary!F21/Summary!F$35,0)</f>
        <v>0</v>
      </c>
      <c r="G59" s="220">
        <f>IF(Summary!G21&gt;0,Summary!G21/Summary!G$35,0)</f>
        <v>0</v>
      </c>
      <c r="H59" s="220">
        <f>IF(Summary!H21&gt;0,Summary!H21/Summary!H$35,0)</f>
        <v>0</v>
      </c>
      <c r="I59" s="220">
        <f>IF(Summary!I21&gt;0,Summary!I21/Summary!I$35,0)</f>
        <v>0</v>
      </c>
      <c r="J59" s="220">
        <f>IF(Summary!J21&gt;0,Summary!J21/Summary!J$35,0)</f>
        <v>0</v>
      </c>
      <c r="K59" s="220">
        <f>IF(Summary!K21&gt;0,Summary!K21/Summary!K$35,0)</f>
        <v>0</v>
      </c>
      <c r="L59" s="220">
        <f>IF(Summary!L21&gt;0,Summary!L21/Summary!L$35,0)</f>
        <v>0</v>
      </c>
    </row>
    <row r="60" spans="1:17" hidden="1" x14ac:dyDescent="0.25">
      <c r="A60" s="96">
        <f>ROW()</f>
        <v>60</v>
      </c>
      <c r="B60" s="42">
        <f>+Summary!B22</f>
        <v>0</v>
      </c>
      <c r="C60" s="111">
        <f>IFERROR(Summary!C22/Summary!C$35,)</f>
        <v>0</v>
      </c>
      <c r="D60" s="111"/>
      <c r="E60" s="111"/>
      <c r="F60" s="220">
        <f>IF(Summary!F22&gt;0,Summary!F22/Summary!F$35,0)</f>
        <v>0</v>
      </c>
      <c r="G60" s="220">
        <f>IF(Summary!G22&gt;0,Summary!G22/Summary!G$35,0)</f>
        <v>0</v>
      </c>
      <c r="H60" s="220">
        <f>IF(Summary!H22&gt;0,Summary!H22/Summary!H$35,0)</f>
        <v>0</v>
      </c>
      <c r="I60" s="220">
        <f>IF(Summary!I22&gt;0,Summary!I22/Summary!I$35,0)</f>
        <v>0</v>
      </c>
      <c r="J60" s="220">
        <f>IF(Summary!J22&gt;0,Summary!J22/Summary!J$35,0)</f>
        <v>0</v>
      </c>
      <c r="K60" s="220">
        <f>IF(Summary!K22&gt;0,Summary!K22/Summary!K$35,0)</f>
        <v>0</v>
      </c>
      <c r="L60" s="220">
        <f>IF(Summary!L22&gt;0,Summary!L22/Summary!L$35,0)</f>
        <v>0</v>
      </c>
    </row>
    <row r="61" spans="1:17" x14ac:dyDescent="0.25">
      <c r="A61" s="96">
        <f>ROW()</f>
        <v>61</v>
      </c>
      <c r="B61" s="42" t="str">
        <f>+Summary!B23</f>
        <v>IDEA</v>
      </c>
      <c r="C61" s="111">
        <f>IFERROR(Summary!C23/Summary!C$35,)</f>
        <v>1.4569925520104924E-2</v>
      </c>
      <c r="D61" s="111"/>
      <c r="E61" s="111"/>
      <c r="F61" s="220">
        <f>IF(Summary!F23&gt;0,Summary!F23/Summary!F$35,0)</f>
        <v>1.4802303114328588E-2</v>
      </c>
      <c r="G61" s="220">
        <f>IF(Summary!G23&gt;0,Summary!G23/Summary!G$35,0)</f>
        <v>1.4657062918071005E-2</v>
      </c>
      <c r="H61" s="220">
        <f>IF(Summary!H23&gt;0,Summary!H23/Summary!H$35,0)</f>
        <v>1.4509499954535201E-2</v>
      </c>
      <c r="I61" s="220">
        <f>IF(Summary!I23&gt;0,Summary!I23/Summary!I$35,0)</f>
        <v>1.4506578995814682E-2</v>
      </c>
      <c r="J61" s="220">
        <f>IF(Summary!J23&gt;0,Summary!J23/Summary!J$35,0)</f>
        <v>1.4506520588636003E-2</v>
      </c>
      <c r="K61" s="220">
        <f>IF(Summary!K23&gt;0,Summary!K23/Summary!K$35,0)</f>
        <v>1.4506519420497226E-2</v>
      </c>
      <c r="L61" s="220">
        <f>IF(Summary!L23&gt;0,Summary!L23/Summary!L$35,0)</f>
        <v>1.4506519397134454E-2</v>
      </c>
    </row>
    <row r="62" spans="1:17" x14ac:dyDescent="0.25">
      <c r="A62" s="96">
        <f>ROW()</f>
        <v>62</v>
      </c>
      <c r="B62" s="42" t="str">
        <f>+Summary!B24</f>
        <v>State Special Education Funding</v>
      </c>
      <c r="C62" s="111">
        <f>IFERROR(Summary!C24/Summary!C$35,)</f>
        <v>4.4573813056915462E-2</v>
      </c>
      <c r="D62" s="111"/>
      <c r="E62" s="111"/>
      <c r="F62" s="220">
        <f>IF(Summary!F24&gt;0,Summary!F24/Summary!F$35,0)</f>
        <v>4.5300728247658795E-2</v>
      </c>
      <c r="G62" s="220">
        <f>IF(Summary!G24&gt;0,Summary!G24/Summary!G$35,0)</f>
        <v>4.4856237507908132E-2</v>
      </c>
      <c r="H62" s="220">
        <f>IF(Summary!H24&gt;0,Summary!H24/Summary!H$35,0)</f>
        <v>4.438267885854244E-2</v>
      </c>
      <c r="I62" s="220">
        <f>IF(Summary!I24&gt;0,Summary!I24/Summary!I$35,0)</f>
        <v>4.4373744024588262E-2</v>
      </c>
      <c r="J62" s="220">
        <f>IF(Summary!J24&gt;0,Summary!J24/Summary!J$35,0)</f>
        <v>4.4373565364602574E-2</v>
      </c>
      <c r="K62" s="220">
        <f>IF(Summary!K24&gt;0,Summary!K24/Summary!K$35,0)</f>
        <v>4.4373561791417535E-2</v>
      </c>
      <c r="L62" s="220">
        <f>IF(Summary!L24&gt;0,Summary!L24/Summary!L$35,0)</f>
        <v>4.4373561719953838E-2</v>
      </c>
    </row>
    <row r="63" spans="1:17" hidden="1" x14ac:dyDescent="0.25">
      <c r="A63" s="96">
        <f>ROW()</f>
        <v>63</v>
      </c>
      <c r="B63" s="42" t="str">
        <f>+Summary!B25</f>
        <v>"Replication &amp; Expansion" start-up funds</v>
      </c>
      <c r="C63" s="111">
        <f>IFERROR(Summary!C25/Summary!C$35,)</f>
        <v>0</v>
      </c>
      <c r="D63" s="111"/>
      <c r="E63" s="111"/>
      <c r="F63" s="220">
        <f>IF(Summary!F25&gt;0,Summary!F25/Summary!F$35,0)</f>
        <v>0</v>
      </c>
      <c r="G63" s="220">
        <f>IF(Summary!G25&gt;0,Summary!G25/Summary!G$35,0)</f>
        <v>0</v>
      </c>
      <c r="H63" s="220">
        <f>IF(Summary!H25&gt;0,Summary!H25/Summary!H$35,0)</f>
        <v>0</v>
      </c>
      <c r="I63" s="220">
        <f>IF(Summary!I25&gt;0,Summary!I25/Summary!I$35,0)</f>
        <v>0</v>
      </c>
      <c r="J63" s="220">
        <f>IF(Summary!J25&gt;0,Summary!J25/Summary!J$35,0)</f>
        <v>0</v>
      </c>
      <c r="K63" s="220">
        <f>IF(Summary!K25&gt;0,Summary!K25/Summary!K$35,0)</f>
        <v>0</v>
      </c>
      <c r="L63" s="220">
        <f>IF(Summary!L25&gt;0,Summary!L25/Summary!L$35,0)</f>
        <v>0</v>
      </c>
    </row>
    <row r="64" spans="1:17" hidden="1" x14ac:dyDescent="0.25">
      <c r="A64" s="96">
        <f>ROW()</f>
        <v>64</v>
      </c>
      <c r="B64" s="42" t="str">
        <f>+Summary!B26</f>
        <v>Charter School Program (CSP) Grant (w/letter)</v>
      </c>
      <c r="C64" s="111">
        <f>IFERROR(Summary!C26/Summary!C$35,)</f>
        <v>0</v>
      </c>
      <c r="D64" s="111"/>
      <c r="E64" s="111"/>
      <c r="F64" s="220">
        <f>IF(Summary!F26&gt;0,Summary!F26/Summary!F$35,0)</f>
        <v>0</v>
      </c>
      <c r="G64" s="220">
        <f>IF(Summary!G26&gt;0,Summary!G26/Summary!G$35,0)</f>
        <v>0</v>
      </c>
      <c r="H64" s="220">
        <f>IF(Summary!H26&gt;0,Summary!H26/Summary!H$35,0)</f>
        <v>0</v>
      </c>
      <c r="I64" s="220">
        <f>IF(Summary!I26&gt;0,Summary!I26/Summary!I$35,0)</f>
        <v>0</v>
      </c>
      <c r="J64" s="220">
        <f>IF(Summary!J26&gt;0,Summary!J26/Summary!J$35,0)</f>
        <v>0</v>
      </c>
      <c r="K64" s="220">
        <f>IF(Summary!K26&gt;0,Summary!K26/Summary!K$35,0)</f>
        <v>0</v>
      </c>
      <c r="L64" s="220">
        <f>IF(Summary!L26&gt;0,Summary!L26/Summary!L$35,0)</f>
        <v>0</v>
      </c>
    </row>
    <row r="65" spans="1:12" hidden="1" x14ac:dyDescent="0.25">
      <c r="A65" s="96">
        <f>ROW()</f>
        <v>65</v>
      </c>
      <c r="B65" s="42" t="str">
        <f>+Summary!B27</f>
        <v>Other start-up funds (incl' SEA grants)</v>
      </c>
      <c r="C65" s="111">
        <f>IFERROR(Summary!C27/Summary!C$35,)</f>
        <v>0</v>
      </c>
      <c r="D65" s="111"/>
      <c r="E65" s="111"/>
      <c r="F65" s="220">
        <f>IF(Summary!F27&gt;0,Summary!F27/Summary!F$35,0)</f>
        <v>0</v>
      </c>
      <c r="G65" s="220">
        <f>IF(Summary!G27&gt;0,Summary!G27/Summary!G$35,0)</f>
        <v>0</v>
      </c>
      <c r="H65" s="220">
        <f>IF(Summary!H27&gt;0,Summary!H27/Summary!H$35,0)</f>
        <v>0</v>
      </c>
      <c r="I65" s="220">
        <f>IF(Summary!I27&gt;0,Summary!I27/Summary!I$35,0)</f>
        <v>0</v>
      </c>
      <c r="J65" s="220">
        <f>IF(Summary!J27&gt;0,Summary!J27/Summary!J$35,0)</f>
        <v>0</v>
      </c>
      <c r="K65" s="220">
        <f>IF(Summary!K27&gt;0,Summary!K27/Summary!K$35,0)</f>
        <v>0</v>
      </c>
      <c r="L65" s="220">
        <f>IF(Summary!L27&gt;0,Summary!L27/Summary!L$35,0)</f>
        <v>0</v>
      </c>
    </row>
    <row r="66" spans="1:12" hidden="1" x14ac:dyDescent="0.25">
      <c r="A66" s="96">
        <f>ROW()</f>
        <v>66</v>
      </c>
      <c r="B66" s="42" t="str">
        <f>+Summary!B28</f>
        <v>Student fees (Net)</v>
      </c>
      <c r="C66" s="111">
        <f>IFERROR(Summary!C28/Summary!C$35,)</f>
        <v>0</v>
      </c>
      <c r="D66" s="111"/>
      <c r="E66" s="111"/>
      <c r="F66" s="220">
        <f>IF(Summary!F28&gt;0,Summary!F28/Summary!F$35,0)</f>
        <v>0</v>
      </c>
      <c r="G66" s="220">
        <f>IF(Summary!G28&gt;0,Summary!G28/Summary!G$35,0)</f>
        <v>0</v>
      </c>
      <c r="H66" s="220">
        <f>IF(Summary!H28&gt;0,Summary!H28/Summary!H$35,0)</f>
        <v>0</v>
      </c>
      <c r="I66" s="220">
        <f>IF(Summary!I28&gt;0,Summary!I28/Summary!I$35,0)</f>
        <v>0</v>
      </c>
      <c r="J66" s="220">
        <f>IF(Summary!J28&gt;0,Summary!J28/Summary!J$35,0)</f>
        <v>0</v>
      </c>
      <c r="K66" s="220">
        <f>IF(Summary!K28&gt;0,Summary!K28/Summary!K$35,0)</f>
        <v>0</v>
      </c>
      <c r="L66" s="220">
        <f>IF(Summary!L28&gt;0,Summary!L28/Summary!L$35,0)</f>
        <v>0</v>
      </c>
    </row>
    <row r="67" spans="1:12" x14ac:dyDescent="0.25">
      <c r="A67" s="96">
        <f>ROW()</f>
        <v>67</v>
      </c>
      <c r="B67" s="42" t="str">
        <f>+Summary!B29</f>
        <v>PCFP-Local SPED from DOE</v>
      </c>
      <c r="C67" s="111">
        <f>IFERROR(Summary!C29/Summary!C$35,)</f>
        <v>8.0448002687466075E-2</v>
      </c>
      <c r="D67" s="111"/>
      <c r="E67" s="111"/>
      <c r="F67" s="220">
        <f>IF(Summary!F29&gt;0,Summary!F29/Summary!F$35,0)</f>
        <v>8.1731078108738212E-2</v>
      </c>
      <c r="G67" s="220">
        <f>IF(Summary!G29&gt;0,Summary!G29/Summary!G$35,0)</f>
        <v>8.0929132780827293E-2</v>
      </c>
      <c r="H67" s="220">
        <f>IF(Summary!H29&gt;0,Summary!H29/Summary!H$35,0)</f>
        <v>8.0114362268053033E-2</v>
      </c>
      <c r="I67" s="220">
        <f>IF(Summary!I29&gt;0,Summary!I29/Summary!I$35,0)</f>
        <v>8.0098234162615967E-2</v>
      </c>
      <c r="J67" s="220">
        <f>IF(Summary!J29&gt;0,Summary!J29/Summary!J$35,0)</f>
        <v>8.0097911666741795E-2</v>
      </c>
      <c r="K67" s="220">
        <f>IF(Summary!K29&gt;0,Summary!K29/Summary!K$35,0)</f>
        <v>8.0097905216850798E-2</v>
      </c>
      <c r="L67" s="220">
        <f>IF(Summary!L29&gt;0,Summary!L29/Summary!L$35,0)</f>
        <v>8.0097905087852986E-2</v>
      </c>
    </row>
    <row r="68" spans="1:12" x14ac:dyDescent="0.25">
      <c r="A68" s="96">
        <f>ROW()</f>
        <v>68</v>
      </c>
      <c r="B68" s="42" t="str">
        <f>+Summary!B30</f>
        <v>PCFP-At-Risk</v>
      </c>
      <c r="C68" s="111">
        <f>IFERROR(Summary!C30/Summary!C$35,)</f>
        <v>3.303984153891399E-2</v>
      </c>
      <c r="D68" s="111"/>
      <c r="E68" s="111"/>
      <c r="F68" s="220">
        <f>IF(Summary!F30&gt;0,Summary!F30/Summary!F$35,0)</f>
        <v>3.3566798171585144E-2</v>
      </c>
      <c r="G68" s="220">
        <f>IF(Summary!G30&gt;0,Summary!G30/Summary!G$35,0)</f>
        <v>3.3237440752234601E-2</v>
      </c>
      <c r="H68" s="220">
        <f>IF(Summary!H30&gt;0,Summary!H30/Summary!H$35,0)</f>
        <v>3.2902816053878535E-2</v>
      </c>
      <c r="I68" s="220">
        <f>IF(Summary!I30&gt;0,Summary!I30/Summary!I$35,0)</f>
        <v>3.2896192271681807E-2</v>
      </c>
      <c r="J68" s="220">
        <f>IF(Summary!J30&gt;0,Summary!J30/Summary!J$35,0)</f>
        <v>3.2896059823240287E-2</v>
      </c>
      <c r="K68" s="220">
        <f>IF(Summary!K30&gt;0,Summary!K30/Summary!K$35,0)</f>
        <v>3.2896057174282331E-2</v>
      </c>
      <c r="L68" s="220">
        <f>IF(Summary!L30&gt;0,Summary!L30/Summary!L$35,0)</f>
        <v>3.2896057121303175E-2</v>
      </c>
    </row>
    <row r="69" spans="1:12" x14ac:dyDescent="0.25">
      <c r="A69" s="96">
        <f>ROW()</f>
        <v>69</v>
      </c>
      <c r="B69" s="42" t="str">
        <f>+Summary!B31</f>
        <v>Investment Income &amp; Other</v>
      </c>
      <c r="C69" s="111">
        <f>IFERROR(Summary!C31/Summary!C$35,)</f>
        <v>8.9346149856886613E-3</v>
      </c>
      <c r="D69" s="111"/>
      <c r="E69" s="111"/>
      <c r="F69" s="220">
        <f>IF(Summary!F31&gt;0,Summary!F31/Summary!F$35,0)</f>
        <v>9.0771142958480794E-3</v>
      </c>
      <c r="G69" s="220">
        <f>IF(Summary!G31&gt;0,Summary!G31/Summary!G$35,0)</f>
        <v>8.988049651542469E-3</v>
      </c>
      <c r="H69" s="220">
        <f>IF(Summary!H31&gt;0,Summary!H31/Summary!H$35,0)</f>
        <v>8.8975606326713464E-3</v>
      </c>
      <c r="I69" s="220">
        <f>IF(Summary!I31&gt;0,Summary!I31/Summary!I$35,0)</f>
        <v>8.895769433291437E-3</v>
      </c>
      <c r="J69" s="220">
        <f>IF(Summary!J31&gt;0,Summary!J31/Summary!J$35,0)</f>
        <v>8.8957336166598996E-3</v>
      </c>
      <c r="K69" s="220">
        <f>IF(Summary!K31&gt;0,Summary!K31/Summary!K$35,0)</f>
        <v>8.8957329003302114E-3</v>
      </c>
      <c r="L69" s="220">
        <f>IF(Summary!L31&gt;0,Summary!L31/Summary!L$35,0)</f>
        <v>8.8957328860036194E-3</v>
      </c>
    </row>
    <row r="70" spans="1:12" x14ac:dyDescent="0.25">
      <c r="A70" s="96">
        <f>ROW()</f>
        <v>70</v>
      </c>
      <c r="B70" s="42" t="str">
        <f>+Summary!B32</f>
        <v>1% YR1 2% YRs2-6 revenue growth factor</v>
      </c>
      <c r="C70" s="111">
        <f>IFERROR(Summary!C32/Summary!C$35,)</f>
        <v>1.5711460607970983E-2</v>
      </c>
      <c r="D70" s="111"/>
      <c r="E70" s="111"/>
      <c r="F70" s="220">
        <f>IF(Summary!F32&gt;0,Summary!F32/Summary!F$35,0)</f>
        <v>0</v>
      </c>
      <c r="G70" s="220">
        <f>IF(Summary!G32&gt;0,Summary!G32/Summary!G$35,0)</f>
        <v>9.8119998716274717E-3</v>
      </c>
      <c r="H70" s="220">
        <f>IF(Summary!H32&gt;0,Summary!H32/Summary!H$35,0)</f>
        <v>1.9798645930142154E-2</v>
      </c>
      <c r="I70" s="220">
        <f>IF(Summary!I32&gt;0,Summary!I32/Summary!I$35,0)</f>
        <v>1.9995973729308836E-2</v>
      </c>
      <c r="J70" s="220">
        <f>IF(Summary!J32&gt;0,Summary!J32/Summary!J$35,0)</f>
        <v>1.9999919474910394E-2</v>
      </c>
      <c r="K70" s="220">
        <f>IF(Summary!K32&gt;0,Summary!K32/Summary!K$35,0)</f>
        <v>1.9999998389498338E-2</v>
      </c>
      <c r="L70" s="220">
        <f>IF(Summary!L32&gt;0,Summary!L32/Summary!L$35,0)</f>
        <v>1.9999999967789967E-2</v>
      </c>
    </row>
    <row r="71" spans="1:12" hidden="1" x14ac:dyDescent="0.25">
      <c r="A71" s="96">
        <f>ROW()</f>
        <v>71</v>
      </c>
      <c r="B71" s="42">
        <f>+Summary!B33</f>
        <v>0</v>
      </c>
      <c r="C71" s="111">
        <f>IFERROR(Summary!C33/Summary!C$35,)</f>
        <v>0</v>
      </c>
      <c r="D71" s="111"/>
      <c r="E71" s="111"/>
      <c r="F71" s="220">
        <f>IF(Summary!F33&gt;0,Summary!F33/Summary!F$35,0)</f>
        <v>0</v>
      </c>
      <c r="G71" s="220">
        <f>IF(Summary!G33&gt;0,Summary!G33/Summary!G$35,0)</f>
        <v>0</v>
      </c>
      <c r="H71" s="220">
        <f>IF(Summary!H33&gt;0,Summary!H33/Summary!H$35,0)</f>
        <v>0</v>
      </c>
      <c r="I71" s="220">
        <f>IF(Summary!I33&gt;0,Summary!I33/Summary!I$35,0)</f>
        <v>0</v>
      </c>
      <c r="J71" s="220">
        <f>IF(Summary!J33&gt;0,Summary!J33/Summary!J$35,0)</f>
        <v>0</v>
      </c>
      <c r="K71" s="220">
        <f>IF(Summary!K33&gt;0,Summary!K33/Summary!K$35,0)</f>
        <v>0</v>
      </c>
      <c r="L71" s="220">
        <f>IF(Summary!L33&gt;0,Summary!L33/Summary!L$35,0)</f>
        <v>0</v>
      </c>
    </row>
    <row r="72" spans="1:12" hidden="1" x14ac:dyDescent="0.25">
      <c r="A72" s="96">
        <f>ROW()</f>
        <v>72</v>
      </c>
      <c r="B72" s="42">
        <f>+Summary!B34</f>
        <v>0</v>
      </c>
      <c r="C72" s="111">
        <f>IFERROR(Summary!C34/Summary!C$35,)</f>
        <v>0</v>
      </c>
      <c r="D72" s="111"/>
      <c r="E72" s="111"/>
      <c r="F72" s="220">
        <f>IF(Summary!F34&gt;0,Summary!F34/Summary!F$35,0)</f>
        <v>0</v>
      </c>
      <c r="G72" s="220">
        <f>IF(Summary!G34&gt;0,Summary!G34/Summary!G$35,0)</f>
        <v>0</v>
      </c>
      <c r="H72" s="220">
        <f>IF(Summary!H34&gt;0,Summary!H34/Summary!H$35,0)</f>
        <v>0</v>
      </c>
      <c r="I72" s="220">
        <f>IF(Summary!I34&gt;0,Summary!I34/Summary!I$35,0)</f>
        <v>0</v>
      </c>
      <c r="J72" s="220">
        <f>IF(Summary!J34&gt;0,Summary!J34/Summary!J$35,0)</f>
        <v>0</v>
      </c>
      <c r="K72" s="220">
        <f>IF(Summary!K34&gt;0,Summary!K34/Summary!K$35,0)</f>
        <v>0</v>
      </c>
      <c r="L72" s="220">
        <f>IF(Summary!L34&gt;0,Summary!L34/Summary!L$35,0)</f>
        <v>0</v>
      </c>
    </row>
    <row r="73" spans="1:12" x14ac:dyDescent="0.25">
      <c r="A73" s="96">
        <f>ROW()</f>
        <v>73</v>
      </c>
      <c r="B73" s="119" t="s">
        <v>177</v>
      </c>
      <c r="C73" s="121">
        <f>IFERROR(Summary!C35/Summary!C$35,0)</f>
        <v>1</v>
      </c>
      <c r="D73" s="121"/>
      <c r="E73" s="121"/>
      <c r="F73" s="221">
        <f>IF(Summary!F35&gt;0,Summary!F35/Summary!F$35,0)</f>
        <v>1</v>
      </c>
      <c r="G73" s="221">
        <f>IF(Summary!G35&gt;0,Summary!G35/Summary!G$35,0)</f>
        <v>1</v>
      </c>
      <c r="H73" s="221">
        <f>IF(Summary!H35&gt;0,Summary!H35/Summary!H$35,0)</f>
        <v>1</v>
      </c>
      <c r="I73" s="221">
        <f>IF(Summary!I35&gt;0,Summary!I35/Summary!I$35,0)</f>
        <v>1</v>
      </c>
      <c r="J73" s="221">
        <f>IF(Summary!J35&gt;0,Summary!J35/Summary!J$35,0)</f>
        <v>1</v>
      </c>
      <c r="K73" s="221">
        <f>IF(Summary!K35&gt;0,Summary!K35/Summary!K$35,0)</f>
        <v>1</v>
      </c>
      <c r="L73" s="221">
        <f>IF(Summary!L35&gt;0,Summary!L35/Summary!L$35,0)</f>
        <v>1</v>
      </c>
    </row>
    <row r="74" spans="1:12" x14ac:dyDescent="0.25">
      <c r="A74" s="96">
        <f>ROW()</f>
        <v>74</v>
      </c>
      <c r="B74" s="42"/>
      <c r="C74" s="125"/>
      <c r="D74" s="125"/>
      <c r="E74" s="125"/>
      <c r="F74" s="127"/>
      <c r="G74" s="127"/>
      <c r="H74" s="127"/>
      <c r="I74" s="127"/>
      <c r="J74" s="127"/>
      <c r="K74" s="127"/>
      <c r="L74" s="127"/>
    </row>
    <row r="75" spans="1:12" ht="15.75" x14ac:dyDescent="0.25">
      <c r="A75" s="96">
        <f>ROW()</f>
        <v>75</v>
      </c>
      <c r="B75" s="222" t="s">
        <v>183</v>
      </c>
      <c r="C75" s="223"/>
      <c r="D75" s="223"/>
      <c r="E75" s="223"/>
      <c r="F75" s="224">
        <f>Summary!F$6</f>
        <v>0</v>
      </c>
      <c r="G75" s="224">
        <f>Summary!G$6</f>
        <v>1</v>
      </c>
      <c r="H75" s="224">
        <f>Summary!H$6</f>
        <v>2</v>
      </c>
      <c r="I75" s="224">
        <f>Summary!I$6</f>
        <v>3</v>
      </c>
      <c r="J75" s="224">
        <f>Summary!J$6</f>
        <v>4</v>
      </c>
      <c r="K75" s="224">
        <f>Summary!K$6</f>
        <v>5</v>
      </c>
      <c r="L75" s="224">
        <f>Summary!L$6</f>
        <v>6</v>
      </c>
    </row>
    <row r="76" spans="1:12" x14ac:dyDescent="0.25">
      <c r="A76" s="96">
        <f>ROW()</f>
        <v>76</v>
      </c>
      <c r="B76" s="38" t="s">
        <v>184</v>
      </c>
      <c r="C76" s="135">
        <f>IFERROR(Summary!C44/Summary!C$35,0)</f>
        <v>0.60637666392123513</v>
      </c>
      <c r="D76" s="135"/>
      <c r="E76" s="135"/>
      <c r="F76" s="225">
        <f>IFERROR(Summary!F44/Summary!F$35,0)</f>
        <v>0.61604784241565858</v>
      </c>
      <c r="G76" s="225">
        <f>IFERROR(Summary!G44/Summary!G$35,0)</f>
        <v>0.61000318106495977</v>
      </c>
      <c r="H76" s="225">
        <f>IFERROR(Summary!H44/Summary!H$35,0)</f>
        <v>0.60386184990827674</v>
      </c>
      <c r="I76" s="225">
        <f>IFERROR(Summary!I44/Summary!I$35,0)</f>
        <v>0.6037402843448868</v>
      </c>
      <c r="J76" s="225">
        <f>IFERROR(Summary!J44/Summary!J$35,0)</f>
        <v>0.60373785353286191</v>
      </c>
      <c r="K76" s="225">
        <f>IFERROR(Summary!K44/Summary!K$35,0)</f>
        <v>0.60373780491682105</v>
      </c>
      <c r="L76" s="225">
        <f>IFERROR(Summary!L44/Summary!L$35,0)</f>
        <v>0.60373780394450038</v>
      </c>
    </row>
    <row r="77" spans="1:12" x14ac:dyDescent="0.25">
      <c r="A77" s="96">
        <f>ROW()</f>
        <v>77</v>
      </c>
      <c r="B77" s="38" t="s">
        <v>123</v>
      </c>
      <c r="C77" s="135">
        <f>IFERROR(Summary!C45/Summary!C$35,0)</f>
        <v>4.5604466573910325E-2</v>
      </c>
      <c r="D77" s="135"/>
      <c r="E77" s="135"/>
      <c r="F77" s="225">
        <f>IFERROR(Summary!F45/Summary!F$35,0)</f>
        <v>4.2326176417632443E-2</v>
      </c>
      <c r="G77" s="225">
        <f>IFERROR(Summary!G45/Summary!G$35,0)</f>
        <v>4.3168198139457832E-2</v>
      </c>
      <c r="H77" s="225">
        <f>IFERROR(Summary!H45/Summary!H$35,0)</f>
        <v>4.401560132587537E-2</v>
      </c>
      <c r="I77" s="225">
        <f>IFERROR(Summary!I45/Summary!I$35,0)</f>
        <v>4.5326942601284656E-2</v>
      </c>
      <c r="J77" s="225">
        <f>IFERROR(Summary!J45/Summary!J$35,0)</f>
        <v>4.6686562906583295E-2</v>
      </c>
      <c r="K77" s="225">
        <f>IFERROR(Summary!K45/Summary!K$35,0)</f>
        <v>4.8087155921558253E-2</v>
      </c>
      <c r="L77" s="225">
        <f>IFERROR(Summary!L45/Summary!L$35,0)</f>
        <v>4.9529770519437223E-2</v>
      </c>
    </row>
    <row r="78" spans="1:12" x14ac:dyDescent="0.25">
      <c r="A78" s="96">
        <f>ROW()</f>
        <v>78</v>
      </c>
      <c r="B78" s="38" t="s">
        <v>185</v>
      </c>
      <c r="C78" s="135">
        <f>IFERROR(Summary!C46/Summary!C$35,0)</f>
        <v>0.29425577033312766</v>
      </c>
      <c r="D78" s="135"/>
      <c r="E78" s="135"/>
      <c r="F78" s="225">
        <f>IFERROR(Summary!F46/Summary!F$35,0)</f>
        <v>0.27313034392213353</v>
      </c>
      <c r="G78" s="225">
        <f>IFERROR(Summary!G46/Summary!G$35,0)</f>
        <v>0.27856390069331094</v>
      </c>
      <c r="H78" s="225">
        <f>IFERROR(Summary!H46/Summary!H$35,0)</f>
        <v>0.28399365574205826</v>
      </c>
      <c r="I78" s="225">
        <f>IFERROR(Summary!I46/Summary!I$35,0)</f>
        <v>0.29245457849469159</v>
      </c>
      <c r="J78" s="225">
        <f>IFERROR(Summary!J46/Summary!J$35,0)</f>
        <v>0.30122700302807859</v>
      </c>
      <c r="K78" s="225">
        <f>IFERROR(Summary!K46/Summary!K$35,0)</f>
        <v>0.31026378813490157</v>
      </c>
      <c r="L78" s="225">
        <f>IFERROR(Summary!L46/Summary!L$35,0)</f>
        <v>0.31957170126427792</v>
      </c>
    </row>
    <row r="79" spans="1:12" x14ac:dyDescent="0.25">
      <c r="A79" s="96">
        <f>ROW()</f>
        <v>79</v>
      </c>
      <c r="B79" s="38" t="s">
        <v>256</v>
      </c>
      <c r="C79" s="135">
        <f>IFERROR(Summary!C47/Summary!C$35,0)</f>
        <v>0</v>
      </c>
      <c r="D79" s="135"/>
      <c r="E79" s="135"/>
      <c r="F79" s="225">
        <f>IFERROR(Summary!F47/Summary!F$35,0)</f>
        <v>0</v>
      </c>
      <c r="G79" s="225">
        <f>IFERROR(Summary!G47/Summary!G$35,0)</f>
        <v>0</v>
      </c>
      <c r="H79" s="225">
        <f>IFERROR(Summary!H47/Summary!H$35,0)</f>
        <v>0</v>
      </c>
      <c r="I79" s="225">
        <f>IFERROR(Summary!I47/Summary!I$35,0)</f>
        <v>0</v>
      </c>
      <c r="J79" s="225">
        <f>IFERROR(Summary!J47/Summary!J$35,0)</f>
        <v>0</v>
      </c>
      <c r="K79" s="225">
        <f>IFERROR(Summary!K47/Summary!K$35,0)</f>
        <v>0</v>
      </c>
      <c r="L79" s="225">
        <f>IFERROR(Summary!L47/Summary!L$35,0)</f>
        <v>0</v>
      </c>
    </row>
    <row r="80" spans="1:12" x14ac:dyDescent="0.25">
      <c r="A80" s="96">
        <f>ROW()</f>
        <v>80</v>
      </c>
      <c r="B80" s="42" t="s">
        <v>131</v>
      </c>
      <c r="C80" s="135">
        <f>IFERROR(Summary!C48/Summary!C$35,0)</f>
        <v>8.6428724555437254E-3</v>
      </c>
      <c r="D80" s="111"/>
      <c r="E80" s="111"/>
      <c r="F80" s="220">
        <f>IFERROR(Summary!F48/Summary!F$35,0)</f>
        <v>8.7807187270040592E-3</v>
      </c>
      <c r="G80" s="220">
        <f>IFERROR(Summary!G48/Summary!G$35,0)</f>
        <v>8.6945623159818998E-3</v>
      </c>
      <c r="H80" s="220">
        <f>IFERROR(Summary!H48/Summary!H$35,0)</f>
        <v>8.6070280405841186E-3</v>
      </c>
      <c r="I80" s="220">
        <f>IFERROR(Summary!I48/Summary!I$35,0)</f>
        <v>8.6052953293472272E-3</v>
      </c>
      <c r="J80" s="220">
        <f>IFERROR(Summary!J48/Summary!J$35,0)</f>
        <v>8.6052606822383526E-3</v>
      </c>
      <c r="K80" s="220">
        <f>IFERROR(Summary!K48/Summary!K$35,0)</f>
        <v>8.60525998929902E-3</v>
      </c>
      <c r="L80" s="220">
        <f>IFERROR(Summary!L48/Summary!L$35,0)</f>
        <v>8.605259975440236E-3</v>
      </c>
    </row>
    <row r="81" spans="1:12" x14ac:dyDescent="0.25">
      <c r="A81" s="96">
        <f>ROW()</f>
        <v>81</v>
      </c>
      <c r="B81" s="42" t="s">
        <v>187</v>
      </c>
      <c r="C81" s="135">
        <f>IFERROR(Summary!C49/Summary!C$35,0)</f>
        <v>4.5584770335146234E-3</v>
      </c>
      <c r="D81" s="111"/>
      <c r="E81" s="111"/>
      <c r="F81" s="220">
        <f>IFERROR(Summary!F49/Summary!F$35,0)</f>
        <v>4.6311807631877954E-3</v>
      </c>
      <c r="G81" s="220">
        <f>IFERROR(Summary!G49/Summary!G$35,0)</f>
        <v>4.5857396181339131E-3</v>
      </c>
      <c r="H81" s="220">
        <f>IFERROR(Summary!H49/Summary!H$35,0)</f>
        <v>4.539571751362932E-3</v>
      </c>
      <c r="I81" s="220">
        <f>IFERROR(Summary!I49/Summary!I$35,0)</f>
        <v>4.5386578741282843E-3</v>
      </c>
      <c r="J81" s="220">
        <f>IFERROR(Summary!J49/Summary!J$35,0)</f>
        <v>4.5386396003366837E-3</v>
      </c>
      <c r="K81" s="220">
        <f>IFERROR(Summary!K49/Summary!K$35,0)</f>
        <v>4.5386392348623524E-3</v>
      </c>
      <c r="L81" s="220">
        <f>IFERROR(Summary!L49/Summary!L$35,0)</f>
        <v>4.5386392275528669E-3</v>
      </c>
    </row>
    <row r="82" spans="1:12" x14ac:dyDescent="0.25">
      <c r="A82" s="96">
        <f>ROW()</f>
        <v>82</v>
      </c>
      <c r="B82" s="42" t="s">
        <v>172</v>
      </c>
      <c r="C82" s="135">
        <f>IFERROR(Summary!C50/Summary!C$35,0)</f>
        <v>0</v>
      </c>
      <c r="D82" s="111"/>
      <c r="E82" s="111"/>
      <c r="F82" s="220">
        <f>IFERROR(Summary!F50/Summary!F$35,0)</f>
        <v>0</v>
      </c>
      <c r="G82" s="220">
        <f>IFERROR(Summary!G50/Summary!G$35,0)</f>
        <v>0</v>
      </c>
      <c r="H82" s="220">
        <f>IFERROR(Summary!H50/Summary!H$35,0)</f>
        <v>0</v>
      </c>
      <c r="I82" s="220">
        <f>IFERROR(Summary!I50/Summary!I$35,0)</f>
        <v>0</v>
      </c>
      <c r="J82" s="220">
        <f>IFERROR(Summary!J50/Summary!J$35,0)</f>
        <v>0</v>
      </c>
      <c r="K82" s="220">
        <f>IFERROR(Summary!K50/Summary!K$35,0)</f>
        <v>0</v>
      </c>
      <c r="L82" s="220">
        <f>IFERROR(Summary!L50/Summary!L$35,0)</f>
        <v>0</v>
      </c>
    </row>
    <row r="83" spans="1:12" x14ac:dyDescent="0.25">
      <c r="A83" s="96">
        <f>ROW()</f>
        <v>83</v>
      </c>
      <c r="B83" s="42" t="s">
        <v>129</v>
      </c>
      <c r="C83" s="135">
        <f>IFERROR(Summary!C51/Summary!C$35,0)</f>
        <v>3.1600824100377254E-3</v>
      </c>
      <c r="D83" s="111"/>
      <c r="E83" s="111"/>
      <c r="F83" s="220">
        <f>IFERROR(Summary!F51/Summary!F$35,0)</f>
        <v>3.0229384066401488E-3</v>
      </c>
      <c r="G83" s="220">
        <f>IFERROR(Summary!G51/Summary!G$35,0)</f>
        <v>3.0531428820899029E-3</v>
      </c>
      <c r="H83" s="220">
        <f>IFERROR(Summary!H51/Summary!H$35,0)</f>
        <v>3.0828528397282193E-3</v>
      </c>
      <c r="I83" s="220">
        <f>IFERROR(Summary!I51/Summary!I$35,0)</f>
        <v>3.1438768641210615E-3</v>
      </c>
      <c r="J83" s="220">
        <f>IFERROR(Summary!J51/Summary!J$35,0)</f>
        <v>3.2067414901942063E-3</v>
      </c>
      <c r="K83" s="220">
        <f>IFERROR(Summary!K51/Summary!K$35,0)</f>
        <v>3.270876056610503E-3</v>
      </c>
      <c r="L83" s="220">
        <f>IFERROR(Summary!L51/Summary!L$35,0)</f>
        <v>3.3362935723696072E-3</v>
      </c>
    </row>
    <row r="84" spans="1:12" x14ac:dyDescent="0.25">
      <c r="A84" s="96">
        <f>ROW()</f>
        <v>84</v>
      </c>
      <c r="B84" s="42" t="s">
        <v>257</v>
      </c>
      <c r="C84" s="135">
        <f>IFERROR(Summary!#REF!/Summary!C$35,0)</f>
        <v>0</v>
      </c>
      <c r="D84" s="111"/>
      <c r="E84" s="111"/>
      <c r="F84" s="220">
        <f>IFERROR(Summary!#REF!/Summary!F$35,0)</f>
        <v>0</v>
      </c>
      <c r="G84" s="220">
        <f>IFERROR(Summary!#REF!/Summary!G$35,0)</f>
        <v>0</v>
      </c>
      <c r="H84" s="220">
        <f>IFERROR(Summary!#REF!/Summary!H$35,0)</f>
        <v>0</v>
      </c>
      <c r="I84" s="220">
        <f>IFERROR(Summary!#REF!/Summary!I$35,0)</f>
        <v>0</v>
      </c>
      <c r="J84" s="220">
        <f>IFERROR(Summary!#REF!/Summary!J$35,0)</f>
        <v>0</v>
      </c>
      <c r="K84" s="220">
        <f>IFERROR(Summary!#REF!/Summary!K$35,0)</f>
        <v>0</v>
      </c>
      <c r="L84" s="220">
        <f>IFERROR(Summary!#REF!/Summary!L$35,0)</f>
        <v>0</v>
      </c>
    </row>
    <row r="85" spans="1:12" ht="15.75" thickBot="1" x14ac:dyDescent="0.3">
      <c r="A85" s="96">
        <f>ROW()</f>
        <v>85</v>
      </c>
      <c r="B85" s="226" t="s">
        <v>189</v>
      </c>
      <c r="C85" s="121">
        <f>IFERROR(Summary!C52/Summary!C$35,0)</f>
        <v>0.96259833272736917</v>
      </c>
      <c r="D85" s="121"/>
      <c r="E85" s="121"/>
      <c r="F85" s="221">
        <f>IFERROR(Summary!F52/Summary!F$35,0)</f>
        <v>0.94793920065225656</v>
      </c>
      <c r="G85" s="221">
        <f>IFERROR(Summary!G52/Summary!G$35,0)</f>
        <v>0.94806872471393422</v>
      </c>
      <c r="H85" s="221">
        <f>IFERROR(Summary!H52/Summary!H$35,0)</f>
        <v>0.94810055960788564</v>
      </c>
      <c r="I85" s="221">
        <f>IFERROR(Summary!I52/Summary!I$35,0)</f>
        <v>0.95780963550845966</v>
      </c>
      <c r="J85" s="221">
        <f>IFERROR(Summary!J52/Summary!J$35,0)</f>
        <v>0.96800206124029298</v>
      </c>
      <c r="K85" s="221">
        <f>IFERROR(Summary!K52/Summary!K$35,0)</f>
        <v>0.97850352425405285</v>
      </c>
      <c r="L85" s="221">
        <f>IFERROR(Summary!L52/Summary!L$35,0)</f>
        <v>0.98931946850357844</v>
      </c>
    </row>
    <row r="86" spans="1:12" ht="15.75" thickBot="1" x14ac:dyDescent="0.3">
      <c r="A86" s="96">
        <f>ROW()</f>
        <v>86</v>
      </c>
      <c r="B86" s="227" t="s">
        <v>258</v>
      </c>
      <c r="C86" s="146">
        <f>IFERROR(Summary!C55/Summary!C$35,0)</f>
        <v>3.740166727263082E-2</v>
      </c>
      <c r="D86" s="146"/>
      <c r="E86" s="146"/>
      <c r="F86" s="228">
        <f>IFERROR(Summary!F55/Summary!F$35,0)</f>
        <v>5.2060799347743394E-2</v>
      </c>
      <c r="G86" s="228">
        <f>IFERROR(Summary!G55/Summary!G$35,0)</f>
        <v>5.1931275286065802E-2</v>
      </c>
      <c r="H86" s="228">
        <f>IFERROR(Summary!H55/Summary!H$35,0)</f>
        <v>5.1899440392114318E-2</v>
      </c>
      <c r="I86" s="228">
        <f>IFERROR(Summary!I55/Summary!I$35,0)</f>
        <v>4.2190364491540365E-2</v>
      </c>
      <c r="J86" s="228">
        <f>IFERROR(Summary!J55/Summary!J$35,0)</f>
        <v>3.1997938759707023E-2</v>
      </c>
      <c r="K86" s="228">
        <f>IFERROR(Summary!K55/Summary!K$35,0)</f>
        <v>2.1496475745947149E-2</v>
      </c>
      <c r="L86" s="228">
        <f>IFERROR(Summary!L55/Summary!L$35,0)</f>
        <v>1.0680531496421572E-2</v>
      </c>
    </row>
    <row r="87" spans="1:12" x14ac:dyDescent="0.25">
      <c r="A87" s="96">
        <f>ROW()</f>
        <v>87</v>
      </c>
      <c r="B87" s="141" t="s">
        <v>193</v>
      </c>
      <c r="C87" s="229"/>
      <c r="D87" s="229"/>
      <c r="E87" s="229"/>
      <c r="F87" s="128">
        <f>+Summary!F56</f>
        <v>605.67184212010363</v>
      </c>
      <c r="G87" s="128">
        <f>+Summary!G56</f>
        <v>610.15177704614007</v>
      </c>
      <c r="H87" s="128">
        <f>+Summary!H56</f>
        <v>615.97923832599247</v>
      </c>
      <c r="I87" s="128">
        <f>+Summary!I56</f>
        <v>500.84589073825578</v>
      </c>
      <c r="J87" s="128">
        <f>+Summary!J56</f>
        <v>379.85215008670139</v>
      </c>
      <c r="K87" s="128">
        <f>+Summary!K56</f>
        <v>255.18778725813246</v>
      </c>
      <c r="L87" s="128">
        <f>+Summary!L56</f>
        <v>126.79014159872048</v>
      </c>
    </row>
    <row r="88" spans="1:12" x14ac:dyDescent="0.25">
      <c r="A88" s="96">
        <f>ROW()</f>
        <v>88</v>
      </c>
      <c r="B88" s="42"/>
      <c r="C88" s="124"/>
      <c r="D88" s="124"/>
      <c r="E88" s="124"/>
      <c r="F88" s="126"/>
      <c r="G88" s="126"/>
      <c r="H88" s="126"/>
      <c r="I88" s="126"/>
      <c r="J88" s="126"/>
      <c r="K88" s="126"/>
      <c r="L88" s="126"/>
    </row>
    <row r="89" spans="1:12" x14ac:dyDescent="0.25">
      <c r="A89" s="96">
        <f>ROW()</f>
        <v>89</v>
      </c>
      <c r="B89" s="42" t="s">
        <v>259</v>
      </c>
      <c r="C89" s="151">
        <f>+C17</f>
        <v>0</v>
      </c>
      <c r="D89" s="151"/>
      <c r="E89" s="151"/>
      <c r="F89" s="126">
        <f t="shared" ref="F89:L89" si="24">+F17</f>
        <v>13883341.574310966</v>
      </c>
      <c r="G89" s="126">
        <f t="shared" si="24"/>
        <v>15298905.900093552</v>
      </c>
      <c r="H89" s="126">
        <f t="shared" si="24"/>
        <v>16727990.052594621</v>
      </c>
      <c r="I89" s="126">
        <f t="shared" si="24"/>
        <v>17889962.536025189</v>
      </c>
      <c r="J89" s="126">
        <f t="shared" si="24"/>
        <v>18771227.121269338</v>
      </c>
      <c r="K89" s="126">
        <f t="shared" si="24"/>
        <v>19363267.89146395</v>
      </c>
      <c r="L89" s="126">
        <f t="shared" si="24"/>
        <v>19657423.555775814</v>
      </c>
    </row>
    <row r="90" spans="1:12" x14ac:dyDescent="0.25">
      <c r="A90" s="96">
        <f>ROW()</f>
        <v>90</v>
      </c>
      <c r="B90" s="42"/>
      <c r="C90" s="42"/>
      <c r="D90" s="42"/>
      <c r="E90" s="42"/>
      <c r="F90" s="161"/>
      <c r="G90" s="161"/>
      <c r="H90" s="161"/>
      <c r="I90" s="161"/>
      <c r="J90" s="161"/>
      <c r="K90" s="161"/>
      <c r="L90" s="161"/>
    </row>
    <row r="91" spans="1:12" ht="18" x14ac:dyDescent="0.25">
      <c r="A91" s="96">
        <f>ROW()</f>
        <v>91</v>
      </c>
      <c r="B91" s="214" t="s">
        <v>260</v>
      </c>
      <c r="C91" s="215"/>
      <c r="D91" s="215"/>
      <c r="E91" s="215"/>
      <c r="F91" s="216">
        <f>Summary!F6</f>
        <v>0</v>
      </c>
      <c r="G91" s="230">
        <f>Summary!G6</f>
        <v>1</v>
      </c>
      <c r="H91" s="230">
        <f>Summary!H6</f>
        <v>2</v>
      </c>
      <c r="I91" s="230">
        <f>Summary!I6</f>
        <v>3</v>
      </c>
      <c r="J91" s="230">
        <f>Summary!J6</f>
        <v>4</v>
      </c>
      <c r="K91" s="230">
        <f>Summary!K6</f>
        <v>5</v>
      </c>
      <c r="L91" s="230">
        <f>Summary!L6</f>
        <v>6</v>
      </c>
    </row>
    <row r="92" spans="1:12" x14ac:dyDescent="0.25">
      <c r="A92" s="96">
        <f>ROW()</f>
        <v>92</v>
      </c>
      <c r="B92" s="231" t="s">
        <v>261</v>
      </c>
      <c r="C92" s="232" t="s">
        <v>262</v>
      </c>
      <c r="D92" s="233"/>
      <c r="E92" s="233"/>
      <c r="F92" s="234"/>
      <c r="G92" s="234"/>
      <c r="H92" s="234"/>
      <c r="I92" s="234"/>
      <c r="J92" s="234"/>
      <c r="K92" s="234"/>
      <c r="L92" s="234"/>
    </row>
    <row r="93" spans="1:12" x14ac:dyDescent="0.25">
      <c r="A93" s="96">
        <f>ROW()</f>
        <v>93</v>
      </c>
      <c r="B93" s="42" t="str">
        <f>+B53</f>
        <v>PCFP Base and ELL</v>
      </c>
      <c r="C93" s="133">
        <f t="shared" ref="C93:C110" si="25">AVERAGE(G93:L93)</f>
        <v>9596.0307669813428</v>
      </c>
      <c r="D93" s="113"/>
      <c r="E93" s="111"/>
      <c r="F93" s="207">
        <f>IFERROR(Summary!F15/F$20,0)</f>
        <v>9595.9889052680574</v>
      </c>
      <c r="G93" s="207">
        <f>IFERROR(Summary!G15/G$20,0)</f>
        <v>9595.9889052680574</v>
      </c>
      <c r="H93" s="207">
        <f>IFERROR(Summary!H15/H$20,0)</f>
        <v>9596.0391393240006</v>
      </c>
      <c r="I93" s="207">
        <f>IFERROR(Summary!I15/I$20,0)</f>
        <v>9596.0391393240006</v>
      </c>
      <c r="J93" s="207">
        <f>IFERROR(Summary!J15/J$20,0)</f>
        <v>9596.0391393240006</v>
      </c>
      <c r="K93" s="207">
        <f>IFERROR(Summary!K15/K$20,0)</f>
        <v>9596.0391393240006</v>
      </c>
      <c r="L93" s="207">
        <f>IFERROR(Summary!L15/L$20,0)</f>
        <v>9596.0391393240006</v>
      </c>
    </row>
    <row r="94" spans="1:12" x14ac:dyDescent="0.25">
      <c r="A94" s="96">
        <f>ROW()</f>
        <v>94</v>
      </c>
      <c r="B94" s="42" t="str">
        <f>+B54</f>
        <v>CS Sponsorship Fee 1.15% of base</v>
      </c>
      <c r="C94" s="115">
        <f t="shared" si="25"/>
        <v>-108.26100000000001</v>
      </c>
      <c r="D94" s="115"/>
      <c r="E94" s="111"/>
      <c r="F94" s="117">
        <f>IFERROR(Summary!F16/F$20,0)</f>
        <v>-108.26100000000001</v>
      </c>
      <c r="G94" s="117">
        <f>IFERROR(Summary!G16/G$20,0)</f>
        <v>-108.26100000000001</v>
      </c>
      <c r="H94" s="117">
        <f>IFERROR(Summary!H16/H$20,0)</f>
        <v>-108.26100000000001</v>
      </c>
      <c r="I94" s="117">
        <f>IFERROR(Summary!I16/I$20,0)</f>
        <v>-108.26100000000001</v>
      </c>
      <c r="J94" s="117">
        <f>IFERROR(Summary!J16/J$20,0)</f>
        <v>-108.26100000000001</v>
      </c>
      <c r="K94" s="117">
        <f>IFERROR(Summary!K16/K$20,0)</f>
        <v>-108.26100000000001</v>
      </c>
      <c r="L94" s="117">
        <f>IFERROR(Summary!L16/L$20,0)</f>
        <v>-108.26100000000001</v>
      </c>
    </row>
    <row r="95" spans="1:12" x14ac:dyDescent="0.25">
      <c r="A95" s="96">
        <f>ROW()</f>
        <v>95</v>
      </c>
      <c r="B95" s="42" t="s">
        <v>166</v>
      </c>
      <c r="C95" s="115">
        <f t="shared" si="25"/>
        <v>526.80843818156757</v>
      </c>
      <c r="D95" s="115"/>
      <c r="E95" s="111"/>
      <c r="F95" s="117">
        <f>IFERROR(Summary!F24/F$20,0)</f>
        <v>527.02562908940445</v>
      </c>
      <c r="G95" s="117">
        <f>IFERROR(Summary!G24/G$20,0)</f>
        <v>527.02562908940445</v>
      </c>
      <c r="H95" s="117">
        <f>IFERROR(Summary!H24/H$20,0)</f>
        <v>526.7650000000001</v>
      </c>
      <c r="I95" s="117">
        <f>IFERROR(Summary!I24/I$20,0)</f>
        <v>526.7650000000001</v>
      </c>
      <c r="J95" s="117">
        <f>IFERROR(Summary!J24/J$20,0)</f>
        <v>526.7650000000001</v>
      </c>
      <c r="K95" s="117">
        <f>IFERROR(Summary!K24/K$20,0)</f>
        <v>526.7650000000001</v>
      </c>
      <c r="L95" s="117">
        <f>IFERROR(Summary!L24/L$20,0)</f>
        <v>526.7650000000001</v>
      </c>
    </row>
    <row r="96" spans="1:12" x14ac:dyDescent="0.25">
      <c r="A96" s="96">
        <f>ROW()</f>
        <v>96</v>
      </c>
      <c r="B96" s="42" t="s">
        <v>165</v>
      </c>
      <c r="C96" s="115">
        <f t="shared" si="25"/>
        <v>172.20900000000003</v>
      </c>
      <c r="D96" s="115"/>
      <c r="E96" s="111"/>
      <c r="F96" s="117">
        <f>Summary!F23/Statistics!F$9</f>
        <v>172.20900000000003</v>
      </c>
      <c r="G96" s="117">
        <f>Summary!G23/Statistics!G$9</f>
        <v>172.20900000000003</v>
      </c>
      <c r="H96" s="117">
        <f>Summary!H23/Statistics!H$9</f>
        <v>172.20900000000003</v>
      </c>
      <c r="I96" s="117">
        <f>Summary!I23/Statistics!I$9</f>
        <v>172.20900000000003</v>
      </c>
      <c r="J96" s="117">
        <f>Summary!J23/Statistics!J$9</f>
        <v>172.20900000000003</v>
      </c>
      <c r="K96" s="117">
        <f>Summary!K23/Statistics!K$9</f>
        <v>172.20900000000003</v>
      </c>
      <c r="L96" s="117">
        <f>Summary!L23/Statistics!L$9</f>
        <v>172.20900000000003</v>
      </c>
    </row>
    <row r="97" spans="1:12" hidden="1" x14ac:dyDescent="0.25">
      <c r="A97" s="96">
        <f>ROW()</f>
        <v>97</v>
      </c>
      <c r="B97" s="42"/>
      <c r="C97" s="115"/>
      <c r="D97" s="115"/>
      <c r="E97" s="111"/>
      <c r="F97" s="117"/>
      <c r="G97" s="117"/>
      <c r="H97" s="117"/>
      <c r="I97" s="117"/>
      <c r="J97" s="117"/>
      <c r="K97" s="117"/>
      <c r="L97" s="117"/>
    </row>
    <row r="98" spans="1:12" hidden="1" x14ac:dyDescent="0.25">
      <c r="A98" s="96">
        <f>ROW()</f>
        <v>98</v>
      </c>
      <c r="B98" s="42" t="s">
        <v>167</v>
      </c>
      <c r="C98" s="115">
        <f t="shared" si="25"/>
        <v>0</v>
      </c>
      <c r="D98" s="115"/>
      <c r="E98" s="111"/>
      <c r="F98" s="117">
        <f>Summary!F25/Statistics!F$9</f>
        <v>0</v>
      </c>
      <c r="G98" s="117">
        <f>Summary!G25/Statistics!G$9</f>
        <v>0</v>
      </c>
      <c r="H98" s="117">
        <f>Summary!H25/Statistics!H$9</f>
        <v>0</v>
      </c>
      <c r="I98" s="117">
        <f>Summary!I25/Statistics!I$9</f>
        <v>0</v>
      </c>
      <c r="J98" s="117">
        <f>Summary!J25/Statistics!J$9</f>
        <v>0</v>
      </c>
      <c r="K98" s="117">
        <f>Summary!K25/Statistics!K$9</f>
        <v>0</v>
      </c>
      <c r="L98" s="117">
        <f>Summary!L25/Statistics!L$9</f>
        <v>0</v>
      </c>
    </row>
    <row r="99" spans="1:12" hidden="1" x14ac:dyDescent="0.25">
      <c r="A99" s="96">
        <f>ROW()</f>
        <v>99</v>
      </c>
      <c r="B99" s="42">
        <f>+' Enrol &amp; Rev'!B207</f>
        <v>0</v>
      </c>
      <c r="C99" s="115">
        <f t="shared" si="25"/>
        <v>0</v>
      </c>
      <c r="D99" s="115"/>
      <c r="E99" s="111"/>
      <c r="F99" s="117">
        <f>Summary!F26/Statistics!F$9</f>
        <v>0</v>
      </c>
      <c r="G99" s="117">
        <f>Summary!G26/Statistics!G$9</f>
        <v>0</v>
      </c>
      <c r="H99" s="117">
        <f>Summary!H26/Statistics!H$9</f>
        <v>0</v>
      </c>
      <c r="I99" s="117">
        <f>Summary!I26/Statistics!I$9</f>
        <v>0</v>
      </c>
      <c r="J99" s="117">
        <f>Summary!J26/Statistics!J$9</f>
        <v>0</v>
      </c>
      <c r="K99" s="117">
        <f>Summary!K26/Statistics!K$9</f>
        <v>0</v>
      </c>
      <c r="L99" s="117">
        <f>Summary!L26/Statistics!L$9</f>
        <v>0</v>
      </c>
    </row>
    <row r="100" spans="1:12" hidden="1" x14ac:dyDescent="0.25">
      <c r="A100" s="96">
        <f>ROW()</f>
        <v>100</v>
      </c>
      <c r="B100" s="42" t="s">
        <v>169</v>
      </c>
      <c r="C100" s="115">
        <f t="shared" si="25"/>
        <v>0</v>
      </c>
      <c r="D100" s="115"/>
      <c r="E100" s="111"/>
      <c r="F100" s="117">
        <f>Summary!F27/Statistics!F$9</f>
        <v>0</v>
      </c>
      <c r="G100" s="117">
        <f>Summary!G27/Statistics!G$9</f>
        <v>0</v>
      </c>
      <c r="H100" s="117">
        <f>Summary!H27/Statistics!H$9</f>
        <v>0</v>
      </c>
      <c r="I100" s="117">
        <f>Summary!I27/Statistics!I$9</f>
        <v>0</v>
      </c>
      <c r="J100" s="117">
        <f>Summary!J27/Statistics!J$9</f>
        <v>0</v>
      </c>
      <c r="K100" s="117">
        <f>Summary!K27/Statistics!K$9</f>
        <v>0</v>
      </c>
      <c r="L100" s="117">
        <f>Summary!L27/Statistics!L$9</f>
        <v>0</v>
      </c>
    </row>
    <row r="101" spans="1:12" hidden="1" x14ac:dyDescent="0.25">
      <c r="A101" s="96">
        <f>ROW()</f>
        <v>101</v>
      </c>
      <c r="B101" s="42" t="s">
        <v>170</v>
      </c>
      <c r="C101" s="115">
        <f t="shared" si="25"/>
        <v>0</v>
      </c>
      <c r="D101" s="115"/>
      <c r="E101" s="111"/>
      <c r="F101" s="117">
        <f>Summary!F28/Statistics!F$9</f>
        <v>0</v>
      </c>
      <c r="G101" s="117">
        <f>Summary!G28/Statistics!G$9</f>
        <v>0</v>
      </c>
      <c r="H101" s="117">
        <f>Summary!H28/Statistics!H$9</f>
        <v>0</v>
      </c>
      <c r="I101" s="117">
        <f>Summary!I28/Statistics!I$9</f>
        <v>0</v>
      </c>
      <c r="J101" s="117">
        <f>Summary!J28/Statistics!J$9</f>
        <v>0</v>
      </c>
      <c r="K101" s="117">
        <f>Summary!K28/Statistics!K$9</f>
        <v>0</v>
      </c>
      <c r="L101" s="117">
        <f>Summary!L28/Statistics!L$9</f>
        <v>0</v>
      </c>
    </row>
    <row r="102" spans="1:12" x14ac:dyDescent="0.25">
      <c r="A102" s="96">
        <f>ROW()</f>
        <v>102</v>
      </c>
      <c r="B102" s="1526" t="s">
        <v>1395</v>
      </c>
      <c r="C102" s="115">
        <f t="shared" si="25"/>
        <v>950.85387194937982</v>
      </c>
      <c r="D102" s="115"/>
      <c r="E102" s="111"/>
      <c r="F102" s="117">
        <f>Summary!F29/Statistics!F$9</f>
        <v>950.85387194937971</v>
      </c>
      <c r="G102" s="117">
        <f>Summary!G29/Statistics!G$9</f>
        <v>950.85387194937971</v>
      </c>
      <c r="H102" s="117">
        <f>Summary!H29/Statistics!H$9</f>
        <v>950.85387194937971</v>
      </c>
      <c r="I102" s="117">
        <f>Summary!I29/Statistics!I$9</f>
        <v>950.85387194937971</v>
      </c>
      <c r="J102" s="117">
        <f>Summary!J29/Statistics!J$9</f>
        <v>950.85387194937971</v>
      </c>
      <c r="K102" s="117">
        <f>Summary!K29/Statistics!K$9</f>
        <v>950.85387194937971</v>
      </c>
      <c r="L102" s="117">
        <f>Summary!L29/Statistics!L$9</f>
        <v>950.85387194937971</v>
      </c>
    </row>
    <row r="103" spans="1:12" x14ac:dyDescent="0.25">
      <c r="A103" s="96">
        <f>ROW()</f>
        <v>103</v>
      </c>
      <c r="B103" s="1526" t="s">
        <v>1396</v>
      </c>
      <c r="C103" s="115">
        <f t="shared" si="25"/>
        <v>390.51387488038898</v>
      </c>
      <c r="D103" s="115"/>
      <c r="E103" s="111"/>
      <c r="F103" s="117">
        <f>Summary!F30/Statistics!F$9</f>
        <v>390.51387488038898</v>
      </c>
      <c r="G103" s="117">
        <f>Summary!G30/Statistics!G$9</f>
        <v>390.51387488038898</v>
      </c>
      <c r="H103" s="117">
        <f>Summary!H30/Statistics!H$9</f>
        <v>390.51387488038898</v>
      </c>
      <c r="I103" s="117">
        <f>Summary!I30/Statistics!I$9</f>
        <v>390.51387488038898</v>
      </c>
      <c r="J103" s="117">
        <f>Summary!J30/Statistics!J$9</f>
        <v>390.51387488038898</v>
      </c>
      <c r="K103" s="117">
        <f>Summary!K30/Statistics!K$9</f>
        <v>390.51387488038898</v>
      </c>
      <c r="L103" s="117">
        <f>Summary!L30/Statistics!L$9</f>
        <v>390.51387488038898</v>
      </c>
    </row>
    <row r="104" spans="1:12" x14ac:dyDescent="0.25">
      <c r="A104" s="96">
        <f>ROW()</f>
        <v>104</v>
      </c>
      <c r="B104" s="1526" t="s">
        <v>1390</v>
      </c>
      <c r="C104" s="115">
        <f t="shared" si="25"/>
        <v>105.60253790915594</v>
      </c>
      <c r="D104" s="115"/>
      <c r="E104" s="111"/>
      <c r="F104" s="117">
        <f>Summary!F31/Statistics!F$9</f>
        <v>105.60253790915596</v>
      </c>
      <c r="G104" s="117">
        <f>Summary!G31/Statistics!G$9</f>
        <v>105.60253790915596</v>
      </c>
      <c r="H104" s="117">
        <f>Summary!H31/Statistics!H$9</f>
        <v>105.60253790915596</v>
      </c>
      <c r="I104" s="117">
        <f>Summary!I31/Statistics!I$9</f>
        <v>105.60253790915596</v>
      </c>
      <c r="J104" s="117">
        <f>Summary!J31/Statistics!J$9</f>
        <v>105.60253790915596</v>
      </c>
      <c r="K104" s="117">
        <f>Summary!K31/Statistics!K$9</f>
        <v>105.60253790915596</v>
      </c>
      <c r="L104" s="117">
        <f>Summary!L31/Statistics!L$9</f>
        <v>105.60253790915596</v>
      </c>
    </row>
    <row r="105" spans="1:12" x14ac:dyDescent="0.25">
      <c r="A105" s="96">
        <f>ROW()</f>
        <v>105</v>
      </c>
      <c r="B105" s="1526" t="s">
        <v>1409</v>
      </c>
      <c r="C105" s="115">
        <f t="shared" si="25"/>
        <v>216.65158151440048</v>
      </c>
      <c r="D105" s="115"/>
      <c r="E105" s="111"/>
      <c r="F105" s="117">
        <f>Summary!F32/Statistics!F$9</f>
        <v>0</v>
      </c>
      <c r="G105" s="117">
        <f>Summary!G32/Statistics!G$9</f>
        <v>115.28330712217999</v>
      </c>
      <c r="H105" s="117">
        <f>Summary!H32/Statistics!H$9</f>
        <v>234.98432252437132</v>
      </c>
      <c r="I105" s="117">
        <f>Summary!I32/Statistics!I$9</f>
        <v>237.37413493174597</v>
      </c>
      <c r="J105" s="117">
        <f>Summary!J32/Statistics!J$9</f>
        <v>237.42193117989345</v>
      </c>
      <c r="K105" s="117">
        <f>Summary!K32/Statistics!K$9</f>
        <v>237.42288710485639</v>
      </c>
      <c r="L105" s="117">
        <f>Summary!L32/Statistics!L$9</f>
        <v>237.42290622335562</v>
      </c>
    </row>
    <row r="106" spans="1:12" hidden="1" x14ac:dyDescent="0.25">
      <c r="A106" s="96">
        <f>ROW()</f>
        <v>106</v>
      </c>
      <c r="B106" s="42"/>
      <c r="C106" s="115"/>
      <c r="D106" s="115"/>
      <c r="E106" s="111"/>
      <c r="F106" s="117"/>
      <c r="G106" s="117"/>
      <c r="H106" s="117"/>
      <c r="I106" s="117"/>
      <c r="J106" s="117"/>
      <c r="K106" s="117"/>
      <c r="L106" s="117"/>
    </row>
    <row r="107" spans="1:12" hidden="1" x14ac:dyDescent="0.25">
      <c r="A107" s="96">
        <f>ROW()</f>
        <v>107</v>
      </c>
      <c r="B107" s="42"/>
      <c r="C107" s="115"/>
      <c r="D107" s="115"/>
      <c r="E107" s="111"/>
      <c r="F107" s="117"/>
      <c r="G107" s="117"/>
      <c r="H107" s="117"/>
      <c r="I107" s="117"/>
      <c r="J107" s="117"/>
      <c r="K107" s="117"/>
      <c r="L107" s="117"/>
    </row>
    <row r="108" spans="1:12" hidden="1" x14ac:dyDescent="0.25">
      <c r="A108" s="96">
        <f>ROW()</f>
        <v>108</v>
      </c>
      <c r="B108" s="42"/>
      <c r="C108" s="115"/>
      <c r="D108" s="115"/>
      <c r="E108" s="111"/>
      <c r="F108" s="117"/>
      <c r="G108" s="117"/>
      <c r="H108" s="117"/>
      <c r="I108" s="117"/>
      <c r="J108" s="117"/>
      <c r="K108" s="117"/>
      <c r="L108" s="117"/>
    </row>
    <row r="109" spans="1:12" x14ac:dyDescent="0.25">
      <c r="A109" s="96">
        <f>ROW()</f>
        <v>109</v>
      </c>
      <c r="B109" s="42"/>
      <c r="C109" s="115"/>
      <c r="D109" s="115"/>
      <c r="E109" s="111"/>
      <c r="F109" s="117"/>
      <c r="G109" s="117"/>
      <c r="H109" s="117"/>
      <c r="I109" s="117"/>
      <c r="J109" s="117"/>
      <c r="K109" s="117"/>
      <c r="L109" s="117"/>
    </row>
    <row r="110" spans="1:12" x14ac:dyDescent="0.25">
      <c r="A110" s="96">
        <f>ROW()</f>
        <v>110</v>
      </c>
      <c r="B110" s="38" t="s">
        <v>263</v>
      </c>
      <c r="C110" s="120">
        <f t="shared" si="25"/>
        <v>11850.409071416236</v>
      </c>
      <c r="D110" s="120"/>
      <c r="E110" s="120"/>
      <c r="F110" s="122">
        <f t="shared" ref="F110" si="26">SUM(F93:F109)</f>
        <v>11633.932819096386</v>
      </c>
      <c r="G110" s="122">
        <f t="shared" ref="G110:L110" si="27">SUM(G93:G109)</f>
        <v>11749.216126218565</v>
      </c>
      <c r="H110" s="122">
        <f t="shared" si="27"/>
        <v>11868.706746587295</v>
      </c>
      <c r="I110" s="122">
        <f t="shared" si="27"/>
        <v>11871.09655899467</v>
      </c>
      <c r="J110" s="122">
        <f t="shared" si="27"/>
        <v>11871.144355242817</v>
      </c>
      <c r="K110" s="122">
        <f t="shared" si="27"/>
        <v>11871.14531116778</v>
      </c>
      <c r="L110" s="122">
        <f t="shared" si="27"/>
        <v>11871.145330286279</v>
      </c>
    </row>
    <row r="111" spans="1:12" x14ac:dyDescent="0.25">
      <c r="A111" s="96">
        <f>ROW()</f>
        <v>111</v>
      </c>
      <c r="B111" s="42"/>
      <c r="C111" s="125"/>
      <c r="D111" s="125"/>
      <c r="E111" s="125"/>
      <c r="F111" s="161"/>
      <c r="G111" s="161"/>
      <c r="H111" s="161"/>
      <c r="I111" s="161"/>
      <c r="J111" s="161"/>
      <c r="K111" s="161"/>
      <c r="L111" s="161"/>
    </row>
    <row r="112" spans="1:12" ht="15.75" x14ac:dyDescent="0.25">
      <c r="A112" s="96">
        <f>ROW()</f>
        <v>112</v>
      </c>
      <c r="B112" s="222" t="s">
        <v>264</v>
      </c>
      <c r="C112" s="223"/>
      <c r="D112" s="223"/>
      <c r="E112" s="223"/>
      <c r="F112" s="224">
        <f>Summary!F$6</f>
        <v>0</v>
      </c>
      <c r="G112" s="224">
        <f>Summary!G$6</f>
        <v>1</v>
      </c>
      <c r="H112" s="224">
        <f>Summary!H$6</f>
        <v>2</v>
      </c>
      <c r="I112" s="224">
        <f>Summary!I$6</f>
        <v>3</v>
      </c>
      <c r="J112" s="224">
        <f>Summary!J$6</f>
        <v>4</v>
      </c>
      <c r="K112" s="224">
        <f>Summary!K$6</f>
        <v>5</v>
      </c>
      <c r="L112" s="224">
        <f>Summary!L$6</f>
        <v>6</v>
      </c>
    </row>
    <row r="113" spans="1:12" x14ac:dyDescent="0.25">
      <c r="A113" s="96">
        <f>ROW()</f>
        <v>113</v>
      </c>
      <c r="B113" s="42" t="s">
        <v>184</v>
      </c>
      <c r="C113" s="110">
        <f t="shared" ref="C113:C122" si="28">AVERAGE(G113:L113)</f>
        <v>7167.0592120130486</v>
      </c>
      <c r="D113" s="133"/>
      <c r="E113" s="111"/>
      <c r="F113" s="117">
        <f>IFERROR(Summary!F44/F$20,0)</f>
        <v>7167.0592120130495</v>
      </c>
      <c r="G113" s="117">
        <f>IFERROR(Summary!G44/G$20,0)</f>
        <v>7167.0592120130495</v>
      </c>
      <c r="H113" s="117">
        <f>IFERROR(Summary!H44/H$20,0)</f>
        <v>7167.0592120130495</v>
      </c>
      <c r="I113" s="117">
        <f>IFERROR(Summary!I44/I$20,0)</f>
        <v>7167.0592120130495</v>
      </c>
      <c r="J113" s="117">
        <f>IFERROR(Summary!J44/J$20,0)</f>
        <v>7167.0592120130495</v>
      </c>
      <c r="K113" s="117">
        <f>IFERROR(Summary!K44/K$20,0)</f>
        <v>7167.0592120130495</v>
      </c>
      <c r="L113" s="117">
        <f>IFERROR(Summary!L44/L$20,0)</f>
        <v>7167.0592120130495</v>
      </c>
    </row>
    <row r="114" spans="1:12" x14ac:dyDescent="0.25">
      <c r="A114" s="96">
        <f>ROW()</f>
        <v>114</v>
      </c>
      <c r="B114" s="42" t="s">
        <v>123</v>
      </c>
      <c r="C114" s="115">
        <f t="shared" si="28"/>
        <v>546.78815229117208</v>
      </c>
      <c r="D114" s="115"/>
      <c r="E114" s="111"/>
      <c r="F114" s="117">
        <f>IFERROR(Summary!F45/F$20,0)</f>
        <v>492.41989293195758</v>
      </c>
      <c r="G114" s="117">
        <f>IFERROR(Summary!G45/G$20,0)</f>
        <v>507.1924897199163</v>
      </c>
      <c r="H114" s="117">
        <f>IFERROR(Summary!H45/H$20,0)</f>
        <v>522.40826441151376</v>
      </c>
      <c r="I114" s="117">
        <f>IFERROR(Summary!I45/I$20,0)</f>
        <v>538.08051234385925</v>
      </c>
      <c r="J114" s="117">
        <f>IFERROR(Summary!J45/J$20,0)</f>
        <v>554.22292771417506</v>
      </c>
      <c r="K114" s="117">
        <f>IFERROR(Summary!K45/K$20,0)</f>
        <v>570.84961554560027</v>
      </c>
      <c r="L114" s="117">
        <f>IFERROR(Summary!L45/L$20,0)</f>
        <v>587.97510401196826</v>
      </c>
    </row>
    <row r="115" spans="1:12" x14ac:dyDescent="0.25">
      <c r="A115" s="96">
        <f>ROW()</f>
        <v>115</v>
      </c>
      <c r="B115" s="42" t="s">
        <v>185</v>
      </c>
      <c r="C115" s="115">
        <f t="shared" si="28"/>
        <v>3528.0132153456457</v>
      </c>
      <c r="D115" s="115"/>
      <c r="E115" s="111"/>
      <c r="F115" s="117">
        <f>IFERROR(Summary!F46/F$20,0)</f>
        <v>3177.5800720467923</v>
      </c>
      <c r="G115" s="117">
        <f>IFERROR(Summary!G46/G$20,0)</f>
        <v>3272.9074742081966</v>
      </c>
      <c r="H115" s="117">
        <f>IFERROR(Summary!H46/H$20,0)</f>
        <v>3370.6374178937572</v>
      </c>
      <c r="I115" s="117">
        <f>IFERROR(Summary!I46/I$20,0)</f>
        <v>3471.7565404305701</v>
      </c>
      <c r="J115" s="117">
        <f>IFERROR(Summary!J46/J$20,0)</f>
        <v>3575.9092366434866</v>
      </c>
      <c r="K115" s="117">
        <f>IFERROR(Summary!K46/K$20,0)</f>
        <v>3683.1865137427908</v>
      </c>
      <c r="L115" s="117">
        <f>IFERROR(Summary!L46/L$20,0)</f>
        <v>3793.6821091550751</v>
      </c>
    </row>
    <row r="116" spans="1:12" x14ac:dyDescent="0.25">
      <c r="A116" s="96">
        <f>ROW()</f>
        <v>116</v>
      </c>
      <c r="B116" s="42" t="s">
        <v>256</v>
      </c>
      <c r="C116" s="115">
        <f t="shared" si="28"/>
        <v>0</v>
      </c>
      <c r="D116" s="115"/>
      <c r="E116" s="111"/>
      <c r="F116" s="117">
        <f>IFERROR(Summary!F47/F$20,0)</f>
        <v>0</v>
      </c>
      <c r="G116" s="117">
        <f>IFERROR(Summary!G47/G$20,0)</f>
        <v>0</v>
      </c>
      <c r="H116" s="117">
        <f>IFERROR(Summary!H47/H$20,0)</f>
        <v>0</v>
      </c>
      <c r="I116" s="117">
        <f>IFERROR(Summary!I47/I$20,0)</f>
        <v>0</v>
      </c>
      <c r="J116" s="117">
        <f>IFERROR(Summary!J47/J$20,0)</f>
        <v>0</v>
      </c>
      <c r="K116" s="117">
        <f>IFERROR(Summary!K47/K$20,0)</f>
        <v>0</v>
      </c>
      <c r="L116" s="117">
        <f>IFERROR(Summary!L47/L$20,0)</f>
        <v>0</v>
      </c>
    </row>
    <row r="117" spans="1:12" x14ac:dyDescent="0.25">
      <c r="A117" s="96">
        <f>ROW()</f>
        <v>117</v>
      </c>
      <c r="B117" s="42" t="s">
        <v>131</v>
      </c>
      <c r="C117" s="115">
        <f t="shared" si="28"/>
        <v>102.1542917733468</v>
      </c>
      <c r="D117" s="115"/>
      <c r="E117" s="111"/>
      <c r="F117" s="117">
        <f>IFERROR(Summary!F48/F$20,0)</f>
        <v>102.15429177334678</v>
      </c>
      <c r="G117" s="117">
        <f>IFERROR(Summary!G48/G$20,0)</f>
        <v>102.15429177334678</v>
      </c>
      <c r="H117" s="117">
        <f>IFERROR(Summary!H48/H$20,0)</f>
        <v>102.15429177334678</v>
      </c>
      <c r="I117" s="117">
        <f>IFERROR(Summary!I48/I$20,0)</f>
        <v>102.15429177334678</v>
      </c>
      <c r="J117" s="117">
        <f>IFERROR(Summary!J48/J$20,0)</f>
        <v>102.15429177334678</v>
      </c>
      <c r="K117" s="117">
        <f>IFERROR(Summary!K48/K$20,0)</f>
        <v>102.15429177334678</v>
      </c>
      <c r="L117" s="117">
        <f>IFERROR(Summary!L48/L$20,0)</f>
        <v>102.15429177334678</v>
      </c>
    </row>
    <row r="118" spans="1:12" x14ac:dyDescent="0.25">
      <c r="A118" s="96">
        <f>ROW()</f>
        <v>118</v>
      </c>
      <c r="B118" s="42" t="s">
        <v>187</v>
      </c>
      <c r="C118" s="115">
        <f t="shared" si="28"/>
        <v>53.878845872018353</v>
      </c>
      <c r="D118" s="115"/>
      <c r="E118" s="111"/>
      <c r="F118" s="117">
        <f>IFERROR(Summary!F49/F$20,0)</f>
        <v>53.878845872018346</v>
      </c>
      <c r="G118" s="117">
        <f>IFERROR(Summary!G49/G$20,0)</f>
        <v>53.878845872018346</v>
      </c>
      <c r="H118" s="117">
        <f>IFERROR(Summary!H49/H$20,0)</f>
        <v>53.878845872018346</v>
      </c>
      <c r="I118" s="117">
        <f>IFERROR(Summary!I49/I$20,0)</f>
        <v>53.878845872018346</v>
      </c>
      <c r="J118" s="117">
        <f>IFERROR(Summary!J49/J$20,0)</f>
        <v>53.878845872018346</v>
      </c>
      <c r="K118" s="117">
        <f>IFERROR(Summary!K49/K$20,0)</f>
        <v>53.878845872018346</v>
      </c>
      <c r="L118" s="117">
        <f>IFERROR(Summary!L49/L$20,0)</f>
        <v>53.878845872018346</v>
      </c>
    </row>
    <row r="119" spans="1:12" x14ac:dyDescent="0.25">
      <c r="A119" s="96">
        <f>ROW()</f>
        <v>119</v>
      </c>
      <c r="B119" s="42" t="s">
        <v>172</v>
      </c>
      <c r="C119" s="115">
        <f t="shared" si="28"/>
        <v>0</v>
      </c>
      <c r="D119" s="115"/>
      <c r="E119" s="111"/>
      <c r="F119" s="117">
        <f>IFERROR(Summary!F50/F$20,0)</f>
        <v>0</v>
      </c>
      <c r="G119" s="117">
        <f>IFERROR(Summary!G50/G$20,0)</f>
        <v>0</v>
      </c>
      <c r="H119" s="117">
        <f>IFERROR(Summary!H50/H$20,0)</f>
        <v>0</v>
      </c>
      <c r="I119" s="117">
        <f>IFERROR(Summary!I50/I$20,0)</f>
        <v>0</v>
      </c>
      <c r="J119" s="117">
        <f>IFERROR(Summary!J50/J$20,0)</f>
        <v>0</v>
      </c>
      <c r="K119" s="117">
        <f>IFERROR(Summary!K50/K$20,0)</f>
        <v>0</v>
      </c>
      <c r="L119" s="117">
        <f>IFERROR(Summary!L50/L$20,0)</f>
        <v>0</v>
      </c>
    </row>
    <row r="120" spans="1:12" x14ac:dyDescent="0.25">
      <c r="A120" s="96">
        <f>ROW()</f>
        <v>120</v>
      </c>
      <c r="B120" s="42" t="s">
        <v>129</v>
      </c>
      <c r="C120" s="115">
        <f t="shared" si="28"/>
        <v>37.714189945345495</v>
      </c>
      <c r="D120" s="115"/>
      <c r="E120" s="111"/>
      <c r="F120" s="117">
        <f>IFERROR(Summary!F51/F$20,0)</f>
        <v>35.168662339117766</v>
      </c>
      <c r="G120" s="117">
        <f>IFERROR(Summary!G51/G$20,0)</f>
        <v>35.872035585900122</v>
      </c>
      <c r="H120" s="117">
        <f>IFERROR(Summary!H51/H$20,0)</f>
        <v>36.589476297618127</v>
      </c>
      <c r="I120" s="117">
        <f>IFERROR(Summary!I51/I$20,0)</f>
        <v>37.321265823570485</v>
      </c>
      <c r="J120" s="117">
        <f>IFERROR(Summary!J51/J$20,0)</f>
        <v>38.067691140041894</v>
      </c>
      <c r="K120" s="117">
        <f>IFERROR(Summary!K51/K$20,0)</f>
        <v>38.829044962842737</v>
      </c>
      <c r="L120" s="117">
        <f>IFERROR(Summary!L51/L$20,0)</f>
        <v>39.605625862099593</v>
      </c>
    </row>
    <row r="121" spans="1:12" x14ac:dyDescent="0.25">
      <c r="A121" s="96">
        <f>ROW()</f>
        <v>121</v>
      </c>
      <c r="B121" s="42" t="s">
        <v>257</v>
      </c>
      <c r="C121" s="115">
        <f t="shared" si="28"/>
        <v>0</v>
      </c>
      <c r="D121" s="115"/>
      <c r="E121" s="111"/>
      <c r="F121" s="117">
        <f>IFERROR(Summary!#REF!/F$20,0)</f>
        <v>0</v>
      </c>
      <c r="G121" s="117">
        <f>IFERROR(Summary!#REF!/G$20,0)</f>
        <v>0</v>
      </c>
      <c r="H121" s="117">
        <f>IFERROR(Summary!#REF!/H$20,0)</f>
        <v>0</v>
      </c>
      <c r="I121" s="117">
        <f>IFERROR(Summary!#REF!/I$20,0)</f>
        <v>0</v>
      </c>
      <c r="J121" s="117">
        <f>IFERROR(Summary!#REF!/J$20,0)</f>
        <v>0</v>
      </c>
      <c r="K121" s="117">
        <f>IFERROR(Summary!#REF!/K$20,0)</f>
        <v>0</v>
      </c>
      <c r="L121" s="117">
        <f>IFERROR(Summary!#REF!/L$20,0)</f>
        <v>0</v>
      </c>
    </row>
    <row r="122" spans="1:12" x14ac:dyDescent="0.25">
      <c r="A122" s="96">
        <f>ROW()</f>
        <v>122</v>
      </c>
      <c r="B122" s="38" t="s">
        <v>265</v>
      </c>
      <c r="C122" s="120">
        <f t="shared" si="28"/>
        <v>11435.607907240579</v>
      </c>
      <c r="D122" s="120"/>
      <c r="E122" s="120"/>
      <c r="F122" s="122">
        <f t="shared" ref="F122" si="29">SUM(F113:F121)</f>
        <v>11028.260976976282</v>
      </c>
      <c r="G122" s="122">
        <f t="shared" ref="G122:L122" si="30">SUM(G113:G121)</f>
        <v>11139.064349172428</v>
      </c>
      <c r="H122" s="122">
        <f t="shared" si="30"/>
        <v>11252.727508261303</v>
      </c>
      <c r="I122" s="122">
        <f t="shared" si="30"/>
        <v>11370.250668256414</v>
      </c>
      <c r="J122" s="122">
        <f t="shared" si="30"/>
        <v>11491.292205156118</v>
      </c>
      <c r="K122" s="122">
        <f t="shared" si="30"/>
        <v>11615.957523909648</v>
      </c>
      <c r="L122" s="122">
        <f t="shared" si="30"/>
        <v>11744.355188687558</v>
      </c>
    </row>
    <row r="123" spans="1:12" ht="15.75" thickBot="1" x14ac:dyDescent="0.3">
      <c r="A123" s="96">
        <f>ROW()</f>
        <v>123</v>
      </c>
      <c r="B123" s="38"/>
      <c r="C123" s="134"/>
      <c r="D123" s="134"/>
      <c r="E123" s="135"/>
      <c r="F123" s="136"/>
      <c r="G123" s="136"/>
      <c r="H123" s="136"/>
      <c r="I123" s="136"/>
      <c r="J123" s="136"/>
      <c r="K123" s="136"/>
      <c r="L123" s="136"/>
    </row>
    <row r="124" spans="1:12" ht="15.75" thickBot="1" x14ac:dyDescent="0.3">
      <c r="A124" s="96">
        <f>ROW()</f>
        <v>124</v>
      </c>
      <c r="B124" s="227" t="s">
        <v>266</v>
      </c>
      <c r="C124" s="235">
        <f>C110-C122</f>
        <v>414.8011641756566</v>
      </c>
      <c r="D124" s="236"/>
      <c r="E124" s="236"/>
      <c r="F124" s="237">
        <f t="shared" ref="F124" si="31">F110-F122</f>
        <v>605.67184212010397</v>
      </c>
      <c r="G124" s="237">
        <f t="shared" ref="G124:L124" si="32">G110-G122</f>
        <v>610.15177704613779</v>
      </c>
      <c r="H124" s="237">
        <f t="shared" si="32"/>
        <v>615.9792383259919</v>
      </c>
      <c r="I124" s="237">
        <f t="shared" si="32"/>
        <v>500.84589073825555</v>
      </c>
      <c r="J124" s="237">
        <f t="shared" si="32"/>
        <v>379.85215008669911</v>
      </c>
      <c r="K124" s="237">
        <f t="shared" si="32"/>
        <v>255.18778725813172</v>
      </c>
      <c r="L124" s="237">
        <f t="shared" si="32"/>
        <v>126.79014159872168</v>
      </c>
    </row>
    <row r="125" spans="1:12" x14ac:dyDescent="0.25">
      <c r="A125" s="96">
        <f>ROW()</f>
        <v>125</v>
      </c>
      <c r="B125" s="141" t="s">
        <v>267</v>
      </c>
      <c r="C125" s="142"/>
      <c r="D125" s="142"/>
      <c r="E125" s="142"/>
      <c r="F125" s="128">
        <f t="shared" ref="F125" si="33">F124/F20</f>
        <v>0.26106319864488409</v>
      </c>
      <c r="G125" s="128">
        <f t="shared" ref="G125:L125" si="34">G124/G20</f>
        <v>0.26299418843205569</v>
      </c>
      <c r="H125" s="128">
        <f t="shared" si="34"/>
        <v>0.26550600353703496</v>
      </c>
      <c r="I125" s="128">
        <f t="shared" si="34"/>
        <v>0.21587998842176168</v>
      </c>
      <c r="J125" s="128">
        <f t="shared" si="34"/>
        <v>0.16372796358940833</v>
      </c>
      <c r="K125" s="128">
        <f t="shared" si="34"/>
        <v>0.10999378766481829</v>
      </c>
      <c r="L125" s="128">
        <f t="shared" si="34"/>
        <v>5.4650451978311254E-2</v>
      </c>
    </row>
    <row r="126" spans="1:12" x14ac:dyDescent="0.25">
      <c r="A126" s="96">
        <f>ROW()</f>
        <v>126</v>
      </c>
      <c r="B126" s="238" t="s">
        <v>268</v>
      </c>
      <c r="C126" s="165"/>
      <c r="D126" s="165"/>
      <c r="E126" s="165"/>
      <c r="F126" s="239">
        <f t="shared" ref="F126" si="35">IFERROR(+F124/F110,0)</f>
        <v>5.2060799347743429E-2</v>
      </c>
      <c r="G126" s="239">
        <f t="shared" ref="G126:L126" si="36">IFERROR(+G124/G110,0)</f>
        <v>5.1931275286065615E-2</v>
      </c>
      <c r="H126" s="239">
        <f t="shared" si="36"/>
        <v>5.1899440392114277E-2</v>
      </c>
      <c r="I126" s="239">
        <f t="shared" si="36"/>
        <v>4.2190364491540351E-2</v>
      </c>
      <c r="J126" s="239">
        <f t="shared" si="36"/>
        <v>3.1997938759706829E-2</v>
      </c>
      <c r="K126" s="239">
        <f t="shared" si="36"/>
        <v>2.149647574594709E-2</v>
      </c>
      <c r="L126" s="239">
        <f t="shared" si="36"/>
        <v>1.0680531496421673E-2</v>
      </c>
    </row>
  </sheetData>
  <conditionalFormatting sqref="C1">
    <cfRule type="expression" dxfId="59" priority="11" stopIfTrue="1">
      <formula>MOD(ROW(),2)=0</formula>
    </cfRule>
  </conditionalFormatting>
  <conditionalFormatting sqref="C53:C72">
    <cfRule type="cellIs" dxfId="58" priority="4" stopIfTrue="1" operator="equal">
      <formula>0</formula>
    </cfRule>
  </conditionalFormatting>
  <conditionalFormatting sqref="C76:C84">
    <cfRule type="cellIs" dxfId="57" priority="6" stopIfTrue="1" operator="equal">
      <formula>0</formula>
    </cfRule>
  </conditionalFormatting>
  <conditionalFormatting sqref="C93:C110">
    <cfRule type="cellIs" dxfId="56" priority="8" stopIfTrue="1" operator="equal">
      <formula>0</formula>
    </cfRule>
  </conditionalFormatting>
  <conditionalFormatting sqref="C113:C121">
    <cfRule type="cellIs" dxfId="55" priority="9" stopIfTrue="1" operator="equal">
      <formula>0</formula>
    </cfRule>
  </conditionalFormatting>
  <conditionalFormatting sqref="F53:L72">
    <cfRule type="cellIs" dxfId="54" priority="3" stopIfTrue="1" operator="equal">
      <formula>0</formula>
    </cfRule>
  </conditionalFormatting>
  <conditionalFormatting sqref="F76:L84">
    <cfRule type="cellIs" dxfId="53" priority="5" stopIfTrue="1" operator="equal">
      <formula>0</formula>
    </cfRule>
  </conditionalFormatting>
  <conditionalFormatting sqref="F93:L109">
    <cfRule type="cellIs" dxfId="52" priority="2" stopIfTrue="1" operator="equal">
      <formula>0</formula>
    </cfRule>
  </conditionalFormatting>
  <conditionalFormatting sqref="F113:L121">
    <cfRule type="cellIs" dxfId="51" priority="1" stopIfTrue="1" operator="equal">
      <formula>0</formula>
    </cfRule>
  </conditionalFormatting>
  <conditionalFormatting sqref="L1">
    <cfRule type="expression" dxfId="50" priority="12" stopIfTrue="1">
      <formula>MOD(ROW(),2)=0</formula>
    </cfRule>
  </conditionalFormatting>
  <hyperlinks>
    <hyperlink ref="C1" location="HypLink1" display="HypLink1" xr:uid="{907B945A-5A7B-425C-92D6-69C805F3558E}"/>
  </hyperlinks>
  <pageMargins left="0.7" right="0.7" top="0.75" bottom="0.75" header="0.3" footer="0.3"/>
  <pageSetup paperSize="119" scale="69" fitToHeight="0"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797E6-18FA-46ED-A936-0B3D9E66DCA3}">
  <sheetPr>
    <pageSetUpPr fitToPage="1"/>
  </sheetPr>
  <dimension ref="A1:AC101"/>
  <sheetViews>
    <sheetView workbookViewId="0"/>
  </sheetViews>
  <sheetFormatPr defaultRowHeight="15" x14ac:dyDescent="0.25"/>
  <cols>
    <col min="1" max="1" width="6.7109375" style="42" bestFit="1" customWidth="1"/>
    <col min="2" max="2" width="21" style="42" customWidth="1"/>
    <col min="3" max="3" width="17.28515625" style="42" customWidth="1"/>
    <col min="4" max="4" width="11.42578125" style="42" customWidth="1"/>
    <col min="5" max="6" width="11" style="42" customWidth="1"/>
    <col min="7" max="7" width="32.42578125" style="42" customWidth="1"/>
    <col min="8" max="8" width="14.7109375" style="42" customWidth="1"/>
    <col min="9" max="14" width="9.7109375" style="42" customWidth="1"/>
    <col min="15" max="15" width="1.7109375" style="42" customWidth="1"/>
    <col min="16" max="16" width="61.28515625" style="78" customWidth="1"/>
    <col min="17" max="18" width="4.5703125" style="42" customWidth="1"/>
    <col min="19" max="19" width="7.28515625" style="42" customWidth="1"/>
    <col min="20" max="23" width="4.5703125" style="42" customWidth="1"/>
    <col min="24" max="29" width="9.140625" style="42"/>
  </cols>
  <sheetData>
    <row r="1" spans="1:27" ht="18" x14ac:dyDescent="0.25">
      <c r="A1" s="240" t="s">
        <v>115</v>
      </c>
      <c r="B1" s="241"/>
      <c r="C1" s="241"/>
      <c r="D1" s="242" t="s">
        <v>3</v>
      </c>
      <c r="E1" s="28" t="s">
        <v>269</v>
      </c>
      <c r="F1" s="28"/>
      <c r="G1" s="28"/>
      <c r="H1" s="29"/>
      <c r="I1" s="29"/>
      <c r="P1" s="243"/>
      <c r="Q1" s="244"/>
      <c r="R1" s="244"/>
      <c r="S1" s="244"/>
      <c r="T1" s="244"/>
      <c r="U1" s="38"/>
    </row>
    <row r="2" spans="1:27" ht="15.75" x14ac:dyDescent="0.25">
      <c r="A2" s="80" t="str">
        <f>SchoolName</f>
        <v>Odyssey Charter School</v>
      </c>
      <c r="B2" s="81"/>
      <c r="C2" s="81"/>
      <c r="E2" s="42" t="s">
        <v>270</v>
      </c>
      <c r="F2" s="1583" t="str">
        <f>+Facilities!G2</f>
        <v>We have one facility located at 2251 S Jones Blvd 89146 (3 leases from 2 landlords)</v>
      </c>
      <c r="G2" s="245"/>
      <c r="H2" s="245"/>
      <c r="I2" s="245"/>
      <c r="J2" s="245"/>
      <c r="K2" s="246"/>
      <c r="L2" s="246"/>
      <c r="M2" s="246"/>
      <c r="N2" s="246"/>
      <c r="O2" s="246"/>
      <c r="P2" s="50" t="s">
        <v>103</v>
      </c>
      <c r="Q2" s="244"/>
      <c r="R2" s="244"/>
      <c r="S2" s="244"/>
      <c r="T2" s="244"/>
      <c r="U2" s="244"/>
      <c r="V2" s="244"/>
      <c r="W2" s="244"/>
      <c r="X2" s="244"/>
      <c r="Y2" s="244"/>
      <c r="Z2" s="244"/>
    </row>
    <row r="3" spans="1:27" x14ac:dyDescent="0.25">
      <c r="A3" s="82" t="s">
        <v>80</v>
      </c>
      <c r="E3" s="42" t="s">
        <v>90</v>
      </c>
      <c r="F3" s="1584" t="str">
        <f>+Facilities!G3</f>
        <v>Actively searching for a permanent facility with ownership</v>
      </c>
      <c r="G3" s="247"/>
      <c r="H3" s="247"/>
      <c r="I3" s="247"/>
      <c r="J3" s="247"/>
      <c r="K3" s="246"/>
      <c r="L3" s="246"/>
      <c r="M3" s="246"/>
      <c r="N3" s="246"/>
      <c r="O3" s="246"/>
      <c r="P3" s="101"/>
      <c r="Q3" s="244"/>
      <c r="R3" s="244"/>
      <c r="S3" s="244"/>
      <c r="T3" s="244"/>
      <c r="U3" s="244"/>
      <c r="V3" s="244"/>
      <c r="W3" s="244"/>
      <c r="X3" s="244"/>
      <c r="Y3" s="244"/>
      <c r="Z3" s="244"/>
    </row>
    <row r="4" spans="1:27" x14ac:dyDescent="0.25">
      <c r="A4" s="248" t="s">
        <v>81</v>
      </c>
      <c r="F4" s="1585" t="s">
        <v>1387</v>
      </c>
      <c r="P4" s="104"/>
      <c r="Q4" s="244"/>
      <c r="R4" s="244"/>
      <c r="S4" s="244"/>
      <c r="T4" s="244"/>
      <c r="U4" s="244"/>
      <c r="V4" s="244"/>
      <c r="W4" s="244"/>
      <c r="X4" s="244"/>
      <c r="Y4" s="244"/>
      <c r="Z4" s="244"/>
    </row>
    <row r="5" spans="1:27" x14ac:dyDescent="0.25">
      <c r="A5" s="83" t="str">
        <f ca="1">CELL("filename")</f>
        <v>\\lvraiders\users\sguthrie\Documents\Charter\Change of Sponsorship\[240126-SPCSA-Odyssey Charter School Application Workbook-Modified-Version (1).xlsx]Instructions</v>
      </c>
      <c r="P5" s="104"/>
      <c r="Q5" s="244"/>
      <c r="R5" s="244"/>
      <c r="S5" s="244"/>
      <c r="T5" s="244"/>
      <c r="U5" s="244"/>
      <c r="V5" s="244"/>
      <c r="W5" s="244"/>
      <c r="X5" s="244"/>
      <c r="Y5" s="244"/>
      <c r="Z5" s="244"/>
    </row>
    <row r="6" spans="1:27" x14ac:dyDescent="0.25">
      <c r="A6" s="249"/>
      <c r="B6" s="160"/>
      <c r="C6" s="160"/>
      <c r="D6" s="160"/>
      <c r="E6" s="84"/>
      <c r="P6" s="104"/>
      <c r="Q6" s="244"/>
      <c r="R6" s="244"/>
      <c r="S6" s="244"/>
      <c r="T6" s="244"/>
      <c r="U6" s="244"/>
      <c r="V6" s="244"/>
      <c r="W6" s="244"/>
      <c r="X6" s="244"/>
      <c r="Y6" s="244"/>
      <c r="Z6" s="244"/>
    </row>
    <row r="7" spans="1:27" x14ac:dyDescent="0.25">
      <c r="A7" s="96"/>
      <c r="D7" s="250" t="s">
        <v>219</v>
      </c>
      <c r="E7" s="85">
        <v>1</v>
      </c>
      <c r="F7" s="85">
        <v>2</v>
      </c>
      <c r="G7" s="85">
        <v>3</v>
      </c>
      <c r="H7" s="85">
        <v>4</v>
      </c>
      <c r="I7" s="85">
        <v>5</v>
      </c>
      <c r="J7" s="251">
        <v>6</v>
      </c>
      <c r="K7" s="1513"/>
      <c r="L7" s="1513"/>
      <c r="M7" s="1513"/>
      <c r="N7" s="1513"/>
      <c r="O7" s="84"/>
      <c r="P7" s="104" t="s">
        <v>271</v>
      </c>
      <c r="Q7" s="244"/>
      <c r="R7" s="244"/>
      <c r="S7" s="244"/>
      <c r="T7" s="244"/>
      <c r="U7" s="244"/>
      <c r="V7" s="244"/>
      <c r="W7" s="244"/>
      <c r="X7" s="244"/>
      <c r="Y7" s="244"/>
      <c r="Z7" s="244"/>
    </row>
    <row r="8" spans="1:27" ht="15.75" x14ac:dyDescent="0.25">
      <c r="A8" s="96"/>
      <c r="D8" s="250">
        <f>' Enrol &amp; Rev'!F10</f>
        <v>2024</v>
      </c>
      <c r="E8" s="88">
        <f>' Enrol &amp; Rev'!G10</f>
        <v>2025</v>
      </c>
      <c r="F8" s="88">
        <f>+E9</f>
        <v>2026</v>
      </c>
      <c r="G8" s="88">
        <f>+F9</f>
        <v>2027</v>
      </c>
      <c r="H8" s="88">
        <f>+G9</f>
        <v>2028</v>
      </c>
      <c r="I8" s="88">
        <f>+H9</f>
        <v>2029</v>
      </c>
      <c r="J8" s="252">
        <f>+I9</f>
        <v>2030</v>
      </c>
      <c r="K8" s="1514"/>
      <c r="L8" s="1514"/>
      <c r="M8" s="1514"/>
      <c r="N8" s="1514"/>
      <c r="O8" s="253"/>
      <c r="P8" s="104"/>
      <c r="Q8" s="244"/>
      <c r="R8" s="244"/>
      <c r="S8" s="244"/>
      <c r="T8" s="244"/>
      <c r="U8" s="244"/>
      <c r="V8" s="244"/>
      <c r="W8" s="244"/>
      <c r="X8" s="244"/>
      <c r="Y8" s="244"/>
      <c r="Z8" s="244"/>
    </row>
    <row r="9" spans="1:27" ht="15.75" x14ac:dyDescent="0.25">
      <c r="A9" s="96"/>
      <c r="D9" s="173">
        <f>+D8+1</f>
        <v>2025</v>
      </c>
      <c r="E9" s="93">
        <f t="shared" ref="E9:J9" si="0">+E8+1</f>
        <v>2026</v>
      </c>
      <c r="F9" s="93">
        <f t="shared" si="0"/>
        <v>2027</v>
      </c>
      <c r="G9" s="93">
        <f t="shared" si="0"/>
        <v>2028</v>
      </c>
      <c r="H9" s="93">
        <f t="shared" si="0"/>
        <v>2029</v>
      </c>
      <c r="I9" s="93">
        <f t="shared" si="0"/>
        <v>2030</v>
      </c>
      <c r="J9" s="94">
        <f t="shared" si="0"/>
        <v>2031</v>
      </c>
      <c r="K9" s="1514"/>
      <c r="L9" s="1514"/>
      <c r="M9" s="1514"/>
      <c r="N9" s="1514"/>
      <c r="O9" s="254"/>
      <c r="P9" s="104"/>
      <c r="Q9" s="244"/>
      <c r="R9" s="244"/>
      <c r="S9" s="244"/>
      <c r="T9" s="244"/>
      <c r="U9" s="244"/>
      <c r="V9" s="244"/>
      <c r="W9" s="244"/>
      <c r="X9" s="244"/>
      <c r="Y9" s="244"/>
      <c r="Z9" s="244"/>
    </row>
    <row r="10" spans="1:27" ht="15.75" x14ac:dyDescent="0.25">
      <c r="A10" s="96">
        <f>ROW()</f>
        <v>10</v>
      </c>
      <c r="B10" s="38" t="s">
        <v>272</v>
      </c>
      <c r="C10" s="38"/>
      <c r="D10" s="38"/>
      <c r="E10" s="255"/>
      <c r="F10" s="255"/>
      <c r="G10" s="255"/>
      <c r="H10" s="255"/>
      <c r="I10" s="255"/>
      <c r="J10" s="255"/>
      <c r="K10" s="253"/>
      <c r="L10" s="253"/>
      <c r="M10" s="253"/>
      <c r="N10" s="253"/>
      <c r="O10" s="253"/>
      <c r="P10" s="104"/>
      <c r="Q10" s="244"/>
      <c r="R10" s="244"/>
      <c r="S10" s="244"/>
      <c r="T10" s="244"/>
      <c r="U10" s="244"/>
      <c r="V10" s="244"/>
      <c r="W10" s="244"/>
      <c r="X10" s="244"/>
      <c r="Y10" s="244"/>
      <c r="Z10" s="244"/>
    </row>
    <row r="11" spans="1:27" x14ac:dyDescent="0.25">
      <c r="A11" s="96">
        <f>ROW()</f>
        <v>11</v>
      </c>
      <c r="B11" s="256" t="s">
        <v>273</v>
      </c>
      <c r="C11" s="256"/>
      <c r="D11" s="257">
        <f t="shared" ref="D11:J11" si="1">COUNTIF(D14:D26,"&gt;0")</f>
        <v>13</v>
      </c>
      <c r="E11" s="257">
        <f t="shared" si="1"/>
        <v>13</v>
      </c>
      <c r="F11" s="258">
        <f t="shared" si="1"/>
        <v>13</v>
      </c>
      <c r="G11" s="258">
        <f t="shared" si="1"/>
        <v>13</v>
      </c>
      <c r="H11" s="258">
        <f t="shared" si="1"/>
        <v>13</v>
      </c>
      <c r="I11" s="258">
        <f t="shared" si="1"/>
        <v>13</v>
      </c>
      <c r="J11" s="259">
        <f t="shared" si="1"/>
        <v>13</v>
      </c>
      <c r="K11" s="1515"/>
      <c r="L11" s="1515"/>
      <c r="M11" s="1515"/>
      <c r="N11" s="1515"/>
      <c r="O11" s="260"/>
      <c r="P11" s="104"/>
      <c r="Q11" s="244"/>
      <c r="R11" s="244"/>
      <c r="S11" s="244"/>
      <c r="T11" s="244"/>
      <c r="U11" s="244"/>
      <c r="V11" s="244"/>
      <c r="W11" s="244"/>
      <c r="X11" s="244"/>
      <c r="Y11" s="244"/>
      <c r="Z11" s="244"/>
    </row>
    <row r="12" spans="1:27" x14ac:dyDescent="0.25">
      <c r="A12" s="96">
        <f>ROW()</f>
        <v>12</v>
      </c>
      <c r="B12" s="261" t="s">
        <v>274</v>
      </c>
      <c r="C12" s="261"/>
      <c r="D12" s="262">
        <f>+' Enrol &amp; Rev'!F19</f>
        <v>23.200199999999999</v>
      </c>
      <c r="E12" s="263">
        <f>+' Enrol &amp; Rev'!G19</f>
        <v>23.200199999999999</v>
      </c>
      <c r="F12" s="264">
        <f>+' Enrol &amp; Rev'!H19</f>
        <v>23.200199999999999</v>
      </c>
      <c r="G12" s="264">
        <f>+' Enrol &amp; Rev'!I19</f>
        <v>23.200199999999999</v>
      </c>
      <c r="H12" s="264">
        <f>+' Enrol &amp; Rev'!J19</f>
        <v>23.200199999999999</v>
      </c>
      <c r="I12" s="264">
        <f>+' Enrol &amp; Rev'!K19</f>
        <v>23.200199999999999</v>
      </c>
      <c r="J12" s="265">
        <f>+' Enrol &amp; Rev'!L19</f>
        <v>23.200199999999999</v>
      </c>
      <c r="K12" s="1515"/>
      <c r="L12" s="1515"/>
      <c r="M12" s="1515"/>
      <c r="N12" s="1515"/>
      <c r="O12" s="260"/>
      <c r="P12" s="104"/>
      <c r="Q12" s="244"/>
      <c r="R12" s="244"/>
      <c r="S12" s="244"/>
      <c r="T12" s="244"/>
      <c r="U12" s="244"/>
      <c r="V12" s="244"/>
      <c r="W12" s="244"/>
      <c r="X12" s="244"/>
      <c r="Y12" s="244"/>
      <c r="Z12" s="244"/>
    </row>
    <row r="13" spans="1:27" x14ac:dyDescent="0.25">
      <c r="A13" s="96">
        <f>ROW()</f>
        <v>13</v>
      </c>
      <c r="B13" s="266"/>
      <c r="C13" s="266"/>
      <c r="D13" s="267"/>
      <c r="E13" s="267"/>
      <c r="F13" s="267"/>
      <c r="G13" s="267"/>
      <c r="H13" s="267"/>
      <c r="I13" s="267"/>
      <c r="J13" s="267"/>
      <c r="K13" s="268"/>
      <c r="L13" s="268"/>
      <c r="M13" s="268"/>
      <c r="N13" s="268"/>
      <c r="O13" s="268"/>
      <c r="P13" s="104"/>
      <c r="Q13" s="244"/>
      <c r="R13" s="244"/>
      <c r="S13" s="244"/>
      <c r="T13" s="244"/>
      <c r="U13" s="244"/>
      <c r="V13" s="244"/>
      <c r="W13" s="244"/>
      <c r="X13" s="244"/>
      <c r="Y13" s="244"/>
      <c r="Z13" s="244"/>
      <c r="AA13" s="244"/>
    </row>
    <row r="14" spans="1:27" x14ac:dyDescent="0.25">
      <c r="A14" s="96">
        <f>ROW()</f>
        <v>14</v>
      </c>
      <c r="B14" s="269" t="s">
        <v>275</v>
      </c>
      <c r="C14" s="270"/>
      <c r="D14" s="271">
        <f>' Enrol &amp; Rev'!F23</f>
        <v>48.12</v>
      </c>
      <c r="E14" s="271">
        <f>' Enrol &amp; Rev'!G23</f>
        <v>48.12</v>
      </c>
      <c r="F14" s="271">
        <f>' Enrol &amp; Rev'!H23</f>
        <v>48.12</v>
      </c>
      <c r="G14" s="271">
        <f>' Enrol &amp; Rev'!I23</f>
        <v>48.12</v>
      </c>
      <c r="H14" s="271">
        <f>' Enrol &amp; Rev'!J23</f>
        <v>48.12</v>
      </c>
      <c r="I14" s="271">
        <f>' Enrol &amp; Rev'!K23</f>
        <v>48.12</v>
      </c>
      <c r="J14" s="271">
        <f>' Enrol &amp; Rev'!L23</f>
        <v>48.12</v>
      </c>
      <c r="K14" s="115"/>
      <c r="L14" s="115"/>
      <c r="M14" s="115"/>
      <c r="N14" s="115"/>
      <c r="O14" s="115"/>
      <c r="P14" s="104"/>
      <c r="Q14" s="244"/>
      <c r="R14" s="244"/>
      <c r="S14" s="244"/>
      <c r="T14" s="244"/>
      <c r="U14" s="244"/>
      <c r="V14" s="244"/>
      <c r="W14" s="244"/>
      <c r="X14" s="244"/>
      <c r="Y14" s="244"/>
      <c r="Z14" s="244"/>
      <c r="AA14" s="244"/>
    </row>
    <row r="15" spans="1:27" x14ac:dyDescent="0.25">
      <c r="A15" s="96">
        <f>ROW()</f>
        <v>15</v>
      </c>
      <c r="B15" s="272" t="s">
        <v>276</v>
      </c>
      <c r="C15" s="273"/>
      <c r="D15" s="274">
        <f>' Enrol &amp; Rev'!F24</f>
        <v>43.88</v>
      </c>
      <c r="E15" s="274">
        <f>' Enrol &amp; Rev'!G24</f>
        <v>43.88</v>
      </c>
      <c r="F15" s="274">
        <f>' Enrol &amp; Rev'!H24</f>
        <v>43.88</v>
      </c>
      <c r="G15" s="274">
        <f>' Enrol &amp; Rev'!I24</f>
        <v>43.88</v>
      </c>
      <c r="H15" s="274">
        <f>' Enrol &amp; Rev'!J24</f>
        <v>43.88</v>
      </c>
      <c r="I15" s="274">
        <f>' Enrol &amp; Rev'!K24</f>
        <v>43.88</v>
      </c>
      <c r="J15" s="274">
        <f>' Enrol &amp; Rev'!L24</f>
        <v>43.88</v>
      </c>
      <c r="K15" s="115"/>
      <c r="L15" s="115"/>
      <c r="M15" s="115"/>
      <c r="N15" s="115"/>
      <c r="O15" s="115"/>
      <c r="P15" s="104"/>
      <c r="Q15" s="244"/>
      <c r="R15" s="244"/>
      <c r="S15" s="244"/>
      <c r="T15" s="244"/>
      <c r="U15" s="244"/>
      <c r="V15" s="244"/>
      <c r="W15" s="244"/>
      <c r="X15" s="244"/>
      <c r="Y15" s="244"/>
      <c r="Z15" s="244"/>
      <c r="AA15" s="244"/>
    </row>
    <row r="16" spans="1:27" x14ac:dyDescent="0.25">
      <c r="A16" s="96">
        <f>ROW()</f>
        <v>16</v>
      </c>
      <c r="B16" s="272" t="s">
        <v>277</v>
      </c>
      <c r="C16" s="273"/>
      <c r="D16" s="274">
        <f>' Enrol &amp; Rev'!F25</f>
        <v>53.08</v>
      </c>
      <c r="E16" s="274">
        <f>' Enrol &amp; Rev'!G25</f>
        <v>53.08</v>
      </c>
      <c r="F16" s="274">
        <f>' Enrol &amp; Rev'!H25</f>
        <v>53.08</v>
      </c>
      <c r="G16" s="274">
        <f>' Enrol &amp; Rev'!I25</f>
        <v>53.08</v>
      </c>
      <c r="H16" s="274">
        <f>' Enrol &amp; Rev'!J25</f>
        <v>53.08</v>
      </c>
      <c r="I16" s="274">
        <f>' Enrol &amp; Rev'!K25</f>
        <v>53.08</v>
      </c>
      <c r="J16" s="274">
        <f>' Enrol &amp; Rev'!L25</f>
        <v>53.08</v>
      </c>
      <c r="K16" s="115"/>
      <c r="L16" s="115"/>
      <c r="M16" s="115"/>
      <c r="N16" s="115"/>
      <c r="O16" s="115"/>
      <c r="P16" s="104"/>
      <c r="Q16" s="244"/>
      <c r="R16" s="244"/>
      <c r="S16" s="244"/>
      <c r="T16" s="244"/>
      <c r="U16" s="244"/>
      <c r="V16" s="244"/>
      <c r="W16" s="244"/>
      <c r="X16" s="244"/>
      <c r="Y16" s="244"/>
      <c r="Z16" s="244"/>
      <c r="AA16" s="244"/>
    </row>
    <row r="17" spans="1:27" x14ac:dyDescent="0.25">
      <c r="A17" s="96">
        <f>ROW()</f>
        <v>17</v>
      </c>
      <c r="B17" s="272" t="s">
        <v>278</v>
      </c>
      <c r="C17" s="273"/>
      <c r="D17" s="274">
        <f>' Enrol &amp; Rev'!F26</f>
        <v>60.61</v>
      </c>
      <c r="E17" s="274">
        <f>' Enrol &amp; Rev'!G26</f>
        <v>60.61</v>
      </c>
      <c r="F17" s="274">
        <f>' Enrol &amp; Rev'!H26</f>
        <v>60.61</v>
      </c>
      <c r="G17" s="274">
        <f>' Enrol &amp; Rev'!I26</f>
        <v>60.61</v>
      </c>
      <c r="H17" s="274">
        <f>' Enrol &amp; Rev'!J26</f>
        <v>60.61</v>
      </c>
      <c r="I17" s="274">
        <f>' Enrol &amp; Rev'!K26</f>
        <v>60.61</v>
      </c>
      <c r="J17" s="274">
        <f>' Enrol &amp; Rev'!L26</f>
        <v>60.61</v>
      </c>
      <c r="K17" s="115"/>
      <c r="L17" s="115"/>
      <c r="M17" s="115"/>
      <c r="N17" s="115"/>
      <c r="O17" s="115"/>
      <c r="P17" s="104"/>
      <c r="Q17" s="244"/>
      <c r="R17" s="244"/>
      <c r="S17" s="244"/>
      <c r="T17" s="244"/>
      <c r="U17" s="244"/>
      <c r="V17" s="244"/>
      <c r="W17" s="244"/>
      <c r="X17" s="244"/>
      <c r="Y17" s="244"/>
      <c r="Z17" s="244"/>
      <c r="AA17" s="244"/>
    </row>
    <row r="18" spans="1:27" x14ac:dyDescent="0.25">
      <c r="A18" s="96">
        <f>ROW()</f>
        <v>18</v>
      </c>
      <c r="B18" s="272" t="s">
        <v>279</v>
      </c>
      <c r="C18" s="273"/>
      <c r="D18" s="274">
        <f>' Enrol &amp; Rev'!F27</f>
        <v>72.260000000000005</v>
      </c>
      <c r="E18" s="274">
        <f>' Enrol &amp; Rev'!G27</f>
        <v>72.260000000000005</v>
      </c>
      <c r="F18" s="274">
        <f>' Enrol &amp; Rev'!H27</f>
        <v>72.260000000000005</v>
      </c>
      <c r="G18" s="274">
        <f>' Enrol &amp; Rev'!I27</f>
        <v>72.260000000000005</v>
      </c>
      <c r="H18" s="274">
        <f>' Enrol &amp; Rev'!J27</f>
        <v>72.260000000000005</v>
      </c>
      <c r="I18" s="274">
        <f>' Enrol &amp; Rev'!K27</f>
        <v>72.260000000000005</v>
      </c>
      <c r="J18" s="274">
        <f>' Enrol &amp; Rev'!L27</f>
        <v>72.260000000000005</v>
      </c>
      <c r="K18" s="115"/>
      <c r="L18" s="115"/>
      <c r="M18" s="115"/>
      <c r="N18" s="115"/>
      <c r="O18" s="115"/>
      <c r="P18" s="104"/>
      <c r="Q18" s="244"/>
      <c r="R18" s="244"/>
      <c r="S18" s="244"/>
      <c r="T18" s="244"/>
      <c r="U18" s="244"/>
      <c r="V18" s="244"/>
      <c r="W18" s="244"/>
      <c r="X18" s="244"/>
      <c r="Y18" s="244"/>
      <c r="Z18" s="244"/>
      <c r="AA18" s="244"/>
    </row>
    <row r="19" spans="1:27" x14ac:dyDescent="0.25">
      <c r="A19" s="96">
        <f>ROW()</f>
        <v>19</v>
      </c>
      <c r="B19" s="272" t="s">
        <v>280</v>
      </c>
      <c r="C19" s="273"/>
      <c r="D19" s="274">
        <f>' Enrol &amp; Rev'!F28</f>
        <v>75.150000000000006</v>
      </c>
      <c r="E19" s="274">
        <f>' Enrol &amp; Rev'!G28</f>
        <v>75.150000000000006</v>
      </c>
      <c r="F19" s="274">
        <f>' Enrol &amp; Rev'!H28</f>
        <v>75.150000000000006</v>
      </c>
      <c r="G19" s="274">
        <f>' Enrol &amp; Rev'!I28</f>
        <v>75.150000000000006</v>
      </c>
      <c r="H19" s="274">
        <f>' Enrol &amp; Rev'!J28</f>
        <v>75.150000000000006</v>
      </c>
      <c r="I19" s="274">
        <f>' Enrol &amp; Rev'!K28</f>
        <v>75.150000000000006</v>
      </c>
      <c r="J19" s="274">
        <f>' Enrol &amp; Rev'!L28</f>
        <v>75.150000000000006</v>
      </c>
      <c r="K19" s="115"/>
      <c r="L19" s="115"/>
      <c r="M19" s="115"/>
      <c r="N19" s="115"/>
      <c r="O19" s="115"/>
      <c r="P19" s="104"/>
      <c r="Q19" s="244"/>
      <c r="R19" s="244"/>
      <c r="S19" s="244"/>
      <c r="T19" s="244"/>
      <c r="U19" s="244"/>
      <c r="V19" s="244"/>
      <c r="W19" s="244"/>
      <c r="X19" s="244"/>
      <c r="Y19" s="244"/>
      <c r="Z19" s="244"/>
      <c r="AA19" s="244"/>
    </row>
    <row r="20" spans="1:27" x14ac:dyDescent="0.25">
      <c r="A20" s="96">
        <f>ROW()</f>
        <v>20</v>
      </c>
      <c r="B20" s="272" t="s">
        <v>281</v>
      </c>
      <c r="C20" s="273"/>
      <c r="D20" s="274">
        <f>' Enrol &amp; Rev'!F29</f>
        <v>164.84</v>
      </c>
      <c r="E20" s="274">
        <f>' Enrol &amp; Rev'!G29</f>
        <v>164.84</v>
      </c>
      <c r="F20" s="274">
        <f>' Enrol &amp; Rev'!H29</f>
        <v>164.84</v>
      </c>
      <c r="G20" s="274">
        <f>' Enrol &amp; Rev'!I29</f>
        <v>164.84</v>
      </c>
      <c r="H20" s="274">
        <f>' Enrol &amp; Rev'!J29</f>
        <v>164.84</v>
      </c>
      <c r="I20" s="274">
        <f>' Enrol &amp; Rev'!K29</f>
        <v>164.84</v>
      </c>
      <c r="J20" s="274">
        <f>' Enrol &amp; Rev'!L29</f>
        <v>164.84</v>
      </c>
      <c r="K20" s="115"/>
      <c r="L20" s="115"/>
      <c r="M20" s="115"/>
      <c r="N20" s="115"/>
      <c r="O20" s="115"/>
      <c r="P20" s="104"/>
      <c r="Q20" s="244"/>
      <c r="R20" s="244"/>
      <c r="S20" s="244"/>
      <c r="T20" s="244"/>
      <c r="U20" s="244"/>
      <c r="V20" s="244"/>
      <c r="W20" s="244"/>
      <c r="X20" s="244"/>
      <c r="Y20" s="244"/>
      <c r="Z20" s="244"/>
      <c r="AA20" s="244"/>
    </row>
    <row r="21" spans="1:27" x14ac:dyDescent="0.25">
      <c r="A21" s="96">
        <f>ROW()</f>
        <v>21</v>
      </c>
      <c r="B21" s="272" t="s">
        <v>282</v>
      </c>
      <c r="C21" s="273"/>
      <c r="D21" s="274">
        <f>' Enrol &amp; Rev'!F30</f>
        <v>218.49</v>
      </c>
      <c r="E21" s="274">
        <f>' Enrol &amp; Rev'!G30</f>
        <v>218.49</v>
      </c>
      <c r="F21" s="274">
        <f>' Enrol &amp; Rev'!H30</f>
        <v>218.49</v>
      </c>
      <c r="G21" s="274">
        <f>' Enrol &amp; Rev'!I30</f>
        <v>218.49</v>
      </c>
      <c r="H21" s="274">
        <f>' Enrol &amp; Rev'!J30</f>
        <v>218.49</v>
      </c>
      <c r="I21" s="274">
        <f>' Enrol &amp; Rev'!K30</f>
        <v>218.49</v>
      </c>
      <c r="J21" s="274">
        <f>' Enrol &amp; Rev'!L30</f>
        <v>218.49</v>
      </c>
      <c r="K21" s="115"/>
      <c r="L21" s="115"/>
      <c r="M21" s="115"/>
      <c r="N21" s="115"/>
      <c r="O21" s="115"/>
      <c r="P21" s="104"/>
      <c r="Q21" s="244"/>
      <c r="R21" s="244"/>
      <c r="S21" s="244"/>
      <c r="T21" s="244"/>
      <c r="U21" s="244"/>
      <c r="V21" s="244"/>
      <c r="W21" s="244"/>
      <c r="X21" s="244"/>
      <c r="Y21" s="244"/>
      <c r="Z21" s="244"/>
    </row>
    <row r="22" spans="1:27" x14ac:dyDescent="0.25">
      <c r="A22" s="96">
        <f>ROW()</f>
        <v>22</v>
      </c>
      <c r="B22" s="272" t="s">
        <v>283</v>
      </c>
      <c r="C22" s="273"/>
      <c r="D22" s="274">
        <f>' Enrol &amp; Rev'!F31</f>
        <v>220.76</v>
      </c>
      <c r="E22" s="274">
        <f>' Enrol &amp; Rev'!G31</f>
        <v>220.76</v>
      </c>
      <c r="F22" s="274">
        <f>' Enrol &amp; Rev'!H31</f>
        <v>220.76</v>
      </c>
      <c r="G22" s="274">
        <f>' Enrol &amp; Rev'!I31</f>
        <v>220.76</v>
      </c>
      <c r="H22" s="274">
        <f>' Enrol &amp; Rev'!J31</f>
        <v>220.76</v>
      </c>
      <c r="I22" s="274">
        <f>' Enrol &amp; Rev'!K31</f>
        <v>220.76</v>
      </c>
      <c r="J22" s="274">
        <f>' Enrol &amp; Rev'!L31</f>
        <v>220.76</v>
      </c>
      <c r="K22" s="115"/>
      <c r="L22" s="115"/>
      <c r="M22" s="115"/>
      <c r="N22" s="115"/>
      <c r="O22" s="115"/>
      <c r="P22" s="104"/>
      <c r="Q22" s="244"/>
      <c r="R22" s="244"/>
      <c r="S22" s="244"/>
      <c r="T22" s="244"/>
      <c r="U22" s="244"/>
      <c r="V22" s="244"/>
      <c r="W22" s="244"/>
      <c r="X22" s="244"/>
      <c r="Y22" s="244"/>
      <c r="Z22" s="244"/>
    </row>
    <row r="23" spans="1:27" x14ac:dyDescent="0.25">
      <c r="A23" s="96">
        <f>ROW()</f>
        <v>23</v>
      </c>
      <c r="B23" s="272" t="s">
        <v>284</v>
      </c>
      <c r="C23" s="273"/>
      <c r="D23" s="274">
        <f>' Enrol &amp; Rev'!F32</f>
        <v>273.95999999999998</v>
      </c>
      <c r="E23" s="274">
        <f>' Enrol &amp; Rev'!G32</f>
        <v>273.95999999999998</v>
      </c>
      <c r="F23" s="274">
        <f>' Enrol &amp; Rev'!H32</f>
        <v>273.95999999999998</v>
      </c>
      <c r="G23" s="274">
        <f>' Enrol &amp; Rev'!I32</f>
        <v>273.95999999999998</v>
      </c>
      <c r="H23" s="274">
        <f>' Enrol &amp; Rev'!J32</f>
        <v>273.95999999999998</v>
      </c>
      <c r="I23" s="274">
        <f>' Enrol &amp; Rev'!K32</f>
        <v>273.95999999999998</v>
      </c>
      <c r="J23" s="274">
        <f>' Enrol &amp; Rev'!L32</f>
        <v>273.95999999999998</v>
      </c>
      <c r="K23" s="115"/>
      <c r="L23" s="115"/>
      <c r="M23" s="115"/>
      <c r="N23" s="115"/>
      <c r="O23" s="115"/>
      <c r="P23" s="104"/>
      <c r="Q23" s="244"/>
      <c r="R23" s="244"/>
      <c r="S23" s="244"/>
      <c r="T23" s="244"/>
      <c r="U23" s="244"/>
      <c r="V23" s="244"/>
      <c r="W23" s="244"/>
      <c r="X23" s="244"/>
      <c r="Y23" s="244"/>
      <c r="Z23" s="244"/>
    </row>
    <row r="24" spans="1:27" x14ac:dyDescent="0.25">
      <c r="A24" s="96">
        <f>ROW()</f>
        <v>24</v>
      </c>
      <c r="B24" s="272" t="s">
        <v>285</v>
      </c>
      <c r="C24" s="273"/>
      <c r="D24" s="274">
        <f>' Enrol &amp; Rev'!F33</f>
        <v>302.51</v>
      </c>
      <c r="E24" s="274">
        <f>' Enrol &amp; Rev'!G33</f>
        <v>302.51</v>
      </c>
      <c r="F24" s="274">
        <f>' Enrol &amp; Rev'!H33</f>
        <v>302.51</v>
      </c>
      <c r="G24" s="274">
        <f>' Enrol &amp; Rev'!I33</f>
        <v>302.51</v>
      </c>
      <c r="H24" s="274">
        <f>' Enrol &amp; Rev'!J33</f>
        <v>302.51</v>
      </c>
      <c r="I24" s="274">
        <f>' Enrol &amp; Rev'!K33</f>
        <v>302.51</v>
      </c>
      <c r="J24" s="274">
        <f>' Enrol &amp; Rev'!L33</f>
        <v>302.51</v>
      </c>
      <c r="K24" s="115"/>
      <c r="L24" s="115"/>
      <c r="M24" s="115"/>
      <c r="N24" s="115"/>
      <c r="O24" s="115"/>
      <c r="P24" s="104"/>
      <c r="Q24" s="244"/>
      <c r="R24" s="244"/>
      <c r="S24" s="244"/>
      <c r="T24" s="244"/>
      <c r="U24" s="244"/>
      <c r="V24" s="244"/>
      <c r="W24" s="244"/>
      <c r="X24" s="244"/>
      <c r="Y24" s="244"/>
      <c r="Z24" s="244"/>
    </row>
    <row r="25" spans="1:27" x14ac:dyDescent="0.25">
      <c r="A25" s="96">
        <f>ROW()</f>
        <v>25</v>
      </c>
      <c r="B25" s="272" t="s">
        <v>286</v>
      </c>
      <c r="C25" s="273"/>
      <c r="D25" s="274">
        <f>' Enrol &amp; Rev'!F34</f>
        <v>390.51</v>
      </c>
      <c r="E25" s="274">
        <f>' Enrol &amp; Rev'!G34</f>
        <v>390.51</v>
      </c>
      <c r="F25" s="274">
        <f>' Enrol &amp; Rev'!H34</f>
        <v>390.51</v>
      </c>
      <c r="G25" s="274">
        <f>' Enrol &amp; Rev'!I34</f>
        <v>390.51</v>
      </c>
      <c r="H25" s="274">
        <f>' Enrol &amp; Rev'!J34</f>
        <v>390.51</v>
      </c>
      <c r="I25" s="274">
        <f>' Enrol &amp; Rev'!K34</f>
        <v>390.51</v>
      </c>
      <c r="J25" s="274">
        <f>' Enrol &amp; Rev'!L34</f>
        <v>390.51</v>
      </c>
      <c r="K25" s="115"/>
      <c r="L25" s="115"/>
      <c r="M25" s="115"/>
      <c r="N25" s="115"/>
      <c r="O25" s="115"/>
      <c r="P25" s="104"/>
      <c r="Q25" s="244"/>
      <c r="R25" s="244"/>
      <c r="S25" s="244"/>
      <c r="T25" s="244"/>
      <c r="U25" s="244"/>
      <c r="V25" s="244"/>
      <c r="W25" s="244"/>
      <c r="X25" s="244"/>
      <c r="Y25" s="244"/>
      <c r="Z25" s="244"/>
    </row>
    <row r="26" spans="1:27" x14ac:dyDescent="0.25">
      <c r="A26" s="96">
        <f>ROW()</f>
        <v>26</v>
      </c>
      <c r="B26" s="275" t="s">
        <v>287</v>
      </c>
      <c r="C26" s="276"/>
      <c r="D26" s="277">
        <f>' Enrol &amp; Rev'!F35</f>
        <v>395.85</v>
      </c>
      <c r="E26" s="277">
        <f>' Enrol &amp; Rev'!G35</f>
        <v>395.85</v>
      </c>
      <c r="F26" s="277">
        <f>' Enrol &amp; Rev'!H35</f>
        <v>395.85</v>
      </c>
      <c r="G26" s="277">
        <f>' Enrol &amp; Rev'!I35</f>
        <v>395.85</v>
      </c>
      <c r="H26" s="277">
        <f>' Enrol &amp; Rev'!J35</f>
        <v>395.85</v>
      </c>
      <c r="I26" s="277">
        <f>' Enrol &amp; Rev'!K35</f>
        <v>395.85</v>
      </c>
      <c r="J26" s="277">
        <f>' Enrol &amp; Rev'!L35</f>
        <v>395.85</v>
      </c>
      <c r="K26" s="115"/>
      <c r="L26" s="115"/>
      <c r="M26" s="115"/>
      <c r="N26" s="115"/>
      <c r="O26" s="115"/>
      <c r="P26" s="104"/>
      <c r="Q26" s="244"/>
      <c r="R26" s="244"/>
      <c r="S26" s="244"/>
      <c r="T26" s="244"/>
      <c r="U26" s="244"/>
      <c r="V26" s="244"/>
      <c r="W26" s="244"/>
      <c r="X26" s="244"/>
      <c r="Y26" s="244"/>
      <c r="Z26" s="244"/>
    </row>
    <row r="27" spans="1:27" x14ac:dyDescent="0.25">
      <c r="A27" s="96">
        <f>ROW()</f>
        <v>27</v>
      </c>
      <c r="B27" s="278" t="s">
        <v>288</v>
      </c>
      <c r="C27" s="278"/>
      <c r="D27" s="279">
        <f t="shared" ref="D27:J27" si="2">SUM(D14:D26)</f>
        <v>2320.02</v>
      </c>
      <c r="E27" s="279">
        <f t="shared" si="2"/>
        <v>2320.02</v>
      </c>
      <c r="F27" s="279">
        <f t="shared" si="2"/>
        <v>2320.02</v>
      </c>
      <c r="G27" s="279">
        <f t="shared" si="2"/>
        <v>2320.02</v>
      </c>
      <c r="H27" s="279">
        <f t="shared" si="2"/>
        <v>2320.02</v>
      </c>
      <c r="I27" s="279">
        <f t="shared" si="2"/>
        <v>2320.02</v>
      </c>
      <c r="J27" s="279">
        <f t="shared" si="2"/>
        <v>2320.02</v>
      </c>
      <c r="K27" s="279"/>
      <c r="L27" s="279"/>
      <c r="M27" s="279"/>
      <c r="N27" s="279"/>
      <c r="O27" s="279"/>
      <c r="P27" s="104"/>
      <c r="Q27" s="244"/>
      <c r="R27" s="244"/>
      <c r="S27" s="244"/>
      <c r="T27" s="244"/>
      <c r="U27" s="244"/>
      <c r="V27" s="244"/>
      <c r="W27" s="244"/>
      <c r="X27" s="244"/>
      <c r="Y27" s="244"/>
      <c r="Z27" s="244"/>
    </row>
    <row r="28" spans="1:27" x14ac:dyDescent="0.25">
      <c r="A28" s="96">
        <f>ROW()</f>
        <v>28</v>
      </c>
      <c r="B28" s="266" t="s">
        <v>289</v>
      </c>
      <c r="C28" s="266"/>
      <c r="D28" s="280"/>
      <c r="E28" s="280">
        <f>IFERROR(E27/E12,0)</f>
        <v>100</v>
      </c>
      <c r="F28" s="280">
        <f t="shared" ref="F28:J28" si="3">IFERROR(F27/F12,0)</f>
        <v>100</v>
      </c>
      <c r="G28" s="280">
        <f t="shared" si="3"/>
        <v>100</v>
      </c>
      <c r="H28" s="280">
        <f t="shared" si="3"/>
        <v>100</v>
      </c>
      <c r="I28" s="280">
        <f t="shared" si="3"/>
        <v>100</v>
      </c>
      <c r="J28" s="280">
        <f t="shared" si="3"/>
        <v>100</v>
      </c>
      <c r="K28" s="280"/>
      <c r="L28" s="280"/>
      <c r="M28" s="280"/>
      <c r="N28" s="280"/>
      <c r="O28" s="280"/>
      <c r="P28" s="104"/>
      <c r="Q28" s="244"/>
      <c r="R28" s="244"/>
      <c r="S28" s="244"/>
      <c r="T28" s="244"/>
      <c r="U28" s="244"/>
      <c r="V28" s="244"/>
      <c r="W28" s="244"/>
      <c r="X28" s="244"/>
      <c r="Y28" s="244"/>
      <c r="Z28" s="244"/>
    </row>
    <row r="29" spans="1:27" x14ac:dyDescent="0.25">
      <c r="A29" s="96">
        <f>ROW()</f>
        <v>29</v>
      </c>
      <c r="B29" s="266" t="s">
        <v>290</v>
      </c>
      <c r="C29" s="266"/>
      <c r="D29" s="280"/>
      <c r="E29" s="281">
        <f>IFERROR(IF(AND(E27,$H$57)&gt;0,E27/$H57,0),0)</f>
        <v>1.0000086206896552</v>
      </c>
      <c r="F29" s="282">
        <f t="shared" ref="F29:J29" si="4">IFERROR(IF(AND(F27,$H$57)&gt;0,F27/$H57,0),0)</f>
        <v>1.0000086206896552</v>
      </c>
      <c r="G29" s="282">
        <f t="shared" si="4"/>
        <v>1.0000086206896552</v>
      </c>
      <c r="H29" s="282">
        <f t="shared" si="4"/>
        <v>1.0000086206896552</v>
      </c>
      <c r="I29" s="282">
        <f t="shared" si="4"/>
        <v>1.0000086206896552</v>
      </c>
      <c r="J29" s="282">
        <f t="shared" si="4"/>
        <v>1.0000086206896552</v>
      </c>
      <c r="K29" s="282"/>
      <c r="L29" s="282"/>
      <c r="M29" s="282"/>
      <c r="N29" s="282"/>
      <c r="O29" s="280"/>
      <c r="P29" s="104"/>
      <c r="Q29" s="244"/>
      <c r="R29" s="244"/>
      <c r="S29" s="244"/>
      <c r="T29" s="244"/>
      <c r="U29" s="244"/>
      <c r="V29" s="244"/>
      <c r="W29" s="244"/>
      <c r="X29" s="244"/>
      <c r="Y29" s="244"/>
      <c r="Z29" s="244"/>
    </row>
    <row r="30" spans="1:27" x14ac:dyDescent="0.25">
      <c r="A30" s="96">
        <f>ROW()</f>
        <v>30</v>
      </c>
      <c r="B30" s="266" t="s">
        <v>291</v>
      </c>
      <c r="C30" s="266"/>
      <c r="D30" s="280"/>
      <c r="E30" s="281">
        <f t="shared" ref="E30:J30" si="5">IFERROR(IF(AND(E27,$H$87)&gt;0,E27/$H87,0),0)</f>
        <v>1.0000086206896552</v>
      </c>
      <c r="F30" s="281">
        <f t="shared" si="5"/>
        <v>1.0000086206896552</v>
      </c>
      <c r="G30" s="281">
        <f t="shared" si="5"/>
        <v>1.0000086206896552</v>
      </c>
      <c r="H30" s="281">
        <f t="shared" si="5"/>
        <v>1.0000086206896552</v>
      </c>
      <c r="I30" s="281">
        <f t="shared" si="5"/>
        <v>1.0000086206896552</v>
      </c>
      <c r="J30" s="281">
        <f t="shared" si="5"/>
        <v>1.0000086206896552</v>
      </c>
      <c r="K30" s="281"/>
      <c r="L30" s="281"/>
      <c r="M30" s="281"/>
      <c r="N30" s="281"/>
      <c r="O30" s="280"/>
      <c r="P30" s="104"/>
      <c r="Q30" s="244"/>
      <c r="R30" s="244"/>
      <c r="S30" s="244"/>
      <c r="T30" s="244"/>
      <c r="U30" s="244"/>
      <c r="V30" s="244"/>
      <c r="W30" s="244"/>
      <c r="X30" s="244"/>
      <c r="Y30" s="244"/>
      <c r="Z30" s="244"/>
    </row>
    <row r="31" spans="1:27" x14ac:dyDescent="0.25">
      <c r="A31" s="96">
        <f>ROW()</f>
        <v>31</v>
      </c>
      <c r="B31" s="283" t="s">
        <v>292</v>
      </c>
      <c r="C31" s="266"/>
      <c r="D31" s="280"/>
      <c r="E31" s="281"/>
      <c r="F31" s="282"/>
      <c r="G31" s="282"/>
      <c r="H31" s="282"/>
      <c r="I31" s="282"/>
      <c r="J31" s="282"/>
      <c r="K31" s="282"/>
      <c r="L31" s="282"/>
      <c r="M31" s="282"/>
      <c r="N31" s="282"/>
      <c r="O31" s="280"/>
      <c r="P31" s="104"/>
      <c r="Q31" s="244"/>
      <c r="R31" s="244"/>
      <c r="S31" s="244"/>
      <c r="T31" s="244"/>
      <c r="U31" s="244"/>
      <c r="V31" s="244"/>
      <c r="W31" s="244"/>
      <c r="X31" s="244"/>
      <c r="Y31" s="244"/>
      <c r="Z31" s="244"/>
    </row>
    <row r="32" spans="1:27" x14ac:dyDescent="0.25">
      <c r="A32" s="96"/>
      <c r="B32" s="284"/>
      <c r="C32" s="284"/>
      <c r="D32" s="284"/>
      <c r="E32" s="266"/>
      <c r="F32" s="285"/>
      <c r="G32" s="286"/>
      <c r="H32" s="286"/>
      <c r="I32" s="286"/>
      <c r="J32" s="286"/>
      <c r="K32" s="286"/>
      <c r="L32" s="286"/>
      <c r="M32" s="286"/>
      <c r="N32" s="286"/>
      <c r="O32" s="286"/>
      <c r="P32" s="104"/>
      <c r="Q32" s="244"/>
      <c r="R32" s="244"/>
      <c r="S32" s="244"/>
      <c r="T32" s="244"/>
      <c r="U32" s="244"/>
      <c r="V32" s="244"/>
      <c r="W32" s="244"/>
      <c r="X32" s="244"/>
      <c r="Y32" s="244"/>
      <c r="Z32" s="244"/>
    </row>
    <row r="33" spans="1:26" ht="15.75" x14ac:dyDescent="0.25">
      <c r="A33" s="287" t="s">
        <v>293</v>
      </c>
      <c r="B33" s="284"/>
      <c r="C33" s="284"/>
      <c r="D33" s="284"/>
      <c r="F33" s="285"/>
      <c r="G33" s="286"/>
      <c r="H33" s="286"/>
      <c r="P33" s="104"/>
      <c r="Q33" s="244"/>
      <c r="R33" s="244"/>
      <c r="S33" s="244"/>
      <c r="T33" s="244"/>
      <c r="U33" s="244"/>
      <c r="V33" s="244"/>
      <c r="W33" s="244"/>
      <c r="X33" s="244"/>
      <c r="Y33" s="244"/>
      <c r="Z33" s="244"/>
    </row>
    <row r="34" spans="1:26" ht="43.5" x14ac:dyDescent="0.25">
      <c r="A34" s="288"/>
      <c r="B34" s="1611" t="s">
        <v>294</v>
      </c>
      <c r="C34" s="1611"/>
      <c r="D34" s="289"/>
      <c r="E34" s="290" t="s">
        <v>295</v>
      </c>
      <c r="F34" s="291" t="s">
        <v>296</v>
      </c>
      <c r="G34" s="292" t="s">
        <v>297</v>
      </c>
      <c r="H34" s="290" t="s">
        <v>298</v>
      </c>
      <c r="I34" s="293" t="s">
        <v>299</v>
      </c>
      <c r="O34" s="294"/>
      <c r="P34" s="295" t="s">
        <v>300</v>
      </c>
      <c r="Q34" s="244"/>
      <c r="R34" s="244"/>
      <c r="S34" s="244"/>
      <c r="T34" s="244"/>
      <c r="U34" s="244"/>
      <c r="V34" s="244"/>
      <c r="W34" s="244"/>
      <c r="X34" s="244"/>
      <c r="Y34" s="244"/>
      <c r="Z34" s="244"/>
    </row>
    <row r="35" spans="1:26" x14ac:dyDescent="0.25">
      <c r="A35" s="296">
        <f>ROW()</f>
        <v>35</v>
      </c>
      <c r="B35" s="1612" t="s">
        <v>301</v>
      </c>
      <c r="C35" s="1612"/>
      <c r="D35" s="1612"/>
      <c r="E35" s="297"/>
      <c r="F35" s="297"/>
      <c r="G35" s="298"/>
      <c r="H35" s="299"/>
      <c r="I35" s="300"/>
      <c r="O35" s="294"/>
      <c r="P35" s="104" t="s">
        <v>302</v>
      </c>
      <c r="Q35" s="244"/>
      <c r="R35" s="244"/>
      <c r="S35" s="244"/>
      <c r="T35" s="244"/>
      <c r="U35" s="244"/>
      <c r="V35" s="244"/>
      <c r="W35" s="244"/>
      <c r="X35" s="244"/>
      <c r="Y35" s="244"/>
      <c r="Z35" s="244"/>
    </row>
    <row r="36" spans="1:26" x14ac:dyDescent="0.25">
      <c r="A36" s="301">
        <f>ROW()</f>
        <v>36</v>
      </c>
      <c r="B36" s="1610" t="s">
        <v>1389</v>
      </c>
      <c r="C36" s="1610"/>
      <c r="D36" s="1610"/>
      <c r="E36" s="303"/>
      <c r="F36" s="303"/>
      <c r="G36" s="304"/>
      <c r="H36" s="305">
        <v>2320</v>
      </c>
      <c r="I36" s="306">
        <v>4</v>
      </c>
      <c r="O36" s="294"/>
      <c r="P36" s="104"/>
      <c r="Q36" s="244"/>
      <c r="R36" s="244"/>
      <c r="S36" s="244"/>
      <c r="T36" s="244"/>
      <c r="U36" s="244"/>
      <c r="V36" s="244"/>
      <c r="W36" s="244"/>
      <c r="X36" s="244"/>
      <c r="Y36" s="244"/>
      <c r="Z36" s="244"/>
    </row>
    <row r="37" spans="1:26" x14ac:dyDescent="0.25">
      <c r="A37" s="301">
        <f>ROW()</f>
        <v>37</v>
      </c>
      <c r="B37" s="1610"/>
      <c r="C37" s="1610"/>
      <c r="D37" s="1610"/>
      <c r="E37" s="303"/>
      <c r="F37" s="303"/>
      <c r="G37" s="304"/>
      <c r="H37" s="305"/>
      <c r="I37" s="306"/>
      <c r="O37" s="294"/>
      <c r="P37" s="104"/>
      <c r="Q37" s="244"/>
      <c r="R37" s="244"/>
      <c r="S37" s="244"/>
      <c r="T37" s="244"/>
      <c r="U37" s="244"/>
      <c r="V37" s="244"/>
      <c r="W37" s="244"/>
      <c r="X37" s="244"/>
      <c r="Y37" s="244"/>
      <c r="Z37" s="244"/>
    </row>
    <row r="38" spans="1:26" x14ac:dyDescent="0.25">
      <c r="A38" s="301">
        <f>ROW()</f>
        <v>38</v>
      </c>
      <c r="B38" s="302"/>
      <c r="C38" s="302"/>
      <c r="D38" s="302"/>
      <c r="E38" s="303"/>
      <c r="F38" s="303"/>
      <c r="G38" s="304"/>
      <c r="H38" s="305"/>
      <c r="I38" s="306"/>
      <c r="O38" s="294"/>
      <c r="P38" s="104"/>
      <c r="Q38" s="244"/>
      <c r="R38" s="244"/>
      <c r="S38" s="244"/>
      <c r="T38" s="244"/>
      <c r="U38" s="244"/>
      <c r="V38" s="244"/>
      <c r="W38" s="244"/>
      <c r="X38" s="244"/>
      <c r="Y38" s="244"/>
      <c r="Z38" s="244"/>
    </row>
    <row r="39" spans="1:26" x14ac:dyDescent="0.25">
      <c r="A39" s="301">
        <f>ROW()</f>
        <v>39</v>
      </c>
      <c r="B39" s="1610"/>
      <c r="C39" s="1610"/>
      <c r="D39" s="1610"/>
      <c r="E39" s="303"/>
      <c r="F39" s="303"/>
      <c r="G39" s="304"/>
      <c r="H39" s="305"/>
      <c r="I39" s="306"/>
      <c r="O39" s="294"/>
      <c r="P39" s="104"/>
      <c r="Q39" s="244"/>
      <c r="R39" s="244"/>
      <c r="S39" s="244"/>
      <c r="T39" s="244"/>
      <c r="U39" s="244"/>
      <c r="V39" s="244"/>
      <c r="W39" s="244"/>
      <c r="X39" s="244"/>
      <c r="Y39" s="244"/>
      <c r="Z39" s="244"/>
    </row>
    <row r="40" spans="1:26" x14ac:dyDescent="0.25">
      <c r="A40" s="301">
        <f>ROW()</f>
        <v>40</v>
      </c>
      <c r="B40" s="1610"/>
      <c r="C40" s="1610"/>
      <c r="D40" s="1610"/>
      <c r="E40" s="303"/>
      <c r="F40" s="303"/>
      <c r="G40" s="304"/>
      <c r="H40" s="305">
        <v>0</v>
      </c>
      <c r="I40" s="306">
        <v>0</v>
      </c>
      <c r="O40" s="294"/>
      <c r="P40" s="104"/>
      <c r="Q40" s="244"/>
      <c r="R40" s="244"/>
      <c r="S40" s="244"/>
      <c r="T40" s="244"/>
      <c r="U40" s="244"/>
      <c r="V40" s="244"/>
      <c r="W40" s="244"/>
      <c r="X40" s="244"/>
      <c r="Y40" s="244"/>
      <c r="Z40" s="244"/>
    </row>
    <row r="41" spans="1:26" x14ac:dyDescent="0.25">
      <c r="A41" s="301">
        <f>ROW()</f>
        <v>41</v>
      </c>
      <c r="B41" s="302"/>
      <c r="C41" s="302"/>
      <c r="D41" s="302"/>
      <c r="E41" s="303"/>
      <c r="F41" s="303"/>
      <c r="G41" s="304"/>
      <c r="H41" s="305">
        <v>0</v>
      </c>
      <c r="I41" s="306">
        <v>0</v>
      </c>
      <c r="O41" s="294"/>
      <c r="P41" s="104"/>
      <c r="Q41" s="244"/>
      <c r="R41" s="244"/>
      <c r="S41" s="244"/>
      <c r="T41" s="244"/>
      <c r="U41" s="244"/>
      <c r="V41" s="244"/>
      <c r="W41" s="244"/>
      <c r="X41" s="244"/>
      <c r="Y41" s="244"/>
      <c r="Z41" s="244"/>
    </row>
    <row r="42" spans="1:26" x14ac:dyDescent="0.25">
      <c r="A42" s="301">
        <f>ROW()</f>
        <v>42</v>
      </c>
      <c r="B42" s="302"/>
      <c r="C42" s="302"/>
      <c r="D42" s="302"/>
      <c r="E42" s="303"/>
      <c r="F42" s="303"/>
      <c r="G42" s="304"/>
      <c r="H42" s="305">
        <v>0</v>
      </c>
      <c r="I42" s="306">
        <v>0</v>
      </c>
      <c r="O42" s="294"/>
      <c r="P42" s="104"/>
      <c r="Q42" s="244"/>
      <c r="R42" s="244"/>
      <c r="S42" s="244"/>
      <c r="T42" s="244"/>
      <c r="U42" s="244"/>
      <c r="V42" s="244"/>
      <c r="W42" s="244"/>
      <c r="X42" s="244"/>
      <c r="Y42" s="244"/>
      <c r="Z42" s="244"/>
    </row>
    <row r="43" spans="1:26" x14ac:dyDescent="0.25">
      <c r="A43" s="301">
        <f>ROW()</f>
        <v>43</v>
      </c>
      <c r="B43" s="302"/>
      <c r="C43" s="302"/>
      <c r="D43" s="302"/>
      <c r="E43" s="303"/>
      <c r="F43" s="303"/>
      <c r="G43" s="304"/>
      <c r="H43" s="305">
        <v>0</v>
      </c>
      <c r="I43" s="306">
        <v>0</v>
      </c>
      <c r="O43" s="294"/>
      <c r="P43" s="104"/>
      <c r="Q43" s="244"/>
      <c r="R43" s="244"/>
      <c r="S43" s="244"/>
      <c r="T43" s="244"/>
      <c r="U43" s="244"/>
      <c r="V43" s="244"/>
      <c r="W43" s="244"/>
      <c r="X43" s="244"/>
      <c r="Y43" s="244"/>
      <c r="Z43" s="244"/>
    </row>
    <row r="44" spans="1:26" x14ac:dyDescent="0.25">
      <c r="A44" s="301">
        <f>ROW()</f>
        <v>44</v>
      </c>
      <c r="B44" s="1610"/>
      <c r="C44" s="1610"/>
      <c r="D44" s="1610"/>
      <c r="E44" s="303"/>
      <c r="F44" s="303"/>
      <c r="G44" s="304"/>
      <c r="H44" s="305">
        <v>0</v>
      </c>
      <c r="I44" s="306">
        <v>0</v>
      </c>
      <c r="O44" s="294"/>
      <c r="P44" s="104"/>
      <c r="Q44" s="244"/>
      <c r="R44" s="244"/>
      <c r="S44" s="244"/>
      <c r="T44" s="244"/>
      <c r="U44" s="244"/>
      <c r="V44" s="244"/>
      <c r="W44" s="244"/>
      <c r="X44" s="244"/>
      <c r="Y44" s="244"/>
      <c r="Z44" s="244"/>
    </row>
    <row r="45" spans="1:26" x14ac:dyDescent="0.25">
      <c r="A45" s="301">
        <f>ROW()</f>
        <v>45</v>
      </c>
      <c r="B45" s="1610"/>
      <c r="C45" s="1610"/>
      <c r="D45" s="1610"/>
      <c r="E45" s="303"/>
      <c r="F45" s="303"/>
      <c r="G45" s="304"/>
      <c r="H45" s="305">
        <v>0</v>
      </c>
      <c r="I45" s="306">
        <v>0</v>
      </c>
      <c r="O45" s="294"/>
      <c r="P45" s="104"/>
      <c r="Q45" s="244"/>
      <c r="R45" s="244"/>
      <c r="S45" s="244"/>
      <c r="T45" s="244"/>
      <c r="U45" s="244"/>
      <c r="V45" s="244"/>
      <c r="W45" s="244"/>
      <c r="X45" s="244"/>
      <c r="Y45" s="244"/>
      <c r="Z45" s="244"/>
    </row>
    <row r="46" spans="1:26" x14ac:dyDescent="0.25">
      <c r="A46" s="301">
        <f>ROW()</f>
        <v>46</v>
      </c>
      <c r="B46" s="307" t="s">
        <v>303</v>
      </c>
      <c r="C46" s="308"/>
      <c r="D46" s="308"/>
      <c r="E46" s="309"/>
      <c r="F46" s="309"/>
      <c r="G46" s="310"/>
      <c r="H46" s="311"/>
      <c r="I46" s="312"/>
      <c r="O46" s="294"/>
      <c r="P46" s="104"/>
      <c r="Q46" s="244"/>
      <c r="R46" s="244"/>
      <c r="S46" s="244"/>
      <c r="T46" s="244"/>
      <c r="U46" s="244"/>
      <c r="V46" s="244"/>
      <c r="W46" s="244"/>
      <c r="X46" s="244"/>
      <c r="Y46" s="244"/>
      <c r="Z46" s="244"/>
    </row>
    <row r="47" spans="1:26" x14ac:dyDescent="0.25">
      <c r="A47" s="301">
        <f>ROW()</f>
        <v>47</v>
      </c>
      <c r="B47" s="302" t="s">
        <v>1420</v>
      </c>
      <c r="C47" s="302"/>
      <c r="D47" s="302"/>
      <c r="E47" s="303"/>
      <c r="F47" s="303"/>
      <c r="G47" s="304"/>
      <c r="H47" s="305">
        <v>0</v>
      </c>
      <c r="I47" s="306">
        <v>0</v>
      </c>
      <c r="O47" s="294"/>
      <c r="P47" s="104"/>
      <c r="Q47" s="244"/>
      <c r="R47" s="244"/>
      <c r="S47" s="244"/>
      <c r="T47" s="244"/>
      <c r="U47" s="244"/>
      <c r="V47" s="244"/>
      <c r="W47" s="244"/>
      <c r="X47" s="244"/>
      <c r="Y47" s="244"/>
      <c r="Z47" s="244"/>
    </row>
    <row r="48" spans="1:26" x14ac:dyDescent="0.25">
      <c r="A48" s="301">
        <f>ROW()</f>
        <v>48</v>
      </c>
      <c r="B48" s="302" t="s">
        <v>1421</v>
      </c>
      <c r="C48" s="302"/>
      <c r="D48" s="302"/>
      <c r="E48" s="303"/>
      <c r="F48" s="303"/>
      <c r="G48" s="304"/>
      <c r="H48" s="305">
        <v>0</v>
      </c>
      <c r="I48" s="306">
        <v>0</v>
      </c>
      <c r="O48" s="294"/>
      <c r="P48" s="104"/>
      <c r="Q48" s="244"/>
      <c r="R48" s="244"/>
      <c r="S48" s="244"/>
      <c r="T48" s="244"/>
      <c r="U48" s="244"/>
      <c r="V48" s="244"/>
      <c r="W48" s="244"/>
      <c r="X48" s="244"/>
      <c r="Y48" s="244"/>
      <c r="Z48" s="244"/>
    </row>
    <row r="49" spans="1:26" x14ac:dyDescent="0.25">
      <c r="A49" s="313">
        <f>ROW()</f>
        <v>49</v>
      </c>
      <c r="B49" s="314"/>
      <c r="C49" s="314"/>
      <c r="D49" s="314"/>
      <c r="E49" s="315"/>
      <c r="F49" s="315"/>
      <c r="G49" s="316"/>
      <c r="H49" s="317">
        <v>0</v>
      </c>
      <c r="I49" s="318">
        <v>0</v>
      </c>
      <c r="O49" s="294"/>
      <c r="P49" s="104"/>
      <c r="Q49" s="244"/>
      <c r="R49" s="244"/>
      <c r="S49" s="244"/>
      <c r="T49" s="244"/>
      <c r="U49" s="244"/>
      <c r="V49" s="244"/>
      <c r="W49" s="244"/>
      <c r="X49" s="244"/>
      <c r="Y49" s="244"/>
      <c r="Z49" s="244"/>
    </row>
    <row r="50" spans="1:26" x14ac:dyDescent="0.25">
      <c r="A50" s="313">
        <f>ROW()</f>
        <v>50</v>
      </c>
      <c r="B50" s="314"/>
      <c r="C50" s="314"/>
      <c r="D50" s="314"/>
      <c r="E50" s="315"/>
      <c r="F50" s="315"/>
      <c r="G50" s="316"/>
      <c r="H50" s="317">
        <v>0</v>
      </c>
      <c r="I50" s="318">
        <v>0</v>
      </c>
      <c r="O50" s="294"/>
      <c r="P50" s="104"/>
      <c r="Q50" s="244"/>
      <c r="R50" s="244"/>
      <c r="S50" s="244"/>
      <c r="T50" s="244"/>
      <c r="U50" s="244"/>
      <c r="V50" s="244"/>
      <c r="W50" s="244"/>
      <c r="X50" s="244"/>
      <c r="Y50" s="244"/>
      <c r="Z50" s="244"/>
    </row>
    <row r="51" spans="1:26" x14ac:dyDescent="0.25">
      <c r="A51" s="313">
        <f>ROW()</f>
        <v>51</v>
      </c>
      <c r="B51" s="314"/>
      <c r="C51" s="314"/>
      <c r="D51" s="314"/>
      <c r="E51" s="315"/>
      <c r="F51" s="315"/>
      <c r="G51" s="316"/>
      <c r="H51" s="317">
        <v>0</v>
      </c>
      <c r="I51" s="318">
        <v>0</v>
      </c>
      <c r="O51" s="294"/>
      <c r="P51" s="104"/>
      <c r="Q51" s="244"/>
      <c r="R51" s="244"/>
      <c r="S51" s="244"/>
      <c r="T51" s="244"/>
      <c r="U51" s="244"/>
      <c r="V51" s="244"/>
      <c r="W51" s="244"/>
      <c r="X51" s="244"/>
      <c r="Y51" s="244"/>
      <c r="Z51" s="244"/>
    </row>
    <row r="52" spans="1:26" x14ac:dyDescent="0.25">
      <c r="A52" s="313">
        <f>ROW()</f>
        <v>52</v>
      </c>
      <c r="B52" s="314"/>
      <c r="C52" s="314"/>
      <c r="D52" s="314"/>
      <c r="E52" s="315"/>
      <c r="F52" s="315"/>
      <c r="G52" s="316"/>
      <c r="H52" s="317">
        <v>0</v>
      </c>
      <c r="I52" s="318">
        <v>0</v>
      </c>
      <c r="O52" s="294"/>
      <c r="P52" s="104"/>
      <c r="Q52" s="244"/>
      <c r="R52" s="244"/>
      <c r="S52" s="244"/>
      <c r="T52" s="244"/>
      <c r="U52" s="244"/>
      <c r="V52" s="244"/>
      <c r="W52" s="244"/>
      <c r="X52" s="244"/>
      <c r="Y52" s="244"/>
      <c r="Z52" s="244"/>
    </row>
    <row r="53" spans="1:26" x14ac:dyDescent="0.25">
      <c r="A53" s="313">
        <f>ROW()</f>
        <v>53</v>
      </c>
      <c r="B53" s="314"/>
      <c r="C53" s="314"/>
      <c r="D53" s="314"/>
      <c r="E53" s="315"/>
      <c r="F53" s="315"/>
      <c r="G53" s="316"/>
      <c r="H53" s="317">
        <v>0</v>
      </c>
      <c r="I53" s="318">
        <v>0</v>
      </c>
      <c r="O53" s="294"/>
      <c r="P53" s="104"/>
      <c r="Q53" s="244"/>
      <c r="R53" s="244"/>
      <c r="S53" s="244"/>
      <c r="T53" s="244"/>
      <c r="U53" s="244"/>
      <c r="V53" s="244"/>
      <c r="W53" s="244"/>
      <c r="X53" s="244"/>
      <c r="Y53" s="244"/>
      <c r="Z53" s="244"/>
    </row>
    <row r="54" spans="1:26" x14ac:dyDescent="0.25">
      <c r="A54" s="313">
        <f>ROW()</f>
        <v>54</v>
      </c>
      <c r="B54" s="314"/>
      <c r="C54" s="314"/>
      <c r="D54" s="314"/>
      <c r="E54" s="315"/>
      <c r="F54" s="315"/>
      <c r="G54" s="316"/>
      <c r="H54" s="317">
        <v>0</v>
      </c>
      <c r="I54" s="318">
        <v>0</v>
      </c>
      <c r="O54" s="294"/>
      <c r="P54" s="104"/>
      <c r="Q54" s="244"/>
      <c r="R54" s="244"/>
      <c r="S54" s="244"/>
      <c r="T54" s="244"/>
      <c r="U54" s="244"/>
      <c r="V54" s="244"/>
      <c r="W54" s="244"/>
      <c r="X54" s="244"/>
      <c r="Y54" s="244"/>
      <c r="Z54" s="244"/>
    </row>
    <row r="55" spans="1:26" x14ac:dyDescent="0.25">
      <c r="A55" s="313">
        <f>ROW()</f>
        <v>55</v>
      </c>
      <c r="B55" s="314"/>
      <c r="C55" s="314"/>
      <c r="D55" s="314"/>
      <c r="E55" s="315"/>
      <c r="F55" s="315"/>
      <c r="G55" s="316"/>
      <c r="H55" s="317">
        <v>0</v>
      </c>
      <c r="I55" s="318">
        <v>0</v>
      </c>
      <c r="O55" s="294"/>
      <c r="P55" s="104"/>
      <c r="Q55" s="244"/>
      <c r="R55" s="244"/>
      <c r="S55" s="244"/>
      <c r="T55" s="244"/>
      <c r="U55" s="244"/>
      <c r="V55" s="244"/>
      <c r="W55" s="244"/>
      <c r="X55" s="244"/>
      <c r="Y55" s="244"/>
      <c r="Z55" s="244"/>
    </row>
    <row r="56" spans="1:26" x14ac:dyDescent="0.25">
      <c r="A56" s="319">
        <f>ROW()</f>
        <v>56</v>
      </c>
      <c r="B56" s="314"/>
      <c r="C56" s="314"/>
      <c r="D56" s="314"/>
      <c r="E56" s="315"/>
      <c r="F56" s="315"/>
      <c r="G56" s="316"/>
      <c r="H56" s="317">
        <v>0</v>
      </c>
      <c r="I56" s="320">
        <v>0</v>
      </c>
      <c r="O56" s="294"/>
      <c r="P56" s="104"/>
      <c r="Q56" s="244"/>
      <c r="R56" s="244"/>
      <c r="S56" s="244"/>
      <c r="T56" s="244"/>
      <c r="U56" s="244"/>
      <c r="V56" s="244"/>
      <c r="W56" s="244"/>
      <c r="X56" s="244"/>
      <c r="Y56" s="244"/>
      <c r="Z56" s="244"/>
    </row>
    <row r="57" spans="1:26" x14ac:dyDescent="0.25">
      <c r="A57" s="301">
        <f>ROW()</f>
        <v>57</v>
      </c>
      <c r="B57" s="321"/>
      <c r="C57" s="321"/>
      <c r="D57" s="321"/>
      <c r="E57" s="321"/>
      <c r="F57" s="322"/>
      <c r="G57" s="180"/>
      <c r="H57" s="322">
        <f>SUM(H35:H56)</f>
        <v>2320</v>
      </c>
      <c r="I57" s="323">
        <f>IFERROR(SUMPRODUCT(H35:H56,I35:I56)/H57,0)</f>
        <v>4</v>
      </c>
      <c r="O57" s="324"/>
      <c r="P57" s="104"/>
      <c r="Q57" s="244"/>
      <c r="R57" s="244"/>
      <c r="S57" s="244"/>
      <c r="T57" s="244"/>
      <c r="U57" s="244"/>
      <c r="V57" s="244"/>
      <c r="W57" s="244"/>
      <c r="X57" s="244"/>
      <c r="Y57" s="244"/>
      <c r="Z57" s="244"/>
    </row>
    <row r="58" spans="1:26" x14ac:dyDescent="0.25">
      <c r="A58" s="301">
        <f>ROW()</f>
        <v>58</v>
      </c>
      <c r="B58" s="325" t="s">
        <v>304</v>
      </c>
      <c r="C58" s="326"/>
      <c r="D58" s="326"/>
      <c r="E58" s="149"/>
      <c r="F58" s="327"/>
      <c r="G58" s="327"/>
      <c r="H58" s="328"/>
      <c r="I58" s="329"/>
      <c r="O58" s="324"/>
      <c r="P58" s="104"/>
      <c r="Q58" s="244"/>
      <c r="R58" s="244"/>
      <c r="S58" s="244"/>
      <c r="T58" s="244"/>
      <c r="U58" s="244"/>
      <c r="V58" s="244"/>
      <c r="W58" s="244"/>
      <c r="X58" s="244"/>
      <c r="Y58" s="244"/>
      <c r="Z58" s="244"/>
    </row>
    <row r="59" spans="1:26" x14ac:dyDescent="0.25">
      <c r="A59" s="301">
        <f>ROW()</f>
        <v>59</v>
      </c>
      <c r="B59" s="283" t="s">
        <v>305</v>
      </c>
      <c r="C59" s="266"/>
      <c r="D59" s="266"/>
      <c r="E59" s="266"/>
      <c r="F59" s="330"/>
      <c r="G59" s="330"/>
      <c r="H59" s="331"/>
      <c r="I59" s="332"/>
      <c r="O59" s="324"/>
      <c r="P59" s="104"/>
      <c r="Q59" s="244"/>
      <c r="R59" s="244"/>
      <c r="S59" s="244"/>
      <c r="T59" s="244"/>
      <c r="U59" s="244"/>
      <c r="V59" s="244"/>
      <c r="W59" s="244"/>
      <c r="X59" s="244"/>
      <c r="Y59" s="244"/>
      <c r="Z59" s="244"/>
    </row>
    <row r="60" spans="1:26" ht="15.75" x14ac:dyDescent="0.25">
      <c r="A60" s="301">
        <f>ROW()</f>
        <v>60</v>
      </c>
      <c r="B60" s="333" t="s">
        <v>306</v>
      </c>
      <c r="C60" s="266"/>
      <c r="D60" s="266"/>
      <c r="E60" s="266"/>
      <c r="F60" s="330"/>
      <c r="G60" s="330"/>
      <c r="H60" s="331"/>
      <c r="I60" s="332"/>
      <c r="O60" s="324"/>
      <c r="P60" s="104"/>
      <c r="Q60" s="244"/>
      <c r="R60" s="244"/>
      <c r="S60" s="244"/>
      <c r="T60" s="244"/>
      <c r="U60" s="244"/>
      <c r="V60" s="244"/>
      <c r="W60" s="244"/>
      <c r="X60" s="244"/>
      <c r="Y60" s="244"/>
      <c r="Z60" s="244"/>
    </row>
    <row r="61" spans="1:26" ht="15.75" x14ac:dyDescent="0.25">
      <c r="A61" s="301">
        <f>ROW()</f>
        <v>61</v>
      </c>
      <c r="B61" s="333" t="s">
        <v>307</v>
      </c>
      <c r="C61" s="266"/>
      <c r="D61" s="266"/>
      <c r="E61" s="266"/>
      <c r="F61" s="330"/>
      <c r="G61" s="330"/>
      <c r="H61" s="331"/>
      <c r="I61" s="332"/>
      <c r="O61" s="324"/>
      <c r="P61" s="104"/>
      <c r="Q61" s="244"/>
      <c r="R61" s="244"/>
      <c r="S61" s="244"/>
      <c r="T61" s="244"/>
      <c r="U61" s="244"/>
      <c r="V61" s="244"/>
      <c r="W61" s="244"/>
      <c r="X61" s="244"/>
      <c r="Y61" s="244"/>
      <c r="Z61" s="244"/>
    </row>
    <row r="62" spans="1:26" x14ac:dyDescent="0.25">
      <c r="A62" s="301">
        <f>ROW()</f>
        <v>62</v>
      </c>
      <c r="B62" s="266" t="s">
        <v>308</v>
      </c>
      <c r="C62" s="266"/>
      <c r="D62" s="266"/>
      <c r="E62" s="266"/>
      <c r="F62" s="330"/>
      <c r="G62" s="330"/>
      <c r="H62" s="331"/>
      <c r="I62" s="332"/>
      <c r="O62" s="324"/>
      <c r="P62" s="104"/>
      <c r="Q62" s="244"/>
      <c r="R62" s="244"/>
      <c r="S62" s="244"/>
      <c r="T62" s="244"/>
      <c r="U62" s="244"/>
      <c r="V62" s="244"/>
      <c r="W62" s="244"/>
      <c r="X62" s="244"/>
      <c r="Y62" s="244"/>
      <c r="Z62" s="244"/>
    </row>
    <row r="63" spans="1:26" x14ac:dyDescent="0.25">
      <c r="A63" s="301">
        <f>ROW()</f>
        <v>63</v>
      </c>
      <c r="B63" s="283" t="s">
        <v>309</v>
      </c>
      <c r="C63" s="266"/>
      <c r="D63" s="266"/>
      <c r="E63" s="266"/>
      <c r="F63" s="330"/>
      <c r="G63" s="330"/>
      <c r="H63" s="331"/>
      <c r="I63" s="332"/>
      <c r="O63" s="324"/>
      <c r="P63" s="104"/>
      <c r="Q63" s="244"/>
      <c r="R63" s="244"/>
      <c r="S63" s="244"/>
      <c r="T63" s="244"/>
      <c r="U63" s="244"/>
      <c r="V63" s="244"/>
      <c r="W63" s="244"/>
      <c r="X63" s="244"/>
      <c r="Y63" s="244"/>
      <c r="Z63" s="244"/>
    </row>
    <row r="64" spans="1:26" x14ac:dyDescent="0.25">
      <c r="A64" s="319">
        <f>ROW()</f>
        <v>64</v>
      </c>
      <c r="B64" s="266"/>
      <c r="C64" s="266"/>
      <c r="D64" s="266"/>
      <c r="E64" s="266"/>
      <c r="F64" s="330"/>
      <c r="G64" s="330"/>
      <c r="H64" s="331"/>
      <c r="I64" s="332"/>
      <c r="O64" s="324"/>
      <c r="P64" s="104"/>
      <c r="Q64" s="244"/>
      <c r="R64" s="244"/>
      <c r="S64" s="244"/>
      <c r="T64" s="244"/>
      <c r="U64" s="244"/>
      <c r="V64" s="244"/>
      <c r="W64" s="244"/>
      <c r="X64" s="244"/>
      <c r="Y64" s="244"/>
      <c r="Z64" s="244"/>
    </row>
    <row r="65" spans="1:26" ht="15.75" x14ac:dyDescent="0.25">
      <c r="A65" s="287" t="s">
        <v>310</v>
      </c>
      <c r="B65" s="334"/>
      <c r="C65" s="334"/>
      <c r="D65" s="334"/>
      <c r="E65" s="335"/>
      <c r="F65" s="336"/>
      <c r="G65" s="337"/>
      <c r="H65" s="337"/>
      <c r="I65" s="332"/>
      <c r="P65" s="104"/>
      <c r="Q65" s="244"/>
      <c r="R65" s="244"/>
      <c r="S65" s="244"/>
      <c r="T65" s="244"/>
      <c r="U65" s="244"/>
      <c r="V65" s="244"/>
      <c r="W65" s="244"/>
      <c r="X65" s="244"/>
      <c r="Y65" s="244"/>
      <c r="Z65" s="244"/>
    </row>
    <row r="66" spans="1:26" ht="43.5" x14ac:dyDescent="0.25">
      <c r="A66" s="319">
        <f>ROW()</f>
        <v>66</v>
      </c>
      <c r="B66" s="1611" t="s">
        <v>294</v>
      </c>
      <c r="C66" s="1611"/>
      <c r="D66" s="338"/>
      <c r="E66" s="339" t="s">
        <v>295</v>
      </c>
      <c r="F66" s="340" t="s">
        <v>296</v>
      </c>
      <c r="G66" s="341" t="s">
        <v>311</v>
      </c>
      <c r="H66" s="341" t="s">
        <v>312</v>
      </c>
      <c r="I66" s="293" t="s">
        <v>299</v>
      </c>
      <c r="P66" s="295" t="s">
        <v>313</v>
      </c>
      <c r="Q66" s="244"/>
      <c r="R66" s="244"/>
      <c r="S66" s="244"/>
      <c r="T66" s="244"/>
      <c r="U66" s="244"/>
      <c r="V66" s="244"/>
      <c r="W66" s="244"/>
      <c r="X66" s="244"/>
      <c r="Y66" s="244"/>
      <c r="Z66" s="244"/>
    </row>
    <row r="67" spans="1:26" x14ac:dyDescent="0.25">
      <c r="A67" s="342">
        <f>ROW()</f>
        <v>67</v>
      </c>
      <c r="B67" s="1612" t="s">
        <v>301</v>
      </c>
      <c r="C67" s="1612"/>
      <c r="D67" s="1612"/>
      <c r="E67" s="297"/>
      <c r="F67" s="297"/>
      <c r="G67" s="298"/>
      <c r="H67" s="299"/>
      <c r="I67" s="300"/>
      <c r="P67" s="104"/>
      <c r="Q67" s="244"/>
      <c r="R67" s="244"/>
      <c r="S67" s="244"/>
      <c r="T67" s="244"/>
      <c r="U67" s="244"/>
      <c r="V67" s="244"/>
      <c r="W67" s="244"/>
      <c r="X67" s="244"/>
      <c r="Y67" s="244"/>
      <c r="Z67" s="244"/>
    </row>
    <row r="68" spans="1:26" x14ac:dyDescent="0.25">
      <c r="A68" s="301">
        <f>ROW()</f>
        <v>68</v>
      </c>
      <c r="B68" s="1610" t="s">
        <v>1389</v>
      </c>
      <c r="C68" s="1610"/>
      <c r="D68" s="1610"/>
      <c r="E68" s="303"/>
      <c r="F68" s="303"/>
      <c r="G68" s="304"/>
      <c r="H68" s="305">
        <v>2320</v>
      </c>
      <c r="I68" s="306">
        <v>0</v>
      </c>
      <c r="P68" s="104"/>
      <c r="Q68" s="244"/>
      <c r="R68" s="244"/>
      <c r="S68" s="244"/>
      <c r="T68" s="244"/>
      <c r="U68" s="244"/>
      <c r="V68" s="244"/>
      <c r="W68" s="244"/>
      <c r="X68" s="244"/>
      <c r="Y68" s="244"/>
      <c r="Z68" s="244"/>
    </row>
    <row r="69" spans="1:26" x14ac:dyDescent="0.25">
      <c r="A69" s="301">
        <f>ROW()</f>
        <v>69</v>
      </c>
      <c r="B69" s="302"/>
      <c r="C69" s="302"/>
      <c r="D69" s="302"/>
      <c r="E69" s="303"/>
      <c r="F69" s="303"/>
      <c r="G69" s="304"/>
      <c r="H69" s="305">
        <v>0</v>
      </c>
      <c r="I69" s="306">
        <v>0</v>
      </c>
      <c r="P69" s="104"/>
      <c r="Q69" s="244"/>
      <c r="R69" s="244"/>
      <c r="S69" s="244"/>
      <c r="T69" s="244"/>
      <c r="U69" s="244"/>
      <c r="V69" s="244"/>
      <c r="W69" s="244"/>
      <c r="X69" s="244"/>
      <c r="Y69" s="244"/>
      <c r="Z69" s="244"/>
    </row>
    <row r="70" spans="1:26" x14ac:dyDescent="0.25">
      <c r="A70" s="301">
        <f>ROW()</f>
        <v>70</v>
      </c>
      <c r="B70" s="302"/>
      <c r="C70" s="302"/>
      <c r="D70" s="302"/>
      <c r="E70" s="303"/>
      <c r="F70" s="303"/>
      <c r="G70" s="304"/>
      <c r="H70" s="305">
        <v>0</v>
      </c>
      <c r="I70" s="306">
        <v>0</v>
      </c>
      <c r="P70" s="104"/>
      <c r="Q70" s="244"/>
      <c r="R70" s="244"/>
      <c r="S70" s="244"/>
      <c r="T70" s="244"/>
      <c r="U70" s="244"/>
      <c r="V70" s="244"/>
      <c r="W70" s="244"/>
      <c r="X70" s="244"/>
      <c r="Y70" s="244"/>
      <c r="Z70" s="244"/>
    </row>
    <row r="71" spans="1:26" x14ac:dyDescent="0.25">
      <c r="A71" s="301">
        <f>ROW()</f>
        <v>71</v>
      </c>
      <c r="B71" s="302"/>
      <c r="C71" s="302"/>
      <c r="D71" s="302"/>
      <c r="E71" s="303"/>
      <c r="F71" s="303"/>
      <c r="G71" s="304"/>
      <c r="H71" s="305">
        <v>0</v>
      </c>
      <c r="I71" s="306">
        <v>0</v>
      </c>
      <c r="P71" s="104"/>
      <c r="Q71" s="244"/>
      <c r="R71" s="244"/>
      <c r="S71" s="244"/>
      <c r="T71" s="244"/>
      <c r="U71" s="244"/>
      <c r="V71" s="244"/>
      <c r="W71" s="244"/>
      <c r="X71" s="244"/>
      <c r="Y71" s="244"/>
      <c r="Z71" s="244"/>
    </row>
    <row r="72" spans="1:26" x14ac:dyDescent="0.25">
      <c r="A72" s="301">
        <f>ROW()</f>
        <v>72</v>
      </c>
      <c r="B72" s="302"/>
      <c r="C72" s="302"/>
      <c r="D72" s="302"/>
      <c r="E72" s="303"/>
      <c r="F72" s="303"/>
      <c r="G72" s="304"/>
      <c r="H72" s="305">
        <v>0</v>
      </c>
      <c r="I72" s="306">
        <v>0</v>
      </c>
      <c r="P72" s="104"/>
      <c r="Q72" s="244"/>
      <c r="R72" s="244"/>
      <c r="S72" s="244"/>
      <c r="T72" s="244"/>
      <c r="U72" s="244"/>
      <c r="V72" s="244"/>
      <c r="W72" s="244"/>
      <c r="X72" s="244"/>
      <c r="Y72" s="244"/>
      <c r="Z72" s="244"/>
    </row>
    <row r="73" spans="1:26" x14ac:dyDescent="0.25">
      <c r="A73" s="301">
        <f>ROW()</f>
        <v>73</v>
      </c>
      <c r="B73" s="302"/>
      <c r="C73" s="302"/>
      <c r="D73" s="302"/>
      <c r="E73" s="303"/>
      <c r="F73" s="303"/>
      <c r="G73" s="304"/>
      <c r="H73" s="305">
        <v>0</v>
      </c>
      <c r="I73" s="306">
        <v>0</v>
      </c>
      <c r="P73" s="104"/>
      <c r="Q73" s="244"/>
      <c r="R73" s="244"/>
      <c r="S73" s="244"/>
      <c r="T73" s="244"/>
      <c r="U73" s="244"/>
      <c r="V73" s="244"/>
      <c r="W73" s="244"/>
      <c r="X73" s="244"/>
      <c r="Y73" s="244"/>
      <c r="Z73" s="244"/>
    </row>
    <row r="74" spans="1:26" x14ac:dyDescent="0.25">
      <c r="A74" s="301">
        <f>ROW()</f>
        <v>74</v>
      </c>
      <c r="B74" s="302"/>
      <c r="C74" s="302"/>
      <c r="D74" s="302"/>
      <c r="E74" s="303"/>
      <c r="F74" s="303"/>
      <c r="G74" s="304"/>
      <c r="H74" s="305">
        <v>0</v>
      </c>
      <c r="I74" s="306">
        <v>0</v>
      </c>
      <c r="P74" s="104"/>
      <c r="Q74" s="244"/>
      <c r="R74" s="244"/>
      <c r="S74" s="244"/>
      <c r="T74" s="244"/>
      <c r="U74" s="244"/>
      <c r="V74" s="244"/>
      <c r="W74" s="244"/>
      <c r="X74" s="244"/>
      <c r="Y74" s="244"/>
      <c r="Z74" s="244"/>
    </row>
    <row r="75" spans="1:26" x14ac:dyDescent="0.25">
      <c r="A75" s="301">
        <f>ROW()</f>
        <v>75</v>
      </c>
      <c r="B75" s="1610"/>
      <c r="C75" s="1610"/>
      <c r="D75" s="1610"/>
      <c r="E75" s="303"/>
      <c r="F75" s="303"/>
      <c r="G75" s="304"/>
      <c r="H75" s="305">
        <v>0</v>
      </c>
      <c r="I75" s="306">
        <v>0</v>
      </c>
      <c r="P75" s="104"/>
      <c r="Q75" s="244"/>
      <c r="R75" s="244"/>
      <c r="S75" s="244"/>
      <c r="T75" s="244"/>
      <c r="U75" s="244"/>
      <c r="V75" s="244"/>
      <c r="W75" s="244"/>
      <c r="X75" s="244"/>
      <c r="Y75" s="244"/>
      <c r="Z75" s="244"/>
    </row>
    <row r="76" spans="1:26" x14ac:dyDescent="0.25">
      <c r="A76" s="301">
        <f>ROW()</f>
        <v>76</v>
      </c>
      <c r="B76" s="302"/>
      <c r="C76" s="302"/>
      <c r="D76" s="302"/>
      <c r="E76" s="303"/>
      <c r="F76" s="303"/>
      <c r="G76" s="304"/>
      <c r="H76" s="305">
        <v>0</v>
      </c>
      <c r="I76" s="306">
        <v>0</v>
      </c>
      <c r="P76" s="104"/>
      <c r="Q76" s="244"/>
      <c r="R76" s="244"/>
      <c r="S76" s="244"/>
      <c r="T76" s="244"/>
      <c r="U76" s="244"/>
      <c r="V76" s="244"/>
      <c r="W76" s="244"/>
      <c r="X76" s="244"/>
      <c r="Y76" s="244"/>
      <c r="Z76" s="244"/>
    </row>
    <row r="77" spans="1:26" x14ac:dyDescent="0.25">
      <c r="A77" s="301">
        <f>ROW()</f>
        <v>77</v>
      </c>
      <c r="B77" s="307" t="s">
        <v>303</v>
      </c>
      <c r="C77" s="308"/>
      <c r="D77" s="308"/>
      <c r="E77" s="309"/>
      <c r="F77" s="309"/>
      <c r="G77" s="310"/>
      <c r="H77" s="311"/>
      <c r="I77" s="312"/>
      <c r="P77" s="104"/>
      <c r="Q77" s="244"/>
      <c r="R77" s="244"/>
      <c r="S77" s="244"/>
      <c r="T77" s="244"/>
      <c r="U77" s="244"/>
      <c r="V77" s="244"/>
      <c r="W77" s="244"/>
      <c r="X77" s="244"/>
      <c r="Y77" s="244"/>
      <c r="Z77" s="244"/>
    </row>
    <row r="78" spans="1:26" x14ac:dyDescent="0.25">
      <c r="A78" s="301">
        <f>ROW()</f>
        <v>78</v>
      </c>
      <c r="B78" s="302"/>
      <c r="C78" s="302"/>
      <c r="D78" s="302"/>
      <c r="E78" s="303"/>
      <c r="F78" s="303"/>
      <c r="G78" s="304"/>
      <c r="H78" s="305">
        <v>0</v>
      </c>
      <c r="I78" s="306">
        <v>0</v>
      </c>
      <c r="P78" s="104"/>
      <c r="Q78" s="244"/>
      <c r="R78" s="244"/>
      <c r="S78" s="244"/>
      <c r="T78" s="244"/>
      <c r="U78" s="244"/>
      <c r="V78" s="244"/>
      <c r="W78" s="244"/>
      <c r="X78" s="244"/>
      <c r="Y78" s="244"/>
      <c r="Z78" s="244"/>
    </row>
    <row r="79" spans="1:26" x14ac:dyDescent="0.25">
      <c r="A79" s="301">
        <f>ROW()</f>
        <v>79</v>
      </c>
      <c r="B79" s="302"/>
      <c r="C79" s="302"/>
      <c r="D79" s="302"/>
      <c r="E79" s="303"/>
      <c r="F79" s="303"/>
      <c r="G79" s="304"/>
      <c r="H79" s="305">
        <v>0</v>
      </c>
      <c r="I79" s="306">
        <v>0</v>
      </c>
      <c r="P79" s="104"/>
      <c r="Q79" s="244"/>
      <c r="R79" s="244"/>
      <c r="S79" s="244"/>
      <c r="T79" s="244"/>
      <c r="U79" s="244"/>
      <c r="V79" s="244"/>
      <c r="W79" s="244"/>
      <c r="X79" s="244"/>
      <c r="Y79" s="244"/>
      <c r="Z79" s="244"/>
    </row>
    <row r="80" spans="1:26" x14ac:dyDescent="0.25">
      <c r="A80" s="301">
        <f>ROW()</f>
        <v>80</v>
      </c>
      <c r="B80" s="302"/>
      <c r="C80" s="302"/>
      <c r="D80" s="302"/>
      <c r="E80" s="303"/>
      <c r="F80" s="303"/>
      <c r="G80" s="304"/>
      <c r="H80" s="305">
        <v>0</v>
      </c>
      <c r="I80" s="306">
        <v>0</v>
      </c>
      <c r="P80" s="104"/>
      <c r="Q80" s="244"/>
      <c r="R80" s="244"/>
      <c r="S80" s="244"/>
      <c r="T80" s="244"/>
      <c r="U80" s="244"/>
      <c r="V80" s="244"/>
      <c r="W80" s="244"/>
      <c r="X80" s="244"/>
      <c r="Y80" s="244"/>
      <c r="Z80" s="244"/>
    </row>
    <row r="81" spans="1:26" x14ac:dyDescent="0.25">
      <c r="A81" s="301">
        <f>ROW()</f>
        <v>81</v>
      </c>
      <c r="B81" s="302"/>
      <c r="C81" s="302"/>
      <c r="D81" s="302"/>
      <c r="E81" s="303"/>
      <c r="F81" s="303"/>
      <c r="G81" s="304"/>
      <c r="H81" s="305">
        <v>0</v>
      </c>
      <c r="I81" s="306">
        <v>0</v>
      </c>
      <c r="P81" s="104"/>
      <c r="Q81" s="244"/>
      <c r="R81" s="244"/>
      <c r="S81" s="244"/>
      <c r="T81" s="244"/>
      <c r="U81" s="244"/>
      <c r="V81" s="244"/>
      <c r="W81" s="244"/>
      <c r="X81" s="244"/>
      <c r="Y81" s="244"/>
      <c r="Z81" s="244"/>
    </row>
    <row r="82" spans="1:26" x14ac:dyDescent="0.25">
      <c r="A82" s="301">
        <f>ROW()</f>
        <v>82</v>
      </c>
      <c r="B82" s="302"/>
      <c r="C82" s="302"/>
      <c r="D82" s="302"/>
      <c r="E82" s="303"/>
      <c r="F82" s="303"/>
      <c r="G82" s="304"/>
      <c r="H82" s="305">
        <v>0</v>
      </c>
      <c r="I82" s="306">
        <v>0</v>
      </c>
      <c r="P82" s="104"/>
      <c r="Q82" s="244"/>
      <c r="R82" s="244"/>
      <c r="S82" s="244"/>
      <c r="T82" s="244"/>
      <c r="U82" s="244"/>
      <c r="V82" s="244"/>
      <c r="W82" s="244"/>
      <c r="X82" s="244"/>
      <c r="Y82" s="244"/>
      <c r="Z82" s="244"/>
    </row>
    <row r="83" spans="1:26" x14ac:dyDescent="0.25">
      <c r="A83" s="301">
        <f>ROW()</f>
        <v>83</v>
      </c>
      <c r="B83" s="302"/>
      <c r="C83" s="302"/>
      <c r="D83" s="302"/>
      <c r="E83" s="303"/>
      <c r="F83" s="303"/>
      <c r="G83" s="304"/>
      <c r="H83" s="305">
        <v>0</v>
      </c>
      <c r="I83" s="306">
        <v>0</v>
      </c>
      <c r="P83" s="104"/>
      <c r="Q83" s="244"/>
      <c r="R83" s="244"/>
      <c r="S83" s="244"/>
      <c r="T83" s="244"/>
      <c r="U83" s="244"/>
      <c r="V83" s="244"/>
      <c r="W83" s="244"/>
      <c r="X83" s="244"/>
      <c r="Y83" s="244"/>
      <c r="Z83" s="244"/>
    </row>
    <row r="84" spans="1:26" x14ac:dyDescent="0.25">
      <c r="A84" s="301">
        <f>ROW()</f>
        <v>84</v>
      </c>
      <c r="B84" s="302"/>
      <c r="C84" s="302"/>
      <c r="D84" s="302"/>
      <c r="E84" s="303"/>
      <c r="F84" s="303"/>
      <c r="G84" s="304"/>
      <c r="H84" s="305">
        <v>0</v>
      </c>
      <c r="I84" s="306">
        <v>0</v>
      </c>
      <c r="P84" s="104"/>
      <c r="Q84" s="244"/>
      <c r="R84" s="244"/>
      <c r="S84" s="244"/>
      <c r="T84" s="244"/>
      <c r="U84" s="244"/>
      <c r="V84" s="244"/>
      <c r="W84" s="244"/>
      <c r="X84" s="244"/>
      <c r="Y84" s="244"/>
      <c r="Z84" s="244"/>
    </row>
    <row r="85" spans="1:26" x14ac:dyDescent="0.25">
      <c r="A85" s="301">
        <f>ROW()</f>
        <v>85</v>
      </c>
      <c r="B85" s="302"/>
      <c r="C85" s="302"/>
      <c r="D85" s="302"/>
      <c r="E85" s="303"/>
      <c r="F85" s="303"/>
      <c r="G85" s="304"/>
      <c r="H85" s="305">
        <v>0</v>
      </c>
      <c r="I85" s="306">
        <v>0</v>
      </c>
      <c r="P85" s="104"/>
      <c r="Q85" s="244"/>
      <c r="R85" s="244"/>
      <c r="S85" s="244"/>
      <c r="T85" s="244"/>
      <c r="U85" s="244"/>
      <c r="V85" s="244"/>
      <c r="W85" s="244"/>
      <c r="X85" s="244"/>
      <c r="Y85" s="244"/>
      <c r="Z85" s="244"/>
    </row>
    <row r="86" spans="1:26" x14ac:dyDescent="0.25">
      <c r="A86" s="319">
        <f>ROW()</f>
        <v>86</v>
      </c>
      <c r="B86" s="1613"/>
      <c r="C86" s="1613"/>
      <c r="D86" s="1613"/>
      <c r="E86" s="315"/>
      <c r="F86" s="315"/>
      <c r="G86" s="316"/>
      <c r="H86" s="317">
        <v>0</v>
      </c>
      <c r="I86" s="318">
        <v>0</v>
      </c>
      <c r="P86" s="104"/>
      <c r="Q86" s="244"/>
      <c r="R86" s="244"/>
      <c r="S86" s="244"/>
      <c r="T86" s="244"/>
      <c r="U86" s="244"/>
      <c r="V86" s="244"/>
      <c r="W86" s="244"/>
      <c r="X86" s="244"/>
      <c r="Y86" s="244"/>
      <c r="Z86" s="244"/>
    </row>
    <row r="87" spans="1:26" x14ac:dyDescent="0.25">
      <c r="A87" s="249"/>
      <c r="B87" s="343"/>
      <c r="C87" s="343"/>
      <c r="D87" s="343"/>
      <c r="E87" s="343"/>
      <c r="F87" s="343"/>
      <c r="G87" s="344"/>
      <c r="H87" s="344">
        <f>SUM(H67:H86)</f>
        <v>2320</v>
      </c>
      <c r="I87" s="345">
        <f>IFERROR(SUMPRODUCT(H67:H86,I67:I86)/H87,0)</f>
        <v>0</v>
      </c>
      <c r="O87" s="330"/>
      <c r="P87" s="104"/>
      <c r="Q87" s="244"/>
      <c r="R87" s="244"/>
      <c r="S87" s="244"/>
      <c r="T87" s="244"/>
      <c r="U87" s="244"/>
      <c r="V87" s="244"/>
      <c r="W87" s="244"/>
      <c r="X87" s="244"/>
      <c r="Y87" s="244"/>
      <c r="Z87" s="244"/>
    </row>
    <row r="88" spans="1:26" x14ac:dyDescent="0.25">
      <c r="A88" s="249"/>
      <c r="B88" s="284"/>
      <c r="C88" s="284"/>
      <c r="D88" s="284"/>
      <c r="E88" s="266"/>
      <c r="F88" s="285"/>
      <c r="G88" s="286"/>
      <c r="H88" s="286"/>
      <c r="I88" s="332"/>
      <c r="O88" s="330"/>
      <c r="P88" s="104"/>
      <c r="Q88" s="244"/>
      <c r="R88" s="244"/>
      <c r="S88" s="244"/>
      <c r="T88" s="244"/>
      <c r="U88" s="244"/>
      <c r="V88" s="244"/>
      <c r="W88" s="244"/>
      <c r="X88" s="244"/>
      <c r="Y88" s="244"/>
      <c r="Z88" s="244"/>
    </row>
    <row r="89" spans="1:26" x14ac:dyDescent="0.25">
      <c r="I89" s="332"/>
      <c r="Q89" s="244"/>
      <c r="R89" s="244"/>
      <c r="S89" s="244"/>
      <c r="T89" s="244"/>
      <c r="U89" s="244"/>
      <c r="V89" s="244"/>
      <c r="W89" s="244"/>
      <c r="X89" s="244"/>
      <c r="Y89" s="244"/>
      <c r="Z89" s="244"/>
    </row>
    <row r="90" spans="1:26" x14ac:dyDescent="0.25">
      <c r="Q90" s="244"/>
      <c r="R90" s="244"/>
      <c r="S90" s="244"/>
      <c r="T90" s="244"/>
      <c r="U90" s="244"/>
      <c r="V90" s="244"/>
      <c r="W90" s="244"/>
      <c r="X90" s="244"/>
      <c r="Y90" s="244"/>
      <c r="Z90" s="244"/>
    </row>
    <row r="91" spans="1:26" x14ac:dyDescent="0.25">
      <c r="Q91" s="244"/>
      <c r="R91" s="244"/>
      <c r="S91" s="244"/>
      <c r="T91" s="244"/>
      <c r="U91" s="244"/>
      <c r="V91" s="244"/>
      <c r="W91" s="244"/>
      <c r="X91" s="244"/>
      <c r="Y91" s="244"/>
      <c r="Z91" s="244"/>
    </row>
    <row r="92" spans="1:26" x14ac:dyDescent="0.25">
      <c r="Q92" s="244"/>
      <c r="R92" s="244"/>
      <c r="S92" s="244"/>
      <c r="T92" s="244"/>
      <c r="U92" s="244"/>
      <c r="V92" s="244"/>
      <c r="W92" s="244"/>
      <c r="X92" s="244"/>
      <c r="Y92" s="244"/>
      <c r="Z92" s="244"/>
    </row>
    <row r="93" spans="1:26" x14ac:dyDescent="0.25">
      <c r="Q93" s="244"/>
      <c r="R93" s="244"/>
      <c r="S93" s="244"/>
      <c r="T93" s="244"/>
      <c r="U93" s="244"/>
      <c r="V93" s="244"/>
      <c r="W93" s="244"/>
      <c r="X93" s="244"/>
      <c r="Y93" s="244"/>
      <c r="Z93" s="244"/>
    </row>
    <row r="94" spans="1:26" x14ac:dyDescent="0.25">
      <c r="Q94" s="244"/>
      <c r="R94" s="244"/>
      <c r="S94" s="244"/>
      <c r="T94" s="244"/>
      <c r="U94" s="244"/>
      <c r="V94" s="244"/>
      <c r="W94" s="244"/>
      <c r="X94" s="244"/>
      <c r="Y94" s="244"/>
      <c r="Z94" s="244"/>
    </row>
    <row r="95" spans="1:26" x14ac:dyDescent="0.25">
      <c r="Q95" s="244"/>
      <c r="R95" s="244"/>
      <c r="S95" s="244"/>
      <c r="T95" s="244"/>
      <c r="U95" s="244"/>
      <c r="V95" s="244"/>
      <c r="W95" s="244"/>
      <c r="X95" s="244"/>
      <c r="Y95" s="244"/>
      <c r="Z95" s="244"/>
    </row>
    <row r="96" spans="1:26" x14ac:dyDescent="0.25">
      <c r="Q96" s="244"/>
      <c r="R96" s="244"/>
      <c r="S96" s="244"/>
      <c r="T96" s="244"/>
      <c r="U96" s="244"/>
      <c r="V96" s="244"/>
      <c r="W96" s="244"/>
      <c r="X96" s="244"/>
      <c r="Y96" s="244"/>
      <c r="Z96" s="244"/>
    </row>
    <row r="97" spans="17:26" x14ac:dyDescent="0.25">
      <c r="Q97" s="244"/>
      <c r="R97" s="244"/>
      <c r="S97" s="244"/>
      <c r="T97" s="244"/>
      <c r="U97" s="244"/>
      <c r="V97" s="244"/>
      <c r="W97" s="244"/>
      <c r="X97" s="244"/>
      <c r="Y97" s="244"/>
      <c r="Z97" s="244"/>
    </row>
    <row r="98" spans="17:26" x14ac:dyDescent="0.25">
      <c r="Q98" s="244"/>
      <c r="R98" s="244"/>
      <c r="S98" s="244"/>
      <c r="T98" s="244"/>
      <c r="U98" s="244"/>
      <c r="V98" s="244"/>
      <c r="W98" s="244"/>
      <c r="X98" s="244"/>
      <c r="Y98" s="244"/>
      <c r="Z98" s="244"/>
    </row>
    <row r="99" spans="17:26" x14ac:dyDescent="0.25">
      <c r="Q99" s="244"/>
      <c r="R99" s="244"/>
      <c r="S99" s="244"/>
      <c r="T99" s="244"/>
      <c r="U99" s="244"/>
      <c r="V99" s="244"/>
      <c r="W99" s="244"/>
      <c r="X99" s="244"/>
      <c r="Y99" s="244"/>
      <c r="Z99" s="244"/>
    </row>
    <row r="100" spans="17:26" x14ac:dyDescent="0.25">
      <c r="Q100" s="244"/>
      <c r="R100" s="244"/>
      <c r="S100" s="244"/>
      <c r="T100" s="244"/>
      <c r="U100" s="244"/>
      <c r="V100" s="244"/>
      <c r="W100" s="244"/>
      <c r="X100" s="244"/>
      <c r="Y100" s="244"/>
      <c r="Z100" s="244"/>
    </row>
    <row r="101" spans="17:26" x14ac:dyDescent="0.25">
      <c r="Q101" s="244"/>
      <c r="R101" s="244"/>
      <c r="S101" s="244"/>
      <c r="T101" s="244"/>
      <c r="U101" s="244"/>
      <c r="V101" s="244"/>
      <c r="W101" s="244"/>
      <c r="X101" s="244"/>
      <c r="Y101" s="244"/>
      <c r="Z101" s="244"/>
    </row>
  </sheetData>
  <mergeCells count="13">
    <mergeCell ref="B75:D75"/>
    <mergeCell ref="B86:D86"/>
    <mergeCell ref="B44:D44"/>
    <mergeCell ref="B45:D45"/>
    <mergeCell ref="B66:C66"/>
    <mergeCell ref="B67:D67"/>
    <mergeCell ref="B68:D68"/>
    <mergeCell ref="B40:D40"/>
    <mergeCell ref="B34:C34"/>
    <mergeCell ref="B35:D35"/>
    <mergeCell ref="B36:D36"/>
    <mergeCell ref="B37:D37"/>
    <mergeCell ref="B39:D39"/>
  </mergeCells>
  <conditionalFormatting sqref="B14:C26">
    <cfRule type="expression" dxfId="49" priority="2" stopIfTrue="1">
      <formula>MOD(ROW(),2)=0</formula>
    </cfRule>
  </conditionalFormatting>
  <conditionalFormatting sqref="D1">
    <cfRule type="expression" dxfId="48" priority="1" stopIfTrue="1">
      <formula>MOD(ROW(),2)=0</formula>
    </cfRule>
  </conditionalFormatting>
  <conditionalFormatting sqref="D11:N12">
    <cfRule type="cellIs" dxfId="47" priority="4" stopIfTrue="1" operator="equal">
      <formula>0</formula>
    </cfRule>
  </conditionalFormatting>
  <conditionalFormatting sqref="D14:N26">
    <cfRule type="cellIs" dxfId="46" priority="3" stopIfTrue="1" operator="equal">
      <formula>0</formula>
    </cfRule>
  </conditionalFormatting>
  <hyperlinks>
    <hyperlink ref="D1" location="HypLink1" display="HypLink1" xr:uid="{70E1FE77-6370-427A-9891-76E50B246300}"/>
    <hyperlink ref="B60" r:id="rId1" xr:uid="{DB619D86-14BF-4F72-BA6F-A78B280DE9E2}"/>
    <hyperlink ref="B61" r:id="rId2" xr:uid="{316F81C7-D295-441B-8459-A4C45F860970}"/>
  </hyperlinks>
  <pageMargins left="0.7" right="0.7" top="0.75" bottom="0.75" header="0.3" footer="0.3"/>
  <pageSetup paperSize="119" scale="88" fitToHeight="0" orientation="landscape"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DC600-61B3-4FFC-85EE-3A007E0B2C7B}">
  <sheetPr>
    <pageSetUpPr fitToPage="1"/>
  </sheetPr>
  <dimension ref="A1:P149"/>
  <sheetViews>
    <sheetView workbookViewId="0"/>
  </sheetViews>
  <sheetFormatPr defaultRowHeight="15" x14ac:dyDescent="0.25"/>
  <cols>
    <col min="1" max="1" width="5.5703125" style="42" customWidth="1"/>
    <col min="2" max="2" width="44.28515625" style="42" customWidth="1"/>
    <col min="3" max="3" width="17.7109375" style="42" customWidth="1"/>
    <col min="4" max="4" width="10.42578125" style="42" customWidth="1"/>
    <col min="5" max="5" width="28.7109375" style="42" customWidth="1"/>
    <col min="6" max="6" width="14.85546875" style="42" bestFit="1" customWidth="1"/>
    <col min="7" max="12" width="14" style="42" bestFit="1" customWidth="1"/>
    <col min="13" max="13" width="1.28515625" style="42" customWidth="1"/>
    <col min="14" max="14" width="84.140625" style="78" bestFit="1" customWidth="1"/>
    <col min="15" max="15" width="12.28515625" style="42" customWidth="1"/>
    <col min="16" max="16" width="9.140625" style="42"/>
  </cols>
  <sheetData>
    <row r="1" spans="1:14" ht="18" x14ac:dyDescent="0.25">
      <c r="A1" s="240" t="s">
        <v>117</v>
      </c>
      <c r="B1" s="241"/>
      <c r="D1" s="242" t="s">
        <v>3</v>
      </c>
      <c r="E1" s="242"/>
    </row>
    <row r="2" spans="1:14" ht="15.75" x14ac:dyDescent="0.25">
      <c r="A2" s="80" t="str">
        <f>SchoolName</f>
        <v>Odyssey Charter School</v>
      </c>
      <c r="B2" s="81"/>
    </row>
    <row r="3" spans="1:14" x14ac:dyDescent="0.25">
      <c r="A3" s="82" t="s">
        <v>80</v>
      </c>
      <c r="K3" s="38"/>
    </row>
    <row r="4" spans="1:14" x14ac:dyDescent="0.25">
      <c r="A4" s="248" t="s">
        <v>81</v>
      </c>
    </row>
    <row r="5" spans="1:14" x14ac:dyDescent="0.25">
      <c r="A5" s="83" t="str">
        <f ca="1">CELL("filename")</f>
        <v>\\lvraiders\users\sguthrie\Documents\Charter\Change of Sponsorship\[240126-SPCSA-Odyssey Charter School Application Workbook-Modified-Version (1).xlsx]Instructions</v>
      </c>
    </row>
    <row r="6" spans="1:14" ht="15.75" x14ac:dyDescent="0.25">
      <c r="A6" s="249"/>
      <c r="D6" s="346" t="s">
        <v>314</v>
      </c>
      <c r="E6" s="346"/>
      <c r="G6" s="347"/>
      <c r="J6" s="346"/>
    </row>
    <row r="7" spans="1:14" x14ac:dyDescent="0.25">
      <c r="A7" s="249"/>
      <c r="D7" s="84" t="s">
        <v>315</v>
      </c>
      <c r="E7" s="84"/>
      <c r="G7" s="84"/>
      <c r="J7" s="84"/>
    </row>
    <row r="8" spans="1:14" x14ac:dyDescent="0.25">
      <c r="A8" s="249"/>
      <c r="F8" s="84"/>
      <c r="G8" s="38"/>
    </row>
    <row r="9" spans="1:14" x14ac:dyDescent="0.25">
      <c r="A9" s="249"/>
      <c r="B9" s="38"/>
      <c r="F9" s="348">
        <v>0</v>
      </c>
      <c r="G9" s="86">
        <v>1</v>
      </c>
      <c r="H9" s="86">
        <f>1+G9</f>
        <v>2</v>
      </c>
      <c r="I9" s="86">
        <f>1+H9</f>
        <v>3</v>
      </c>
      <c r="J9" s="86">
        <f>1+I9</f>
        <v>4</v>
      </c>
      <c r="K9" s="86">
        <f>1+J9</f>
        <v>5</v>
      </c>
      <c r="L9" s="87">
        <f>1+K9</f>
        <v>6</v>
      </c>
    </row>
    <row r="10" spans="1:14" x14ac:dyDescent="0.25">
      <c r="A10" s="96"/>
      <c r="B10" s="349"/>
      <c r="F10" s="171">
        <f>+G10-1</f>
        <v>2024</v>
      </c>
      <c r="G10" s="90">
        <f>Cover!E11</f>
        <v>2025</v>
      </c>
      <c r="H10" s="90">
        <f>+G11</f>
        <v>2026</v>
      </c>
      <c r="I10" s="90">
        <f>+H11</f>
        <v>2027</v>
      </c>
      <c r="J10" s="90">
        <f>+I11</f>
        <v>2028</v>
      </c>
      <c r="K10" s="90">
        <f>+J11</f>
        <v>2029</v>
      </c>
      <c r="L10" s="91">
        <f>+K11</f>
        <v>2030</v>
      </c>
    </row>
    <row r="11" spans="1:14" ht="18.75" x14ac:dyDescent="0.3">
      <c r="A11" s="96">
        <f>ROW()</f>
        <v>11</v>
      </c>
      <c r="B11" s="350" t="s">
        <v>117</v>
      </c>
      <c r="C11" s="351" t="s">
        <v>316</v>
      </c>
      <c r="D11" s="352"/>
      <c r="E11" s="353"/>
      <c r="F11" s="173">
        <f>+G11-1</f>
        <v>2025</v>
      </c>
      <c r="G11" s="93">
        <f t="shared" ref="G11:L11" si="0">+G10+1</f>
        <v>2026</v>
      </c>
      <c r="H11" s="93">
        <f t="shared" si="0"/>
        <v>2027</v>
      </c>
      <c r="I11" s="93">
        <f t="shared" si="0"/>
        <v>2028</v>
      </c>
      <c r="J11" s="93">
        <f t="shared" si="0"/>
        <v>2029</v>
      </c>
      <c r="K11" s="93">
        <f t="shared" si="0"/>
        <v>2030</v>
      </c>
      <c r="L11" s="94">
        <f t="shared" si="0"/>
        <v>2031</v>
      </c>
    </row>
    <row r="12" spans="1:14" ht="15.75" x14ac:dyDescent="0.25">
      <c r="A12" s="96">
        <f>ROW()</f>
        <v>12</v>
      </c>
      <c r="B12" s="354" t="s">
        <v>317</v>
      </c>
      <c r="C12" s="355"/>
      <c r="D12" s="356"/>
      <c r="E12" s="356"/>
      <c r="F12" s="352"/>
      <c r="G12" s="357">
        <f>+G36</f>
        <v>2320.02</v>
      </c>
      <c r="H12" s="357">
        <f t="shared" ref="H12:L12" si="1">+H36</f>
        <v>2320.02</v>
      </c>
      <c r="I12" s="357">
        <f t="shared" si="1"/>
        <v>2320.02</v>
      </c>
      <c r="J12" s="357">
        <f t="shared" si="1"/>
        <v>2320.02</v>
      </c>
      <c r="K12" s="357">
        <f t="shared" si="1"/>
        <v>2320.02</v>
      </c>
      <c r="L12" s="357">
        <f t="shared" si="1"/>
        <v>2320.02</v>
      </c>
    </row>
    <row r="13" spans="1:14" ht="15.75" x14ac:dyDescent="0.25">
      <c r="A13" s="96">
        <f>ROW()</f>
        <v>13</v>
      </c>
      <c r="B13" s="37"/>
      <c r="D13" s="358"/>
      <c r="E13" s="358"/>
      <c r="F13" s="352"/>
      <c r="G13" s="351"/>
      <c r="H13" s="351"/>
      <c r="I13" s="351"/>
      <c r="J13" s="351"/>
      <c r="K13" s="351"/>
      <c r="L13" s="351"/>
    </row>
    <row r="14" spans="1:14" ht="15.75" x14ac:dyDescent="0.25">
      <c r="A14" s="96">
        <f>ROW()</f>
        <v>14</v>
      </c>
      <c r="B14" s="359" t="s">
        <v>255</v>
      </c>
      <c r="C14" s="360"/>
      <c r="D14" s="360"/>
      <c r="E14" s="360"/>
      <c r="F14" s="361"/>
      <c r="G14" s="362"/>
      <c r="H14" s="362"/>
      <c r="I14" s="362"/>
      <c r="J14" s="362"/>
      <c r="K14" s="362"/>
      <c r="L14" s="362"/>
      <c r="N14" s="50" t="s">
        <v>103</v>
      </c>
    </row>
    <row r="15" spans="1:14" ht="15.75" x14ac:dyDescent="0.25">
      <c r="A15" s="96">
        <f>ROW()</f>
        <v>15</v>
      </c>
      <c r="B15" s="38"/>
      <c r="F15" s="358"/>
      <c r="G15" s="253"/>
      <c r="H15" s="253"/>
      <c r="I15" s="253"/>
      <c r="J15" s="253"/>
      <c r="K15" s="253"/>
      <c r="L15" s="253"/>
      <c r="N15" s="363"/>
    </row>
    <row r="16" spans="1:14" ht="15.75" x14ac:dyDescent="0.25">
      <c r="A16" s="96">
        <f>ROW()</f>
        <v>16</v>
      </c>
      <c r="B16" s="364" t="s">
        <v>318</v>
      </c>
      <c r="C16" s="256"/>
      <c r="D16" s="256"/>
      <c r="E16" s="256"/>
      <c r="F16" s="365"/>
      <c r="G16" s="366"/>
      <c r="H16" s="366"/>
      <c r="I16" s="366"/>
      <c r="J16" s="366"/>
      <c r="K16" s="366"/>
      <c r="L16" s="366"/>
      <c r="N16" s="101"/>
    </row>
    <row r="17" spans="1:16" x14ac:dyDescent="0.25">
      <c r="A17" s="96">
        <f>ROW()</f>
        <v>17</v>
      </c>
      <c r="B17" s="269" t="s">
        <v>273</v>
      </c>
      <c r="C17" s="367"/>
      <c r="D17" s="367"/>
      <c r="E17" s="367"/>
      <c r="F17" s="368">
        <f t="shared" ref="F17" si="2">COUNTIF(F23:F35,"&gt;0")</f>
        <v>13</v>
      </c>
      <c r="G17" s="368">
        <f t="shared" ref="G17:L17" si="3">COUNTIF(G23:G35,"&gt;0")</f>
        <v>13</v>
      </c>
      <c r="H17" s="368">
        <f t="shared" si="3"/>
        <v>13</v>
      </c>
      <c r="I17" s="368">
        <f t="shared" si="3"/>
        <v>13</v>
      </c>
      <c r="J17" s="368">
        <f t="shared" si="3"/>
        <v>13</v>
      </c>
      <c r="K17" s="368">
        <f t="shared" si="3"/>
        <v>13</v>
      </c>
      <c r="L17" s="368">
        <f t="shared" si="3"/>
        <v>13</v>
      </c>
      <c r="N17" s="104"/>
    </row>
    <row r="18" spans="1:16" x14ac:dyDescent="0.25">
      <c r="A18" s="96">
        <f>ROW()</f>
        <v>18</v>
      </c>
      <c r="B18" s="272" t="s">
        <v>319</v>
      </c>
      <c r="C18" s="64"/>
      <c r="D18" s="64"/>
      <c r="E18" s="64"/>
      <c r="F18" s="1522">
        <v>25</v>
      </c>
      <c r="G18" s="1522">
        <v>25</v>
      </c>
      <c r="H18" s="1522">
        <v>25</v>
      </c>
      <c r="I18" s="1522">
        <v>25</v>
      </c>
      <c r="J18" s="1522">
        <v>25</v>
      </c>
      <c r="K18" s="1522">
        <v>25</v>
      </c>
      <c r="L18" s="1522">
        <v>25</v>
      </c>
      <c r="N18" s="104"/>
    </row>
    <row r="19" spans="1:16" s="1528" customFormat="1" x14ac:dyDescent="0.25">
      <c r="A19" s="1523">
        <f>ROW()</f>
        <v>19</v>
      </c>
      <c r="B19" s="1516" t="s">
        <v>1388</v>
      </c>
      <c r="C19" s="1524"/>
      <c r="D19" s="1524"/>
      <c r="E19" s="1524"/>
      <c r="F19" s="1525">
        <f>F36/25/4</f>
        <v>23.200199999999999</v>
      </c>
      <c r="G19" s="1525">
        <f>G36/25/4</f>
        <v>23.200199999999999</v>
      </c>
      <c r="H19" s="1525">
        <f t="shared" ref="H19:L19" si="4">H36/25/4</f>
        <v>23.200199999999999</v>
      </c>
      <c r="I19" s="1525">
        <f t="shared" si="4"/>
        <v>23.200199999999999</v>
      </c>
      <c r="J19" s="1525">
        <f t="shared" si="4"/>
        <v>23.200199999999999</v>
      </c>
      <c r="K19" s="1525">
        <f t="shared" si="4"/>
        <v>23.200199999999999</v>
      </c>
      <c r="L19" s="1525">
        <f t="shared" si="4"/>
        <v>23.200199999999999</v>
      </c>
      <c r="M19" s="1526"/>
      <c r="N19" s="1527"/>
      <c r="O19" s="1526"/>
      <c r="P19" s="1526"/>
    </row>
    <row r="20" spans="1:16" x14ac:dyDescent="0.25">
      <c r="A20" s="96">
        <f>ROW()</f>
        <v>20</v>
      </c>
      <c r="B20" s="272" t="s">
        <v>320</v>
      </c>
      <c r="C20" s="64"/>
      <c r="D20" s="64"/>
      <c r="E20" s="64"/>
      <c r="F20" s="1522">
        <v>25</v>
      </c>
      <c r="G20" s="1522">
        <v>25</v>
      </c>
      <c r="H20" s="1522">
        <v>25</v>
      </c>
      <c r="I20" s="1522">
        <v>25</v>
      </c>
      <c r="J20" s="1522">
        <v>25</v>
      </c>
      <c r="K20" s="1522">
        <v>25</v>
      </c>
      <c r="L20" s="1522">
        <v>25</v>
      </c>
      <c r="N20" s="104"/>
    </row>
    <row r="21" spans="1:16" s="1528" customFormat="1" x14ac:dyDescent="0.25">
      <c r="A21" s="1523">
        <f>ROW()</f>
        <v>21</v>
      </c>
      <c r="B21" s="1517" t="s">
        <v>321</v>
      </c>
      <c r="C21" s="1529"/>
      <c r="D21" s="1529"/>
      <c r="E21" s="1529"/>
      <c r="F21" s="1522">
        <v>25</v>
      </c>
      <c r="G21" s="1522">
        <v>25</v>
      </c>
      <c r="H21" s="1522">
        <v>25</v>
      </c>
      <c r="I21" s="1522">
        <v>25</v>
      </c>
      <c r="J21" s="1522">
        <v>25</v>
      </c>
      <c r="K21" s="1522">
        <v>25</v>
      </c>
      <c r="L21" s="1522">
        <v>25</v>
      </c>
      <c r="M21" s="1526"/>
      <c r="N21" s="1527"/>
      <c r="O21" s="1526"/>
      <c r="P21" s="1526"/>
    </row>
    <row r="22" spans="1:16" x14ac:dyDescent="0.25">
      <c r="A22" s="96">
        <f>ROW()</f>
        <v>22</v>
      </c>
      <c r="B22" s="266"/>
      <c r="C22" s="266"/>
      <c r="D22" s="266"/>
      <c r="E22" s="266"/>
      <c r="F22" s="268"/>
      <c r="G22" s="268"/>
      <c r="H22" s="268"/>
      <c r="I22" s="268"/>
      <c r="J22" s="268"/>
      <c r="K22" s="268"/>
      <c r="L22" s="268"/>
      <c r="N22" s="104"/>
    </row>
    <row r="23" spans="1:16" x14ac:dyDescent="0.25">
      <c r="A23" s="96">
        <f>ROW()</f>
        <v>23</v>
      </c>
      <c r="B23" s="343" t="s">
        <v>275</v>
      </c>
      <c r="C23" s="180"/>
      <c r="D23" s="180"/>
      <c r="E23" s="180"/>
      <c r="F23" s="369">
        <v>48.12</v>
      </c>
      <c r="G23" s="370">
        <v>48.12</v>
      </c>
      <c r="H23" s="370">
        <v>48.12</v>
      </c>
      <c r="I23" s="370">
        <v>48.12</v>
      </c>
      <c r="J23" s="370">
        <v>48.12</v>
      </c>
      <c r="K23" s="370">
        <v>48.12</v>
      </c>
      <c r="L23" s="370">
        <v>48.12</v>
      </c>
      <c r="N23" s="104"/>
    </row>
    <row r="24" spans="1:16" x14ac:dyDescent="0.25">
      <c r="A24" s="96">
        <f>ROW()</f>
        <v>24</v>
      </c>
      <c r="B24" s="272" t="s">
        <v>276</v>
      </c>
      <c r="C24" s="64"/>
      <c r="D24" s="64"/>
      <c r="E24" s="64"/>
      <c r="F24" s="371">
        <v>43.88</v>
      </c>
      <c r="G24" s="372">
        <v>43.88</v>
      </c>
      <c r="H24" s="372">
        <v>43.88</v>
      </c>
      <c r="I24" s="372">
        <v>43.88</v>
      </c>
      <c r="J24" s="372">
        <v>43.88</v>
      </c>
      <c r="K24" s="372">
        <v>43.88</v>
      </c>
      <c r="L24" s="372">
        <v>43.88</v>
      </c>
      <c r="N24" s="104"/>
    </row>
    <row r="25" spans="1:16" x14ac:dyDescent="0.25">
      <c r="A25" s="96">
        <f>ROW()</f>
        <v>25</v>
      </c>
      <c r="B25" s="272" t="s">
        <v>277</v>
      </c>
      <c r="C25" s="64"/>
      <c r="D25" s="64"/>
      <c r="E25" s="64"/>
      <c r="F25" s="371">
        <v>53.08</v>
      </c>
      <c r="G25" s="372">
        <v>53.08</v>
      </c>
      <c r="H25" s="372">
        <v>53.08</v>
      </c>
      <c r="I25" s="372">
        <v>53.08</v>
      </c>
      <c r="J25" s="372">
        <v>53.08</v>
      </c>
      <c r="K25" s="372">
        <v>53.08</v>
      </c>
      <c r="L25" s="372">
        <v>53.08</v>
      </c>
      <c r="N25" s="104"/>
    </row>
    <row r="26" spans="1:16" x14ac:dyDescent="0.25">
      <c r="A26" s="96">
        <f>ROW()</f>
        <v>26</v>
      </c>
      <c r="B26" s="272" t="s">
        <v>278</v>
      </c>
      <c r="C26" s="64"/>
      <c r="D26" s="64"/>
      <c r="E26" s="64"/>
      <c r="F26" s="371">
        <v>60.61</v>
      </c>
      <c r="G26" s="372">
        <v>60.61</v>
      </c>
      <c r="H26" s="372">
        <v>60.61</v>
      </c>
      <c r="I26" s="372">
        <v>60.61</v>
      </c>
      <c r="J26" s="372">
        <v>60.61</v>
      </c>
      <c r="K26" s="372">
        <v>60.61</v>
      </c>
      <c r="L26" s="372">
        <v>60.61</v>
      </c>
      <c r="N26" s="104"/>
    </row>
    <row r="27" spans="1:16" x14ac:dyDescent="0.25">
      <c r="A27" s="96">
        <f>ROW()</f>
        <v>27</v>
      </c>
      <c r="B27" s="272" t="s">
        <v>279</v>
      </c>
      <c r="C27" s="64"/>
      <c r="D27" s="64"/>
      <c r="E27" s="64"/>
      <c r="F27" s="371">
        <v>72.260000000000005</v>
      </c>
      <c r="G27" s="372">
        <v>72.260000000000005</v>
      </c>
      <c r="H27" s="372">
        <v>72.260000000000005</v>
      </c>
      <c r="I27" s="372">
        <v>72.260000000000005</v>
      </c>
      <c r="J27" s="372">
        <v>72.260000000000005</v>
      </c>
      <c r="K27" s="372">
        <v>72.260000000000005</v>
      </c>
      <c r="L27" s="372">
        <v>72.260000000000005</v>
      </c>
      <c r="N27" s="104"/>
    </row>
    <row r="28" spans="1:16" x14ac:dyDescent="0.25">
      <c r="A28" s="96">
        <f>ROW()</f>
        <v>28</v>
      </c>
      <c r="B28" s="373" t="s">
        <v>280</v>
      </c>
      <c r="C28" s="374"/>
      <c r="D28" s="374"/>
      <c r="E28" s="374"/>
      <c r="F28" s="375">
        <v>75.150000000000006</v>
      </c>
      <c r="G28" s="376">
        <v>75.150000000000006</v>
      </c>
      <c r="H28" s="376">
        <v>75.150000000000006</v>
      </c>
      <c r="I28" s="376">
        <v>75.150000000000006</v>
      </c>
      <c r="J28" s="376">
        <v>75.150000000000006</v>
      </c>
      <c r="K28" s="376">
        <v>75.150000000000006</v>
      </c>
      <c r="L28" s="376">
        <v>75.150000000000006</v>
      </c>
      <c r="N28" s="104"/>
    </row>
    <row r="29" spans="1:16" x14ac:dyDescent="0.25">
      <c r="A29" s="96">
        <f>ROW()</f>
        <v>29</v>
      </c>
      <c r="B29" s="269" t="s">
        <v>281</v>
      </c>
      <c r="C29" s="367"/>
      <c r="D29" s="367"/>
      <c r="E29" s="367"/>
      <c r="F29" s="377">
        <v>164.84</v>
      </c>
      <c r="G29" s="370">
        <v>164.84</v>
      </c>
      <c r="H29" s="370">
        <v>164.84</v>
      </c>
      <c r="I29" s="370">
        <v>164.84</v>
      </c>
      <c r="J29" s="370">
        <v>164.84</v>
      </c>
      <c r="K29" s="370">
        <v>164.84</v>
      </c>
      <c r="L29" s="370">
        <v>164.84</v>
      </c>
      <c r="N29" s="104"/>
    </row>
    <row r="30" spans="1:16" x14ac:dyDescent="0.25">
      <c r="A30" s="96">
        <f>ROW()</f>
        <v>30</v>
      </c>
      <c r="B30" s="272" t="s">
        <v>282</v>
      </c>
      <c r="C30" s="64"/>
      <c r="D30" s="64"/>
      <c r="E30" s="64"/>
      <c r="F30" s="378">
        <v>218.49</v>
      </c>
      <c r="G30" s="372">
        <v>218.49</v>
      </c>
      <c r="H30" s="372">
        <v>218.49</v>
      </c>
      <c r="I30" s="372">
        <v>218.49</v>
      </c>
      <c r="J30" s="372">
        <v>218.49</v>
      </c>
      <c r="K30" s="372">
        <v>218.49</v>
      </c>
      <c r="L30" s="372">
        <v>218.49</v>
      </c>
      <c r="N30" s="104"/>
    </row>
    <row r="31" spans="1:16" x14ac:dyDescent="0.25">
      <c r="A31" s="96">
        <f>ROW()</f>
        <v>31</v>
      </c>
      <c r="B31" s="373" t="s">
        <v>283</v>
      </c>
      <c r="C31" s="374"/>
      <c r="D31" s="374"/>
      <c r="E31" s="374"/>
      <c r="F31" s="375">
        <v>220.76</v>
      </c>
      <c r="G31" s="376">
        <v>220.76</v>
      </c>
      <c r="H31" s="376">
        <v>220.76</v>
      </c>
      <c r="I31" s="376">
        <v>220.76</v>
      </c>
      <c r="J31" s="376">
        <v>220.76</v>
      </c>
      <c r="K31" s="376">
        <v>220.76</v>
      </c>
      <c r="L31" s="376">
        <v>220.76</v>
      </c>
      <c r="N31" s="104"/>
    </row>
    <row r="32" spans="1:16" x14ac:dyDescent="0.25">
      <c r="A32" s="96">
        <f>ROW()</f>
        <v>32</v>
      </c>
      <c r="B32" s="269" t="s">
        <v>284</v>
      </c>
      <c r="C32" s="367"/>
      <c r="D32" s="367"/>
      <c r="E32" s="367"/>
      <c r="F32" s="377">
        <v>273.95999999999998</v>
      </c>
      <c r="G32" s="370">
        <v>273.95999999999998</v>
      </c>
      <c r="H32" s="370">
        <v>273.95999999999998</v>
      </c>
      <c r="I32" s="370">
        <v>273.95999999999998</v>
      </c>
      <c r="J32" s="370">
        <v>273.95999999999998</v>
      </c>
      <c r="K32" s="370">
        <v>273.95999999999998</v>
      </c>
      <c r="L32" s="370">
        <v>273.95999999999998</v>
      </c>
      <c r="N32" s="104"/>
    </row>
    <row r="33" spans="1:14" x14ac:dyDescent="0.25">
      <c r="A33" s="96">
        <f>ROW()</f>
        <v>33</v>
      </c>
      <c r="B33" s="272" t="s">
        <v>285</v>
      </c>
      <c r="C33" s="64"/>
      <c r="D33" s="64"/>
      <c r="E33" s="64"/>
      <c r="F33" s="378">
        <v>302.51</v>
      </c>
      <c r="G33" s="372">
        <v>302.51</v>
      </c>
      <c r="H33" s="372">
        <v>302.51</v>
      </c>
      <c r="I33" s="372">
        <v>302.51</v>
      </c>
      <c r="J33" s="372">
        <v>302.51</v>
      </c>
      <c r="K33" s="372">
        <v>302.51</v>
      </c>
      <c r="L33" s="372">
        <v>302.51</v>
      </c>
      <c r="N33" s="104"/>
    </row>
    <row r="34" spans="1:14" x14ac:dyDescent="0.25">
      <c r="A34" s="96">
        <f>ROW()</f>
        <v>34</v>
      </c>
      <c r="B34" s="272" t="s">
        <v>286</v>
      </c>
      <c r="C34" s="64"/>
      <c r="D34" s="64"/>
      <c r="E34" s="64"/>
      <c r="F34" s="378">
        <v>390.51</v>
      </c>
      <c r="G34" s="372">
        <v>390.51</v>
      </c>
      <c r="H34" s="372">
        <v>390.51</v>
      </c>
      <c r="I34" s="372">
        <v>390.51</v>
      </c>
      <c r="J34" s="372">
        <v>390.51</v>
      </c>
      <c r="K34" s="372">
        <v>390.51</v>
      </c>
      <c r="L34" s="372">
        <v>390.51</v>
      </c>
      <c r="N34" s="104"/>
    </row>
    <row r="35" spans="1:14" x14ac:dyDescent="0.25">
      <c r="A35" s="96">
        <f>ROW()</f>
        <v>35</v>
      </c>
      <c r="B35" s="272" t="s">
        <v>287</v>
      </c>
      <c r="F35" s="379">
        <v>395.85</v>
      </c>
      <c r="G35" s="380">
        <v>395.85</v>
      </c>
      <c r="H35" s="380">
        <v>395.85</v>
      </c>
      <c r="I35" s="380">
        <v>395.85</v>
      </c>
      <c r="J35" s="380">
        <v>395.85</v>
      </c>
      <c r="K35" s="380">
        <v>395.85</v>
      </c>
      <c r="L35" s="380">
        <v>395.85</v>
      </c>
      <c r="N35" s="104"/>
    </row>
    <row r="36" spans="1:14" x14ac:dyDescent="0.25">
      <c r="A36" s="96">
        <f>ROW()</f>
        <v>36</v>
      </c>
      <c r="B36" s="343" t="s">
        <v>288</v>
      </c>
      <c r="C36" s="180"/>
      <c r="D36" s="180"/>
      <c r="E36" s="180"/>
      <c r="F36" s="382">
        <f t="shared" ref="F36" si="5">SUM(F23:F35)</f>
        <v>2320.02</v>
      </c>
      <c r="G36" s="382">
        <f t="shared" ref="G36:L36" si="6">SUM(G23:G35)</f>
        <v>2320.02</v>
      </c>
      <c r="H36" s="382">
        <f t="shared" si="6"/>
        <v>2320.02</v>
      </c>
      <c r="I36" s="382">
        <f t="shared" si="6"/>
        <v>2320.02</v>
      </c>
      <c r="J36" s="382">
        <f t="shared" si="6"/>
        <v>2320.02</v>
      </c>
      <c r="K36" s="382">
        <f t="shared" si="6"/>
        <v>2320.02</v>
      </c>
      <c r="L36" s="382">
        <f t="shared" si="6"/>
        <v>2320.02</v>
      </c>
      <c r="N36" s="104"/>
    </row>
    <row r="37" spans="1:14" x14ac:dyDescent="0.25">
      <c r="A37" s="96">
        <f>ROW()</f>
        <v>37</v>
      </c>
      <c r="B37" s="343" t="s">
        <v>322</v>
      </c>
      <c r="C37" s="180"/>
      <c r="D37" s="180"/>
      <c r="E37" s="180"/>
      <c r="F37" s="383">
        <v>2320</v>
      </c>
      <c r="G37" s="383">
        <v>2320</v>
      </c>
      <c r="H37" s="383">
        <f t="shared" ref="H37:L37" si="7">+G37</f>
        <v>2320</v>
      </c>
      <c r="I37" s="383">
        <f t="shared" si="7"/>
        <v>2320</v>
      </c>
      <c r="J37" s="383">
        <f t="shared" si="7"/>
        <v>2320</v>
      </c>
      <c r="K37" s="383">
        <f t="shared" si="7"/>
        <v>2320</v>
      </c>
      <c r="L37" s="383">
        <f t="shared" si="7"/>
        <v>2320</v>
      </c>
      <c r="N37" s="104"/>
    </row>
    <row r="38" spans="1:14" x14ac:dyDescent="0.25">
      <c r="A38" s="96">
        <f>ROW()</f>
        <v>38</v>
      </c>
      <c r="B38" s="384" t="s">
        <v>323</v>
      </c>
      <c r="F38" s="279"/>
      <c r="G38" s="385">
        <f>+G36/G37</f>
        <v>1.0000086206896552</v>
      </c>
      <c r="H38" s="385">
        <f t="shared" ref="H38:L38" si="8">+H36/H37</f>
        <v>1.0000086206896552</v>
      </c>
      <c r="I38" s="385">
        <f t="shared" si="8"/>
        <v>1.0000086206896552</v>
      </c>
      <c r="J38" s="385">
        <f t="shared" si="8"/>
        <v>1.0000086206896552</v>
      </c>
      <c r="K38" s="385">
        <f t="shared" si="8"/>
        <v>1.0000086206896552</v>
      </c>
      <c r="L38" s="385">
        <f t="shared" si="8"/>
        <v>1.0000086206896552</v>
      </c>
      <c r="N38" s="104"/>
    </row>
    <row r="39" spans="1:14" x14ac:dyDescent="0.25">
      <c r="A39" s="96">
        <f>ROW()</f>
        <v>39</v>
      </c>
      <c r="B39" s="384" t="s">
        <v>324</v>
      </c>
      <c r="F39" s="279"/>
      <c r="G39" s="385"/>
      <c r="H39" s="386">
        <f>(H36/G36)-1</f>
        <v>0</v>
      </c>
      <c r="I39" s="386">
        <f t="shared" ref="I39:L39" si="9">(I36/H36)-1</f>
        <v>0</v>
      </c>
      <c r="J39" s="386">
        <f t="shared" si="9"/>
        <v>0</v>
      </c>
      <c r="K39" s="386">
        <f t="shared" si="9"/>
        <v>0</v>
      </c>
      <c r="L39" s="386">
        <f t="shared" si="9"/>
        <v>0</v>
      </c>
      <c r="N39" s="104"/>
    </row>
    <row r="40" spans="1:14" x14ac:dyDescent="0.25">
      <c r="A40" s="96">
        <f>ROW()</f>
        <v>40</v>
      </c>
      <c r="B40" s="343" t="s">
        <v>325</v>
      </c>
      <c r="C40" s="180"/>
      <c r="D40" s="180"/>
      <c r="E40" s="180"/>
      <c r="F40" s="381"/>
      <c r="G40" s="387">
        <f>+'Mkt Res'!E29</f>
        <v>1.0000086206896552</v>
      </c>
      <c r="H40" s="387">
        <f>+'Mkt Res'!F29</f>
        <v>1.0000086206896552</v>
      </c>
      <c r="I40" s="387">
        <f>+'Mkt Res'!G29</f>
        <v>1.0000086206896552</v>
      </c>
      <c r="J40" s="387">
        <f>+'Mkt Res'!H29</f>
        <v>1.0000086206896552</v>
      </c>
      <c r="K40" s="387">
        <f>+'Mkt Res'!I29</f>
        <v>1.0000086206896552</v>
      </c>
      <c r="L40" s="387">
        <f>+'Mkt Res'!J29</f>
        <v>1.0000086206896552</v>
      </c>
      <c r="N40" s="104"/>
    </row>
    <row r="41" spans="1:14" x14ac:dyDescent="0.25">
      <c r="A41" s="96">
        <f>ROW()</f>
        <v>41</v>
      </c>
      <c r="B41" s="335" t="s">
        <v>326</v>
      </c>
      <c r="C41" s="29"/>
      <c r="D41" s="29"/>
      <c r="E41" s="29"/>
      <c r="F41" s="388"/>
      <c r="G41" s="389">
        <f>+'Mkt Res'!E30</f>
        <v>1.0000086206896552</v>
      </c>
      <c r="H41" s="389">
        <f>+'Mkt Res'!F30</f>
        <v>1.0000086206896552</v>
      </c>
      <c r="I41" s="389">
        <f>+'Mkt Res'!G30</f>
        <v>1.0000086206896552</v>
      </c>
      <c r="J41" s="389">
        <f>+'Mkt Res'!H30</f>
        <v>1.0000086206896552</v>
      </c>
      <c r="K41" s="389">
        <f>+'Mkt Res'!I30</f>
        <v>1.0000086206896552</v>
      </c>
      <c r="L41" s="389">
        <f>+'Mkt Res'!J30</f>
        <v>1.0000086206896552</v>
      </c>
      <c r="N41" s="104"/>
    </row>
    <row r="42" spans="1:14" x14ac:dyDescent="0.25">
      <c r="A42" s="96">
        <f>ROW()</f>
        <v>42</v>
      </c>
      <c r="B42" s="384"/>
      <c r="F42" s="279"/>
      <c r="G42" s="385"/>
      <c r="H42" s="386"/>
      <c r="I42" s="386"/>
      <c r="J42" s="386"/>
      <c r="K42" s="386"/>
      <c r="L42" s="386"/>
      <c r="N42" s="104"/>
    </row>
    <row r="43" spans="1:14" x14ac:dyDescent="0.25">
      <c r="A43" s="96">
        <f>ROW()</f>
        <v>43</v>
      </c>
      <c r="B43" s="37" t="s">
        <v>327</v>
      </c>
      <c r="G43" s="390">
        <v>0</v>
      </c>
      <c r="N43" s="104"/>
    </row>
    <row r="44" spans="1:14" x14ac:dyDescent="0.25">
      <c r="A44" s="96">
        <f>ROW()</f>
        <v>44</v>
      </c>
      <c r="B44" s="391" t="s">
        <v>328</v>
      </c>
      <c r="F44" s="392"/>
      <c r="G44" s="393">
        <v>1</v>
      </c>
      <c r="H44" s="393">
        <v>1</v>
      </c>
      <c r="I44" s="393">
        <v>1</v>
      </c>
      <c r="J44" s="393">
        <v>1</v>
      </c>
      <c r="K44" s="393">
        <v>1</v>
      </c>
      <c r="L44" s="393">
        <v>1</v>
      </c>
      <c r="N44" s="104"/>
    </row>
    <row r="45" spans="1:14" x14ac:dyDescent="0.25">
      <c r="A45" s="96">
        <f>ROW()</f>
        <v>45</v>
      </c>
      <c r="B45" s="391" t="s">
        <v>329</v>
      </c>
      <c r="F45" s="286"/>
      <c r="G45" s="394">
        <f t="shared" ref="G45:L45" si="10">+G36*(1-G44)</f>
        <v>0</v>
      </c>
      <c r="H45" s="394">
        <f t="shared" si="10"/>
        <v>0</v>
      </c>
      <c r="I45" s="394">
        <f t="shared" si="10"/>
        <v>0</v>
      </c>
      <c r="J45" s="394">
        <f t="shared" si="10"/>
        <v>0</v>
      </c>
      <c r="K45" s="394">
        <f t="shared" si="10"/>
        <v>0</v>
      </c>
      <c r="L45" s="394">
        <f t="shared" si="10"/>
        <v>0</v>
      </c>
      <c r="N45" s="104"/>
    </row>
    <row r="46" spans="1:14" x14ac:dyDescent="0.25">
      <c r="A46" s="96">
        <f>ROW()</f>
        <v>46</v>
      </c>
      <c r="B46" s="391"/>
      <c r="F46" s="286"/>
      <c r="G46" s="395"/>
      <c r="H46" s="395"/>
      <c r="I46" s="395"/>
      <c r="J46" s="395"/>
      <c r="K46" s="395"/>
      <c r="L46" s="395"/>
      <c r="N46" s="104"/>
    </row>
    <row r="47" spans="1:14" x14ac:dyDescent="0.25">
      <c r="A47" s="96">
        <f>ROW()</f>
        <v>47</v>
      </c>
      <c r="B47" s="396" t="s">
        <v>330</v>
      </c>
      <c r="C47" s="397"/>
      <c r="D47" s="397"/>
      <c r="E47" s="397"/>
      <c r="F47" s="261"/>
      <c r="G47" s="398"/>
      <c r="H47" s="261"/>
      <c r="I47" s="261"/>
      <c r="J47" s="261"/>
      <c r="K47" s="261"/>
      <c r="L47" s="261"/>
      <c r="N47" s="104"/>
    </row>
    <row r="48" spans="1:14" x14ac:dyDescent="0.25">
      <c r="A48" s="96">
        <f>ROW()</f>
        <v>48</v>
      </c>
      <c r="B48" s="38"/>
      <c r="C48" s="399"/>
      <c r="D48" s="41" t="s">
        <v>331</v>
      </c>
      <c r="E48" s="41"/>
      <c r="N48" s="104"/>
    </row>
    <row r="49" spans="1:14" x14ac:dyDescent="0.25">
      <c r="A49" s="96">
        <f>ROW()</f>
        <v>49</v>
      </c>
      <c r="C49" s="41"/>
      <c r="D49" s="41" t="s">
        <v>332</v>
      </c>
      <c r="E49" s="41"/>
      <c r="N49" s="104"/>
    </row>
    <row r="50" spans="1:14" x14ac:dyDescent="0.25">
      <c r="A50" s="96">
        <f>ROW()</f>
        <v>50</v>
      </c>
      <c r="B50" s="400" t="s">
        <v>333</v>
      </c>
      <c r="C50" s="401"/>
      <c r="D50" s="367"/>
      <c r="E50" s="402"/>
      <c r="F50" s="403"/>
      <c r="G50" s="403"/>
      <c r="H50" s="403"/>
      <c r="I50" s="403"/>
      <c r="J50" s="403"/>
      <c r="K50" s="403"/>
      <c r="L50" s="403"/>
      <c r="N50" s="104"/>
    </row>
    <row r="51" spans="1:14" x14ac:dyDescent="0.25">
      <c r="A51" s="96">
        <f>ROW()</f>
        <v>51</v>
      </c>
      <c r="B51" s="64" t="s">
        <v>334</v>
      </c>
      <c r="C51" s="404"/>
      <c r="D51" s="405">
        <v>0.13700000000000001</v>
      </c>
      <c r="E51" s="404"/>
      <c r="F51" s="406"/>
      <c r="G51" s="407">
        <f t="shared" ref="G51:L54" si="11">+$D51*G$36</f>
        <v>317.84274000000005</v>
      </c>
      <c r="H51" s="407">
        <f t="shared" si="11"/>
        <v>317.84274000000005</v>
      </c>
      <c r="I51" s="407">
        <f t="shared" si="11"/>
        <v>317.84274000000005</v>
      </c>
      <c r="J51" s="407">
        <f t="shared" si="11"/>
        <v>317.84274000000005</v>
      </c>
      <c r="K51" s="407">
        <f t="shared" si="11"/>
        <v>317.84274000000005</v>
      </c>
      <c r="L51" s="407">
        <f t="shared" si="11"/>
        <v>317.84274000000005</v>
      </c>
      <c r="N51" s="104" t="s">
        <v>335</v>
      </c>
    </row>
    <row r="52" spans="1:14" x14ac:dyDescent="0.25">
      <c r="A52" s="96">
        <f>ROW()</f>
        <v>52</v>
      </c>
      <c r="B52" s="272" t="s">
        <v>336</v>
      </c>
      <c r="C52" s="404"/>
      <c r="D52" s="405">
        <v>9.8000000000000004E-2</v>
      </c>
      <c r="E52" s="404"/>
      <c r="F52" s="408"/>
      <c r="G52" s="407">
        <f t="shared" si="11"/>
        <v>227.36196000000001</v>
      </c>
      <c r="H52" s="407">
        <f t="shared" si="11"/>
        <v>227.36196000000001</v>
      </c>
      <c r="I52" s="407">
        <f t="shared" si="11"/>
        <v>227.36196000000001</v>
      </c>
      <c r="J52" s="407">
        <f t="shared" si="11"/>
        <v>227.36196000000001</v>
      </c>
      <c r="K52" s="407">
        <f t="shared" si="11"/>
        <v>227.36196000000001</v>
      </c>
      <c r="L52" s="407">
        <f t="shared" si="11"/>
        <v>227.36196000000001</v>
      </c>
      <c r="N52" s="104" t="s">
        <v>337</v>
      </c>
    </row>
    <row r="53" spans="1:14" x14ac:dyDescent="0.25">
      <c r="A53" s="96">
        <f>ROW()</f>
        <v>53</v>
      </c>
      <c r="B53" s="272" t="s">
        <v>338</v>
      </c>
      <c r="C53" s="404"/>
      <c r="D53" s="405">
        <v>0</v>
      </c>
      <c r="E53" s="409"/>
      <c r="F53" s="410"/>
      <c r="G53" s="407">
        <f t="shared" si="11"/>
        <v>0</v>
      </c>
      <c r="H53" s="407">
        <f t="shared" si="11"/>
        <v>0</v>
      </c>
      <c r="I53" s="407">
        <f t="shared" si="11"/>
        <v>0</v>
      </c>
      <c r="J53" s="407">
        <f t="shared" si="11"/>
        <v>0</v>
      </c>
      <c r="K53" s="407">
        <f t="shared" si="11"/>
        <v>0</v>
      </c>
      <c r="L53" s="407">
        <f t="shared" si="11"/>
        <v>0</v>
      </c>
      <c r="N53" s="104"/>
    </row>
    <row r="54" spans="1:14" x14ac:dyDescent="0.25">
      <c r="A54" s="96">
        <f>ROW()</f>
        <v>54</v>
      </c>
      <c r="B54" s="64" t="s">
        <v>339</v>
      </c>
      <c r="C54" s="404"/>
      <c r="D54" s="411"/>
      <c r="E54" s="404"/>
      <c r="F54" s="410"/>
      <c r="G54" s="407">
        <f t="shared" si="11"/>
        <v>0</v>
      </c>
      <c r="H54" s="407">
        <f t="shared" si="11"/>
        <v>0</v>
      </c>
      <c r="I54" s="407">
        <f t="shared" si="11"/>
        <v>0</v>
      </c>
      <c r="J54" s="407">
        <f t="shared" si="11"/>
        <v>0</v>
      </c>
      <c r="K54" s="407">
        <f t="shared" si="11"/>
        <v>0</v>
      </c>
      <c r="L54" s="407">
        <f t="shared" si="11"/>
        <v>0</v>
      </c>
      <c r="N54" s="104"/>
    </row>
    <row r="55" spans="1:14" x14ac:dyDescent="0.25">
      <c r="A55" s="96">
        <f>ROW()</f>
        <v>55</v>
      </c>
      <c r="B55" s="275"/>
      <c r="C55" s="412"/>
      <c r="D55" s="413"/>
      <c r="E55" s="413"/>
      <c r="F55" s="414"/>
      <c r="G55" s="415"/>
      <c r="H55" s="415"/>
      <c r="I55" s="415"/>
      <c r="J55" s="415"/>
      <c r="K55" s="415"/>
      <c r="L55" s="415"/>
      <c r="N55" s="104"/>
    </row>
    <row r="56" spans="1:14" x14ac:dyDescent="0.25">
      <c r="A56" s="96">
        <f>ROW()</f>
        <v>56</v>
      </c>
      <c r="B56" s="37" t="s">
        <v>340</v>
      </c>
      <c r="D56" s="416">
        <f>SUM(D51:D55)</f>
        <v>0.23500000000000001</v>
      </c>
      <c r="E56" s="417"/>
      <c r="F56" s="418" t="s">
        <v>341</v>
      </c>
      <c r="G56" s="419">
        <f>SUM(G51:G55)</f>
        <v>545.2047</v>
      </c>
      <c r="H56" s="419">
        <f t="shared" ref="H56:L56" si="12">SUM(H51:H55)</f>
        <v>545.2047</v>
      </c>
      <c r="I56" s="419">
        <f t="shared" si="12"/>
        <v>545.2047</v>
      </c>
      <c r="J56" s="419">
        <f t="shared" si="12"/>
        <v>545.2047</v>
      </c>
      <c r="K56" s="419">
        <f t="shared" si="12"/>
        <v>545.2047</v>
      </c>
      <c r="L56" s="419">
        <f t="shared" si="12"/>
        <v>545.2047</v>
      </c>
      <c r="N56" s="104"/>
    </row>
    <row r="57" spans="1:14" x14ac:dyDescent="0.25">
      <c r="A57" s="96">
        <f>ROW()</f>
        <v>57</v>
      </c>
      <c r="B57" s="37"/>
      <c r="F57" s="420"/>
      <c r="G57" s="421"/>
      <c r="H57" s="421"/>
      <c r="I57" s="421"/>
      <c r="J57" s="421"/>
      <c r="K57" s="421"/>
      <c r="L57" s="421"/>
      <c r="N57" s="104"/>
    </row>
    <row r="58" spans="1:14" x14ac:dyDescent="0.25">
      <c r="A58" s="96">
        <f>ROW()</f>
        <v>58</v>
      </c>
      <c r="B58" s="141"/>
      <c r="F58" s="286"/>
      <c r="G58" s="395"/>
      <c r="H58" s="395"/>
      <c r="I58" s="395"/>
      <c r="J58" s="395"/>
      <c r="K58" s="395"/>
      <c r="L58" s="395"/>
      <c r="N58" s="104"/>
    </row>
    <row r="59" spans="1:14" x14ac:dyDescent="0.25">
      <c r="A59" s="96">
        <f>ROW()</f>
        <v>59</v>
      </c>
      <c r="B59" s="422" t="s">
        <v>342</v>
      </c>
      <c r="C59" s="397"/>
      <c r="D59" s="397"/>
      <c r="E59" s="397"/>
      <c r="F59" s="261"/>
      <c r="G59" s="398"/>
      <c r="H59" s="261"/>
      <c r="I59" s="261"/>
      <c r="J59" s="261"/>
      <c r="K59" s="261"/>
      <c r="L59" s="261"/>
      <c r="N59" s="104"/>
    </row>
    <row r="60" spans="1:14" x14ac:dyDescent="0.25">
      <c r="A60" s="96">
        <f>ROW()</f>
        <v>60</v>
      </c>
      <c r="B60" s="423" t="s">
        <v>343</v>
      </c>
      <c r="C60" s="40"/>
      <c r="D60" s="40"/>
      <c r="E60" s="40"/>
      <c r="F60" s="40"/>
      <c r="G60" s="40"/>
      <c r="H60" s="40"/>
      <c r="I60" s="40"/>
      <c r="J60" s="40"/>
      <c r="K60" s="40"/>
      <c r="L60" s="40"/>
      <c r="N60" s="104"/>
    </row>
    <row r="61" spans="1:14" x14ac:dyDescent="0.25">
      <c r="A61" s="96">
        <f>ROW()</f>
        <v>61</v>
      </c>
      <c r="B61" s="423" t="s">
        <v>344</v>
      </c>
      <c r="C61" s="40"/>
      <c r="D61" s="423"/>
      <c r="E61" s="40"/>
      <c r="F61" s="40"/>
      <c r="G61" s="40"/>
      <c r="H61" s="40"/>
      <c r="I61" s="40"/>
      <c r="J61" s="40"/>
      <c r="K61" s="40"/>
      <c r="L61" s="40"/>
      <c r="N61" s="104"/>
    </row>
    <row r="62" spans="1:14" x14ac:dyDescent="0.25">
      <c r="A62" s="96">
        <f>ROW()</f>
        <v>62</v>
      </c>
      <c r="B62" s="423" t="s">
        <v>345</v>
      </c>
      <c r="C62" s="40"/>
      <c r="D62" s="423"/>
      <c r="E62" s="40"/>
      <c r="F62" s="40"/>
      <c r="G62" s="40"/>
      <c r="H62" s="40"/>
      <c r="I62" s="40"/>
      <c r="J62" s="40"/>
      <c r="K62" s="40"/>
      <c r="L62" s="40"/>
      <c r="N62" s="104"/>
    </row>
    <row r="63" spans="1:14" x14ac:dyDescent="0.25">
      <c r="A63" s="96">
        <f>ROW()</f>
        <v>63</v>
      </c>
      <c r="B63" s="423" t="s">
        <v>346</v>
      </c>
      <c r="C63" s="40"/>
      <c r="D63" s="423"/>
      <c r="E63" s="40"/>
      <c r="F63" s="40"/>
      <c r="G63" s="40"/>
      <c r="H63" s="40"/>
      <c r="I63" s="40"/>
      <c r="J63" s="40"/>
      <c r="K63" s="40"/>
      <c r="L63" s="40"/>
      <c r="N63" s="104"/>
    </row>
    <row r="64" spans="1:14" x14ac:dyDescent="0.25">
      <c r="A64" s="96">
        <f>ROW()</f>
        <v>64</v>
      </c>
      <c r="B64" s="423"/>
      <c r="C64" s="40"/>
      <c r="D64" s="423"/>
      <c r="E64" s="40"/>
      <c r="F64" s="40"/>
      <c r="G64" s="40"/>
      <c r="H64" s="40"/>
      <c r="I64" s="40"/>
      <c r="J64" s="40"/>
      <c r="K64" s="40"/>
      <c r="L64" s="40"/>
      <c r="N64" s="104"/>
    </row>
    <row r="65" spans="1:14" x14ac:dyDescent="0.25">
      <c r="A65" s="96">
        <f>ROW()</f>
        <v>65</v>
      </c>
      <c r="B65" s="399"/>
      <c r="C65" s="41" t="s">
        <v>347</v>
      </c>
      <c r="D65" s="399" t="s">
        <v>348</v>
      </c>
      <c r="E65" s="41" t="s">
        <v>349</v>
      </c>
      <c r="N65" s="104"/>
    </row>
    <row r="66" spans="1:14" x14ac:dyDescent="0.25">
      <c r="A66" s="96">
        <f>ROW()</f>
        <v>66</v>
      </c>
      <c r="C66" s="41" t="s">
        <v>350</v>
      </c>
      <c r="D66" s="41" t="s">
        <v>351</v>
      </c>
      <c r="E66" s="41" t="s">
        <v>350</v>
      </c>
      <c r="N66" s="104"/>
    </row>
    <row r="67" spans="1:14" x14ac:dyDescent="0.25">
      <c r="A67" s="96">
        <f>ROW()</f>
        <v>67</v>
      </c>
      <c r="B67" s="367"/>
      <c r="C67" s="367"/>
      <c r="D67" s="367"/>
      <c r="E67" s="402"/>
      <c r="F67" s="424"/>
      <c r="G67" s="424"/>
      <c r="H67" s="424"/>
      <c r="I67" s="424"/>
      <c r="J67" s="424"/>
      <c r="K67" s="424"/>
      <c r="L67" s="424"/>
      <c r="N67" s="104"/>
    </row>
    <row r="68" spans="1:14" x14ac:dyDescent="0.25">
      <c r="A68" s="96">
        <f>ROW()</f>
        <v>68</v>
      </c>
      <c r="B68" s="64" t="s">
        <v>334</v>
      </c>
      <c r="C68" s="425">
        <f>+D51</f>
        <v>0.13700000000000001</v>
      </c>
      <c r="D68" s="426">
        <v>1</v>
      </c>
      <c r="E68" s="426">
        <f>+C68</f>
        <v>0.13700000000000001</v>
      </c>
      <c r="F68" s="427">
        <v>318</v>
      </c>
      <c r="G68" s="428">
        <f t="shared" ref="G68:L70" si="13">+$E68*G$36</f>
        <v>317.84274000000005</v>
      </c>
      <c r="H68" s="428">
        <f t="shared" si="13"/>
        <v>317.84274000000005</v>
      </c>
      <c r="I68" s="428">
        <f t="shared" si="13"/>
        <v>317.84274000000005</v>
      </c>
      <c r="J68" s="428">
        <f t="shared" si="13"/>
        <v>317.84274000000005</v>
      </c>
      <c r="K68" s="428">
        <f t="shared" si="13"/>
        <v>317.84274000000005</v>
      </c>
      <c r="L68" s="428">
        <f t="shared" si="13"/>
        <v>317.84274000000005</v>
      </c>
      <c r="N68" s="104"/>
    </row>
    <row r="69" spans="1:14" x14ac:dyDescent="0.25">
      <c r="A69" s="96">
        <f>ROW()</f>
        <v>69</v>
      </c>
      <c r="B69" s="272" t="s">
        <v>352</v>
      </c>
      <c r="C69" s="425">
        <f>+D52</f>
        <v>9.8000000000000004E-2</v>
      </c>
      <c r="D69" s="426">
        <v>0.8579</v>
      </c>
      <c r="E69" s="426">
        <f>+C69*D69</f>
        <v>8.4074200000000002E-2</v>
      </c>
      <c r="F69" s="429">
        <v>195</v>
      </c>
      <c r="G69" s="430">
        <f>+$E69*G$36</f>
        <v>195.05382548400001</v>
      </c>
      <c r="H69" s="430">
        <f t="shared" si="13"/>
        <v>195.05382548400001</v>
      </c>
      <c r="I69" s="430">
        <f t="shared" si="13"/>
        <v>195.05382548400001</v>
      </c>
      <c r="J69" s="430">
        <f t="shared" si="13"/>
        <v>195.05382548400001</v>
      </c>
      <c r="K69" s="430">
        <f t="shared" si="13"/>
        <v>195.05382548400001</v>
      </c>
      <c r="L69" s="430">
        <f t="shared" si="13"/>
        <v>195.05382548400001</v>
      </c>
      <c r="N69" s="104"/>
    </row>
    <row r="70" spans="1:14" x14ac:dyDescent="0.25">
      <c r="A70" s="96">
        <f>ROW()</f>
        <v>70</v>
      </c>
      <c r="B70" s="272" t="s">
        <v>338</v>
      </c>
      <c r="C70" s="425">
        <f>+D53</f>
        <v>0</v>
      </c>
      <c r="D70" s="426">
        <v>0.9556</v>
      </c>
      <c r="E70" s="431">
        <f t="shared" ref="E70" si="14">+C70*D70</f>
        <v>0</v>
      </c>
      <c r="F70" s="432"/>
      <c r="G70" s="428">
        <f>+$E70*G$36</f>
        <v>0</v>
      </c>
      <c r="H70" s="428">
        <f t="shared" si="13"/>
        <v>0</v>
      </c>
      <c r="I70" s="428">
        <f t="shared" si="13"/>
        <v>0</v>
      </c>
      <c r="J70" s="428">
        <f t="shared" si="13"/>
        <v>0</v>
      </c>
      <c r="K70" s="428">
        <f t="shared" si="13"/>
        <v>0</v>
      </c>
      <c r="L70" s="428">
        <f t="shared" si="13"/>
        <v>0</v>
      </c>
      <c r="N70" s="104"/>
    </row>
    <row r="71" spans="1:14" x14ac:dyDescent="0.25">
      <c r="A71" s="96">
        <f>ROW()</f>
        <v>71</v>
      </c>
      <c r="B71" s="272" t="s">
        <v>353</v>
      </c>
      <c r="C71" s="425">
        <f>+D54</f>
        <v>0</v>
      </c>
      <c r="D71" s="426">
        <v>0.76949999999999996</v>
      </c>
      <c r="E71" s="426">
        <f>MIN(C71*D71,1-SUM(E68:E70))</f>
        <v>0</v>
      </c>
      <c r="F71" s="432"/>
      <c r="G71" s="430"/>
      <c r="H71" s="430"/>
      <c r="I71" s="430"/>
      <c r="J71" s="430"/>
      <c r="K71" s="430"/>
      <c r="L71" s="430"/>
      <c r="N71" s="104"/>
    </row>
    <row r="72" spans="1:14" x14ac:dyDescent="0.25">
      <c r="A72" s="96">
        <f>ROW()</f>
        <v>72</v>
      </c>
      <c r="B72" s="275" t="s">
        <v>354</v>
      </c>
      <c r="C72" s="433">
        <v>0</v>
      </c>
      <c r="D72" s="434">
        <v>0</v>
      </c>
      <c r="E72" s="435">
        <v>0</v>
      </c>
      <c r="F72" s="436"/>
      <c r="G72" s="437">
        <f>G$36-SUM(G68:G71)</f>
        <v>1807.1234345159999</v>
      </c>
      <c r="H72" s="437">
        <f t="shared" ref="H72" si="15">H$36-SUM(H68:H71)</f>
        <v>1807.1234345159999</v>
      </c>
      <c r="I72" s="437">
        <f t="shared" ref="I72:L72" si="16">I$36-SUM(I68:I71)</f>
        <v>1807.1234345159999</v>
      </c>
      <c r="J72" s="437">
        <f t="shared" si="16"/>
        <v>1807.1234345159999</v>
      </c>
      <c r="K72" s="437">
        <f t="shared" si="16"/>
        <v>1807.1234345159999</v>
      </c>
      <c r="L72" s="437">
        <f t="shared" si="16"/>
        <v>1807.1234345159999</v>
      </c>
      <c r="N72" s="104"/>
    </row>
    <row r="73" spans="1:14" x14ac:dyDescent="0.25">
      <c r="A73" s="96">
        <f>ROW()</f>
        <v>73</v>
      </c>
      <c r="B73" s="42" t="s">
        <v>355</v>
      </c>
      <c r="C73" s="438">
        <f>SUM(C68:C72)</f>
        <v>0.23500000000000001</v>
      </c>
      <c r="D73" s="439"/>
      <c r="E73" s="439">
        <f>SUM(E68:E72)</f>
        <v>0.2210742</v>
      </c>
      <c r="F73" s="440"/>
      <c r="G73" s="441">
        <f>SUM(G68:G72)</f>
        <v>2320.02</v>
      </c>
      <c r="H73" s="441">
        <f t="shared" ref="H73:L73" si="17">SUM(H68:H72)</f>
        <v>2320.02</v>
      </c>
      <c r="I73" s="441">
        <f t="shared" si="17"/>
        <v>2320.02</v>
      </c>
      <c r="J73" s="441">
        <f t="shared" si="17"/>
        <v>2320.02</v>
      </c>
      <c r="K73" s="441">
        <f t="shared" si="17"/>
        <v>2320.02</v>
      </c>
      <c r="L73" s="441">
        <f t="shared" si="17"/>
        <v>2320.02</v>
      </c>
      <c r="N73" s="104"/>
    </row>
    <row r="74" spans="1:14" x14ac:dyDescent="0.25">
      <c r="A74" s="96">
        <f>ROW()</f>
        <v>74</v>
      </c>
      <c r="B74" s="42" t="s">
        <v>356</v>
      </c>
      <c r="C74" s="442">
        <f>IF(C73&gt;1,"Be sure next data tabe set =100%",0)</f>
        <v>0</v>
      </c>
      <c r="D74" s="442"/>
      <c r="E74" s="443"/>
      <c r="F74" s="420"/>
      <c r="G74" s="444">
        <f>SUM(G68:G71)</f>
        <v>512.89656548400012</v>
      </c>
      <c r="H74" s="444">
        <f t="shared" ref="H74:L74" si="18">SUM(H68:H71)</f>
        <v>512.89656548400012</v>
      </c>
      <c r="I74" s="444">
        <f t="shared" si="18"/>
        <v>512.89656548400012</v>
      </c>
      <c r="J74" s="444">
        <f t="shared" si="18"/>
        <v>512.89656548400012</v>
      </c>
      <c r="K74" s="444">
        <f t="shared" si="18"/>
        <v>512.89656548400012</v>
      </c>
      <c r="L74" s="444">
        <f t="shared" si="18"/>
        <v>512.89656548400012</v>
      </c>
      <c r="N74" s="104"/>
    </row>
    <row r="75" spans="1:14" x14ac:dyDescent="0.25">
      <c r="A75" s="96">
        <f>ROW()</f>
        <v>75</v>
      </c>
      <c r="B75" s="42" t="s">
        <v>357</v>
      </c>
      <c r="D75" s="442"/>
      <c r="E75" s="443"/>
      <c r="F75" s="420"/>
      <c r="G75" s="445">
        <f>+G74/G73</f>
        <v>0.22107420000000005</v>
      </c>
      <c r="H75" s="445">
        <f t="shared" ref="H75:L75" si="19">+H74/H73</f>
        <v>0.22107420000000005</v>
      </c>
      <c r="I75" s="445">
        <f t="shared" si="19"/>
        <v>0.22107420000000005</v>
      </c>
      <c r="J75" s="445">
        <f t="shared" si="19"/>
        <v>0.22107420000000005</v>
      </c>
      <c r="K75" s="445">
        <f t="shared" si="19"/>
        <v>0.22107420000000005</v>
      </c>
      <c r="L75" s="445">
        <f t="shared" si="19"/>
        <v>0.22107420000000005</v>
      </c>
      <c r="N75" s="104"/>
    </row>
    <row r="76" spans="1:14" x14ac:dyDescent="0.25">
      <c r="A76" s="96">
        <f>ROW()</f>
        <v>76</v>
      </c>
      <c r="B76" s="42" t="s">
        <v>358</v>
      </c>
      <c r="F76" s="420"/>
      <c r="G76" s="421" t="str">
        <f t="shared" ref="G76:L76" si="20">IF(G72&lt;0,"ERROR", "-")</f>
        <v>-</v>
      </c>
      <c r="H76" s="421" t="str">
        <f t="shared" si="20"/>
        <v>-</v>
      </c>
      <c r="I76" s="421" t="str">
        <f t="shared" si="20"/>
        <v>-</v>
      </c>
      <c r="J76" s="421" t="str">
        <f t="shared" si="20"/>
        <v>-</v>
      </c>
      <c r="K76" s="421" t="str">
        <f t="shared" si="20"/>
        <v>-</v>
      </c>
      <c r="L76" s="421" t="str">
        <f t="shared" si="20"/>
        <v>-</v>
      </c>
      <c r="N76" s="104"/>
    </row>
    <row r="77" spans="1:14" ht="15.75" thickBot="1" x14ac:dyDescent="0.3">
      <c r="A77" s="96">
        <f>ROW()</f>
        <v>77</v>
      </c>
      <c r="F77" s="420"/>
      <c r="G77" s="446"/>
      <c r="H77" s="446"/>
      <c r="I77" s="446"/>
      <c r="J77" s="446"/>
      <c r="K77" s="446"/>
      <c r="L77" s="446"/>
      <c r="N77" s="104"/>
    </row>
    <row r="78" spans="1:14" ht="15.75" thickBot="1" x14ac:dyDescent="0.3">
      <c r="A78" s="96">
        <f>ROW()</f>
        <v>78</v>
      </c>
      <c r="B78" s="42" t="s">
        <v>359</v>
      </c>
      <c r="C78" s="447" t="s">
        <v>360</v>
      </c>
      <c r="D78" s="42" t="s">
        <v>361</v>
      </c>
      <c r="N78" s="104"/>
    </row>
    <row r="79" spans="1:14" x14ac:dyDescent="0.25">
      <c r="A79" s="96">
        <f>ROW()</f>
        <v>79</v>
      </c>
      <c r="D79" s="448" t="s">
        <v>362</v>
      </c>
      <c r="F79" s="449"/>
      <c r="G79" s="450"/>
      <c r="H79" s="450"/>
      <c r="I79" s="450"/>
      <c r="J79" s="450"/>
      <c r="K79" s="450"/>
      <c r="L79" s="450"/>
      <c r="N79" s="104"/>
    </row>
    <row r="80" spans="1:14" x14ac:dyDescent="0.25">
      <c r="A80" s="96">
        <f>ROW()</f>
        <v>80</v>
      </c>
      <c r="F80" s="449"/>
      <c r="G80" s="450"/>
      <c r="H80" s="450"/>
      <c r="I80" s="450"/>
      <c r="J80" s="450"/>
      <c r="K80" s="450"/>
      <c r="L80" s="450"/>
      <c r="N80" s="104"/>
    </row>
    <row r="81" spans="1:14" x14ac:dyDescent="0.25">
      <c r="A81" s="96">
        <f>ROW()</f>
        <v>81</v>
      </c>
      <c r="B81" s="422" t="s">
        <v>363</v>
      </c>
      <c r="C81" s="451" t="s">
        <v>364</v>
      </c>
      <c r="D81" s="261"/>
      <c r="E81" s="261"/>
      <c r="F81" s="452"/>
      <c r="G81" s="453"/>
      <c r="H81" s="453"/>
      <c r="I81" s="453"/>
      <c r="J81" s="453"/>
      <c r="K81" s="453"/>
      <c r="L81" s="453"/>
      <c r="N81" s="104"/>
    </row>
    <row r="82" spans="1:14" x14ac:dyDescent="0.25">
      <c r="A82" s="96">
        <f>ROW()</f>
        <v>82</v>
      </c>
      <c r="B82" s="42" t="s">
        <v>365</v>
      </c>
      <c r="F82" s="449"/>
      <c r="G82" s="449"/>
      <c r="H82" s="449"/>
      <c r="I82" s="449"/>
      <c r="J82" s="449"/>
      <c r="K82" s="449"/>
      <c r="L82" s="449"/>
      <c r="N82" s="104"/>
    </row>
    <row r="83" spans="1:14" x14ac:dyDescent="0.25">
      <c r="A83" s="96">
        <f>ROW()</f>
        <v>83</v>
      </c>
      <c r="C83" s="41" t="s">
        <v>366</v>
      </c>
      <c r="D83" s="41" t="s">
        <v>367</v>
      </c>
      <c r="F83" s="449"/>
      <c r="G83" s="449"/>
      <c r="H83" s="449"/>
      <c r="I83" s="449"/>
      <c r="J83" s="449"/>
      <c r="K83" s="449"/>
      <c r="L83" s="449"/>
      <c r="N83" s="104"/>
    </row>
    <row r="84" spans="1:14" x14ac:dyDescent="0.25">
      <c r="A84" s="96">
        <f>ROW()</f>
        <v>84</v>
      </c>
      <c r="B84" s="42" t="str">
        <f>+B51</f>
        <v>State Special Education (SPED)</v>
      </c>
      <c r="C84" s="454">
        <f>+D84/C89</f>
        <v>0.40843424686636925</v>
      </c>
      <c r="D84" s="124">
        <f>+'PCFP Rates'!E26</f>
        <v>3845</v>
      </c>
      <c r="F84" s="455"/>
      <c r="G84" s="456">
        <f t="shared" ref="G84:L87" si="21">+F68*$D84</f>
        <v>1222710</v>
      </c>
      <c r="H84" s="456">
        <f t="shared" si="21"/>
        <v>1222105.3353000002</v>
      </c>
      <c r="I84" s="456">
        <f t="shared" si="21"/>
        <v>1222105.3353000002</v>
      </c>
      <c r="J84" s="456">
        <f t="shared" si="21"/>
        <v>1222105.3353000002</v>
      </c>
      <c r="K84" s="456">
        <f t="shared" si="21"/>
        <v>1222105.3353000002</v>
      </c>
      <c r="L84" s="456">
        <f t="shared" si="21"/>
        <v>1222105.3353000002</v>
      </c>
      <c r="N84" s="104"/>
    </row>
    <row r="85" spans="1:14" x14ac:dyDescent="0.25">
      <c r="A85" s="96">
        <f>ROW()</f>
        <v>85</v>
      </c>
      <c r="B85" s="42" t="str">
        <f>+B52</f>
        <v>English Language Learners (EL)</v>
      </c>
      <c r="C85" s="454">
        <v>0.23</v>
      </c>
      <c r="D85" s="124">
        <f>+$C$89*C85</f>
        <v>2165.2200000000003</v>
      </c>
      <c r="F85" s="449"/>
      <c r="G85" s="457">
        <f t="shared" si="21"/>
        <v>422217.9</v>
      </c>
      <c r="H85" s="457">
        <f t="shared" si="21"/>
        <v>422334.44401446654</v>
      </c>
      <c r="I85" s="457">
        <f t="shared" si="21"/>
        <v>422334.44401446654</v>
      </c>
      <c r="J85" s="457">
        <f t="shared" si="21"/>
        <v>422334.44401446654</v>
      </c>
      <c r="K85" s="457">
        <f t="shared" si="21"/>
        <v>422334.44401446654</v>
      </c>
      <c r="L85" s="457">
        <f t="shared" si="21"/>
        <v>422334.44401446654</v>
      </c>
      <c r="N85" s="104"/>
    </row>
    <row r="86" spans="1:14" x14ac:dyDescent="0.25">
      <c r="A86" s="96">
        <f>ROW()</f>
        <v>86</v>
      </c>
      <c r="B86" s="42" t="str">
        <f>+B53</f>
        <v>Gifted &amp; Talented (GATE)</v>
      </c>
      <c r="C86" s="454">
        <v>0.12</v>
      </c>
      <c r="D86" s="124">
        <f>+$C$89*C86</f>
        <v>1129.68</v>
      </c>
      <c r="F86" s="449"/>
      <c r="G86" s="457">
        <f t="shared" si="21"/>
        <v>0</v>
      </c>
      <c r="H86" s="457">
        <f t="shared" si="21"/>
        <v>0</v>
      </c>
      <c r="I86" s="457">
        <f t="shared" si="21"/>
        <v>0</v>
      </c>
      <c r="J86" s="457">
        <f t="shared" si="21"/>
        <v>0</v>
      </c>
      <c r="K86" s="457">
        <f t="shared" si="21"/>
        <v>0</v>
      </c>
      <c r="L86" s="457">
        <f t="shared" si="21"/>
        <v>0</v>
      </c>
      <c r="N86" s="104"/>
    </row>
    <row r="87" spans="1:14" x14ac:dyDescent="0.25">
      <c r="A87" s="96">
        <f>ROW()</f>
        <v>87</v>
      </c>
      <c r="B87" s="42" t="s">
        <v>368</v>
      </c>
      <c r="C87" s="454"/>
      <c r="D87" s="458"/>
      <c r="E87" s="64"/>
      <c r="F87" s="459"/>
      <c r="G87" s="460">
        <f t="shared" si="21"/>
        <v>0</v>
      </c>
      <c r="H87" s="460">
        <f t="shared" si="21"/>
        <v>0</v>
      </c>
      <c r="I87" s="460">
        <f t="shared" si="21"/>
        <v>0</v>
      </c>
      <c r="J87" s="460">
        <f t="shared" si="21"/>
        <v>0</v>
      </c>
      <c r="K87" s="460">
        <f t="shared" si="21"/>
        <v>0</v>
      </c>
      <c r="L87" s="460">
        <f t="shared" si="21"/>
        <v>0</v>
      </c>
      <c r="N87" s="104"/>
    </row>
    <row r="88" spans="1:14" x14ac:dyDescent="0.25">
      <c r="A88" s="96">
        <f>ROW()</f>
        <v>88</v>
      </c>
      <c r="B88" s="42" t="s">
        <v>369</v>
      </c>
      <c r="C88" s="461">
        <f>_xlfn.XLOOKUP(C78,'PCFP Rates'!B12:B20,'PCFP Rates'!E12:E20)</f>
        <v>9414</v>
      </c>
      <c r="D88" s="458">
        <f>+C88</f>
        <v>9414</v>
      </c>
      <c r="E88" s="64"/>
      <c r="F88" s="64"/>
      <c r="G88" s="462">
        <f t="shared" ref="G88:L88" si="22">+G36*$D88</f>
        <v>21840668.280000001</v>
      </c>
      <c r="H88" s="462">
        <f t="shared" si="22"/>
        <v>21840668.280000001</v>
      </c>
      <c r="I88" s="462">
        <f t="shared" si="22"/>
        <v>21840668.280000001</v>
      </c>
      <c r="J88" s="462">
        <f t="shared" si="22"/>
        <v>21840668.280000001</v>
      </c>
      <c r="K88" s="462">
        <f t="shared" si="22"/>
        <v>21840668.280000001</v>
      </c>
      <c r="L88" s="462">
        <f t="shared" si="22"/>
        <v>21840668.280000001</v>
      </c>
      <c r="N88" s="104"/>
    </row>
    <row r="89" spans="1:14" x14ac:dyDescent="0.25">
      <c r="A89" s="96">
        <f>ROW()</f>
        <v>89</v>
      </c>
      <c r="B89" s="42" t="s">
        <v>370</v>
      </c>
      <c r="C89" s="124">
        <f>+'PCFP Rates'!E20</f>
        <v>9414</v>
      </c>
      <c r="D89" s="463"/>
      <c r="E89" s="463"/>
      <c r="G89" s="463"/>
      <c r="H89" s="464"/>
      <c r="I89" s="464"/>
      <c r="J89" s="464"/>
      <c r="K89" s="464"/>
      <c r="L89" s="464"/>
      <c r="N89" s="104"/>
    </row>
    <row r="90" spans="1:14" x14ac:dyDescent="0.25">
      <c r="A90" s="96">
        <f>ROW()</f>
        <v>90</v>
      </c>
      <c r="C90" s="463"/>
      <c r="D90" s="463"/>
      <c r="E90" s="463"/>
      <c r="F90" s="395"/>
      <c r="G90" s="285"/>
      <c r="H90" s="285"/>
      <c r="I90" s="285"/>
      <c r="J90" s="285"/>
      <c r="K90" s="285"/>
      <c r="L90" s="285"/>
      <c r="N90" s="104"/>
    </row>
    <row r="91" spans="1:14" x14ac:dyDescent="0.25">
      <c r="A91" s="96">
        <f>ROW()</f>
        <v>91</v>
      </c>
      <c r="B91" s="422" t="s">
        <v>371</v>
      </c>
      <c r="C91" s="465"/>
      <c r="D91" s="465"/>
      <c r="E91" s="465"/>
      <c r="F91" s="451"/>
      <c r="G91" s="398"/>
      <c r="H91" s="398"/>
      <c r="I91" s="398"/>
      <c r="J91" s="398"/>
      <c r="K91" s="398"/>
      <c r="L91" s="398"/>
      <c r="N91" s="104"/>
    </row>
    <row r="92" spans="1:14" x14ac:dyDescent="0.25">
      <c r="A92" s="96">
        <f>ROW()</f>
        <v>92</v>
      </c>
      <c r="B92" s="52" t="s">
        <v>372</v>
      </c>
      <c r="C92" s="52"/>
      <c r="D92" s="52"/>
      <c r="E92" s="52"/>
      <c r="F92" s="466"/>
      <c r="G92" s="467">
        <f>+D54</f>
        <v>0</v>
      </c>
      <c r="H92" s="467">
        <f>+G92</f>
        <v>0</v>
      </c>
      <c r="I92" s="467">
        <f t="shared" ref="I92:L92" si="23">+H92</f>
        <v>0</v>
      </c>
      <c r="J92" s="467">
        <f t="shared" si="23"/>
        <v>0</v>
      </c>
      <c r="K92" s="467">
        <f t="shared" si="23"/>
        <v>0</v>
      </c>
      <c r="L92" s="467">
        <f t="shared" si="23"/>
        <v>0</v>
      </c>
      <c r="N92" s="104"/>
    </row>
    <row r="93" spans="1:14" x14ac:dyDescent="0.25">
      <c r="A93" s="96">
        <f>ROW()</f>
        <v>93</v>
      </c>
      <c r="B93" s="272" t="s">
        <v>373</v>
      </c>
      <c r="C93" s="64"/>
      <c r="D93" s="64"/>
      <c r="E93" s="64"/>
      <c r="F93" s="468"/>
      <c r="G93" s="469">
        <f>+D52</f>
        <v>9.8000000000000004E-2</v>
      </c>
      <c r="H93" s="469">
        <f t="shared" ref="H93:L94" si="24">+G93</f>
        <v>9.8000000000000004E-2</v>
      </c>
      <c r="I93" s="469">
        <f t="shared" si="24"/>
        <v>9.8000000000000004E-2</v>
      </c>
      <c r="J93" s="469">
        <f t="shared" si="24"/>
        <v>9.8000000000000004E-2</v>
      </c>
      <c r="K93" s="469">
        <f t="shared" si="24"/>
        <v>9.8000000000000004E-2</v>
      </c>
      <c r="L93" s="469">
        <f t="shared" si="24"/>
        <v>9.8000000000000004E-2</v>
      </c>
      <c r="N93" s="104"/>
    </row>
    <row r="94" spans="1:14" x14ac:dyDescent="0.25">
      <c r="A94" s="96">
        <f>ROW()</f>
        <v>94</v>
      </c>
      <c r="B94" s="373" t="s">
        <v>374</v>
      </c>
      <c r="C94" s="374"/>
      <c r="D94" s="374"/>
      <c r="E94" s="374"/>
      <c r="F94" s="470"/>
      <c r="G94" s="471">
        <f>+D51</f>
        <v>0.13700000000000001</v>
      </c>
      <c r="H94" s="471">
        <f t="shared" si="24"/>
        <v>0.13700000000000001</v>
      </c>
      <c r="I94" s="471">
        <f t="shared" si="24"/>
        <v>0.13700000000000001</v>
      </c>
      <c r="J94" s="471">
        <f t="shared" si="24"/>
        <v>0.13700000000000001</v>
      </c>
      <c r="K94" s="471">
        <f t="shared" si="24"/>
        <v>0.13700000000000001</v>
      </c>
      <c r="L94" s="471">
        <f t="shared" si="24"/>
        <v>0.13700000000000001</v>
      </c>
      <c r="N94" s="104"/>
    </row>
    <row r="95" spans="1:14" x14ac:dyDescent="0.25">
      <c r="A95" s="96">
        <f>ROW()</f>
        <v>95</v>
      </c>
      <c r="B95" s="269" t="s">
        <v>375</v>
      </c>
      <c r="C95" s="367"/>
      <c r="D95" s="367"/>
      <c r="E95" s="367"/>
      <c r="F95" s="472"/>
      <c r="G95" s="473">
        <f t="shared" ref="G95:L95" si="25">+G$36*G94</f>
        <v>317.84274000000005</v>
      </c>
      <c r="H95" s="473">
        <f t="shared" si="25"/>
        <v>317.84274000000005</v>
      </c>
      <c r="I95" s="473">
        <f t="shared" si="25"/>
        <v>317.84274000000005</v>
      </c>
      <c r="J95" s="473">
        <f t="shared" si="25"/>
        <v>317.84274000000005</v>
      </c>
      <c r="K95" s="473">
        <f t="shared" si="25"/>
        <v>317.84274000000005</v>
      </c>
      <c r="L95" s="473">
        <f t="shared" si="25"/>
        <v>317.84274000000005</v>
      </c>
      <c r="N95" s="104"/>
    </row>
    <row r="96" spans="1:14" x14ac:dyDescent="0.25">
      <c r="A96" s="96">
        <f>ROW()</f>
        <v>96</v>
      </c>
      <c r="B96" s="474"/>
      <c r="C96" s="475"/>
      <c r="D96" s="475"/>
      <c r="E96" s="475"/>
      <c r="F96" s="29"/>
      <c r="G96" s="29"/>
      <c r="H96" s="29"/>
      <c r="I96" s="29"/>
      <c r="J96" s="476"/>
      <c r="K96" s="476"/>
      <c r="L96" s="476"/>
      <c r="M96" s="477"/>
      <c r="N96" s="104"/>
    </row>
    <row r="97" spans="1:14" x14ac:dyDescent="0.25">
      <c r="A97" s="96">
        <f>ROW()</f>
        <v>97</v>
      </c>
      <c r="B97" s="266" t="s">
        <v>376</v>
      </c>
      <c r="C97" s="478">
        <v>0</v>
      </c>
      <c r="D97" s="266" t="s">
        <v>377</v>
      </c>
      <c r="E97" s="266"/>
      <c r="J97" s="266"/>
      <c r="K97" s="266"/>
      <c r="L97" s="266"/>
      <c r="M97" s="266"/>
      <c r="N97" s="104"/>
    </row>
    <row r="98" spans="1:14" x14ac:dyDescent="0.25">
      <c r="A98" s="96">
        <f>ROW()</f>
        <v>98</v>
      </c>
      <c r="B98" s="266" t="s">
        <v>378</v>
      </c>
      <c r="C98" s="479">
        <v>1.15E-2</v>
      </c>
      <c r="D98" s="480" t="s">
        <v>379</v>
      </c>
      <c r="E98" s="286"/>
      <c r="H98" s="84"/>
      <c r="I98" s="84"/>
      <c r="J98" s="480"/>
      <c r="K98" s="480"/>
      <c r="L98" s="480"/>
      <c r="M98" s="480"/>
      <c r="N98" s="104"/>
    </row>
    <row r="99" spans="1:14" x14ac:dyDescent="0.25">
      <c r="A99" s="96">
        <f>ROW()</f>
        <v>99</v>
      </c>
      <c r="B99" s="266" t="s">
        <v>380</v>
      </c>
      <c r="C99" s="481">
        <v>0</v>
      </c>
      <c r="D99" s="482" t="s">
        <v>381</v>
      </c>
      <c r="E99" s="482"/>
      <c r="H99" s="40"/>
      <c r="I99" s="40"/>
      <c r="J99" s="483"/>
      <c r="K99" s="483"/>
      <c r="L99" s="483"/>
      <c r="M99" s="483"/>
      <c r="N99" s="104"/>
    </row>
    <row r="100" spans="1:14" x14ac:dyDescent="0.25">
      <c r="A100" s="96">
        <f>ROW()</f>
        <v>100</v>
      </c>
      <c r="B100" s="266" t="s">
        <v>382</v>
      </c>
      <c r="C100" s="481">
        <v>0</v>
      </c>
      <c r="D100" s="482" t="s">
        <v>381</v>
      </c>
      <c r="E100" s="482"/>
      <c r="H100" s="40"/>
      <c r="I100" s="40"/>
      <c r="J100" s="483"/>
      <c r="K100" s="483"/>
      <c r="L100" s="483"/>
      <c r="M100" s="483"/>
      <c r="N100" s="104"/>
    </row>
    <row r="101" spans="1:14" x14ac:dyDescent="0.25">
      <c r="A101" s="96">
        <f>ROW()</f>
        <v>101</v>
      </c>
      <c r="B101" s="42" t="s">
        <v>383</v>
      </c>
      <c r="C101" s="484">
        <v>0</v>
      </c>
      <c r="D101" s="482" t="s">
        <v>381</v>
      </c>
      <c r="E101" s="482"/>
      <c r="H101" s="40"/>
      <c r="I101" s="40"/>
      <c r="J101" s="483"/>
      <c r="K101" s="483"/>
      <c r="L101" s="483"/>
      <c r="M101" s="483"/>
      <c r="N101" s="104"/>
    </row>
    <row r="102" spans="1:14" x14ac:dyDescent="0.25">
      <c r="A102" s="96">
        <f>ROW()</f>
        <v>102</v>
      </c>
      <c r="B102" s="266" t="s">
        <v>384</v>
      </c>
      <c r="C102" s="481">
        <v>0</v>
      </c>
      <c r="D102" s="482" t="s">
        <v>385</v>
      </c>
      <c r="E102" s="482"/>
      <c r="H102" s="40"/>
      <c r="I102" s="40"/>
      <c r="J102" s="483"/>
      <c r="K102" s="483"/>
      <c r="L102" s="483"/>
      <c r="M102" s="483"/>
      <c r="N102" s="104"/>
    </row>
    <row r="103" spans="1:14" x14ac:dyDescent="0.25">
      <c r="A103" s="96">
        <f>ROW()</f>
        <v>103</v>
      </c>
      <c r="B103" s="42" t="s">
        <v>386</v>
      </c>
      <c r="C103" s="485" t="s">
        <v>387</v>
      </c>
      <c r="D103" s="482"/>
      <c r="E103" s="482"/>
      <c r="H103" s="40"/>
      <c r="I103" s="40"/>
      <c r="J103" s="483"/>
      <c r="K103" s="483"/>
      <c r="L103" s="483"/>
      <c r="M103" s="483"/>
      <c r="N103" s="104"/>
    </row>
    <row r="104" spans="1:14" x14ac:dyDescent="0.25">
      <c r="A104" s="96">
        <f>ROW()</f>
        <v>104</v>
      </c>
      <c r="B104" s="266" t="s">
        <v>388</v>
      </c>
      <c r="C104" s="481">
        <v>1257</v>
      </c>
      <c r="D104" s="266" t="s">
        <v>389</v>
      </c>
      <c r="E104" s="266"/>
      <c r="J104" s="266"/>
      <c r="K104" s="266"/>
      <c r="L104" s="266"/>
      <c r="M104" s="266"/>
      <c r="N104" s="104" t="s">
        <v>390</v>
      </c>
    </row>
    <row r="105" spans="1:14" x14ac:dyDescent="0.25">
      <c r="A105" s="96">
        <f>ROW()</f>
        <v>105</v>
      </c>
      <c r="B105" s="266" t="s">
        <v>391</v>
      </c>
      <c r="C105" s="486" t="s">
        <v>392</v>
      </c>
      <c r="D105" s="266" t="s">
        <v>393</v>
      </c>
      <c r="E105" s="266"/>
      <c r="G105" s="124"/>
      <c r="J105" s="266"/>
      <c r="K105" s="266"/>
      <c r="L105" s="266"/>
      <c r="M105" s="266"/>
      <c r="N105" s="104"/>
    </row>
    <row r="106" spans="1:14" x14ac:dyDescent="0.25">
      <c r="A106" s="96">
        <f>ROW()</f>
        <v>106</v>
      </c>
      <c r="B106" s="266" t="s">
        <v>394</v>
      </c>
      <c r="C106" s="486">
        <v>0</v>
      </c>
      <c r="D106" s="266" t="s">
        <v>395</v>
      </c>
      <c r="E106" s="266"/>
      <c r="G106" s="124"/>
      <c r="J106" s="266"/>
      <c r="K106" s="266"/>
      <c r="L106" s="266"/>
      <c r="M106" s="266"/>
      <c r="N106" s="104"/>
    </row>
    <row r="107" spans="1:14" x14ac:dyDescent="0.25">
      <c r="A107" s="96">
        <f>ROW()</f>
        <v>107</v>
      </c>
      <c r="B107" s="266" t="s">
        <v>396</v>
      </c>
      <c r="C107" s="486">
        <v>0</v>
      </c>
      <c r="D107" s="266" t="s">
        <v>395</v>
      </c>
      <c r="E107" s="266"/>
      <c r="H107" s="79"/>
      <c r="J107" s="266"/>
      <c r="K107" s="266"/>
      <c r="L107" s="266"/>
      <c r="M107" s="266"/>
      <c r="N107" s="104"/>
    </row>
    <row r="108" spans="1:14" x14ac:dyDescent="0.25">
      <c r="A108" s="96">
        <f>ROW()</f>
        <v>108</v>
      </c>
      <c r="B108" s="266" t="s">
        <v>175</v>
      </c>
      <c r="C108" s="486">
        <v>0</v>
      </c>
      <c r="D108" s="266" t="s">
        <v>397</v>
      </c>
      <c r="E108" s="266"/>
      <c r="G108" s="332"/>
      <c r="H108" s="124"/>
      <c r="J108" s="266"/>
      <c r="K108" s="266"/>
      <c r="L108" s="266"/>
      <c r="M108" s="266"/>
      <c r="N108" s="104"/>
    </row>
    <row r="109" spans="1:14" x14ac:dyDescent="0.25">
      <c r="A109" s="96">
        <f>ROW()</f>
        <v>109</v>
      </c>
      <c r="B109" s="284" t="s">
        <v>398</v>
      </c>
      <c r="C109" s="487" t="str">
        <f>+C78</f>
        <v>Clark</v>
      </c>
      <c r="D109" s="488"/>
      <c r="E109" s="488"/>
      <c r="F109" s="266"/>
      <c r="G109" s="489"/>
      <c r="H109" s="490"/>
      <c r="J109" s="266"/>
      <c r="K109" s="266"/>
      <c r="L109" s="266"/>
      <c r="M109" s="266"/>
      <c r="N109" s="104"/>
    </row>
    <row r="110" spans="1:14" x14ac:dyDescent="0.25">
      <c r="A110" s="96">
        <f>ROW()</f>
        <v>110</v>
      </c>
      <c r="B110" s="491"/>
      <c r="C110" s="491"/>
      <c r="D110" s="491"/>
      <c r="E110" s="491"/>
      <c r="F110" s="180"/>
      <c r="G110" s="162"/>
      <c r="H110" s="162"/>
      <c r="I110" s="162"/>
      <c r="J110" s="162"/>
      <c r="K110" s="162"/>
      <c r="L110" s="162"/>
      <c r="M110" s="109"/>
      <c r="N110" s="104"/>
    </row>
    <row r="111" spans="1:14" x14ac:dyDescent="0.25">
      <c r="A111" s="96">
        <f>ROW()</f>
        <v>111</v>
      </c>
      <c r="B111" s="38" t="s">
        <v>399</v>
      </c>
      <c r="C111" s="38"/>
      <c r="D111" s="38"/>
      <c r="E111" s="38"/>
      <c r="F111" s="1532">
        <v>2320</v>
      </c>
      <c r="G111" s="332">
        <f t="shared" ref="G111:L111" si="26">+G36</f>
        <v>2320.02</v>
      </c>
      <c r="H111" s="332">
        <f t="shared" si="26"/>
        <v>2320.02</v>
      </c>
      <c r="I111" s="332">
        <f t="shared" si="26"/>
        <v>2320.02</v>
      </c>
      <c r="J111" s="332">
        <f t="shared" si="26"/>
        <v>2320.02</v>
      </c>
      <c r="K111" s="332">
        <f t="shared" si="26"/>
        <v>2320.02</v>
      </c>
      <c r="L111" s="332">
        <f t="shared" si="26"/>
        <v>2320.02</v>
      </c>
      <c r="M111" s="109"/>
      <c r="N111" s="104"/>
    </row>
    <row r="112" spans="1:14" x14ac:dyDescent="0.25">
      <c r="A112" s="96">
        <f>ROW()</f>
        <v>112</v>
      </c>
      <c r="B112" s="38"/>
      <c r="C112" s="38"/>
      <c r="D112" s="38"/>
      <c r="E112" s="38"/>
      <c r="F112" s="449"/>
      <c r="G112" s="332"/>
      <c r="H112" s="332"/>
      <c r="I112" s="332"/>
      <c r="J112" s="332"/>
      <c r="K112" s="332"/>
      <c r="L112" s="332"/>
      <c r="M112" s="109"/>
      <c r="N112" s="104"/>
    </row>
    <row r="113" spans="1:14" x14ac:dyDescent="0.25">
      <c r="A113" s="96">
        <f>ROW()</f>
        <v>113</v>
      </c>
      <c r="B113" s="364" t="s">
        <v>400</v>
      </c>
      <c r="C113" s="364"/>
      <c r="D113" s="364"/>
      <c r="E113" s="364"/>
      <c r="F113" s="492"/>
      <c r="G113" s="493"/>
      <c r="H113" s="493"/>
      <c r="I113" s="493"/>
      <c r="J113" s="493"/>
      <c r="K113" s="493"/>
      <c r="L113" s="493"/>
      <c r="M113" s="109"/>
      <c r="N113" s="104"/>
    </row>
    <row r="114" spans="1:14" x14ac:dyDescent="0.25">
      <c r="A114" s="96">
        <f>ROW()</f>
        <v>114</v>
      </c>
      <c r="B114" s="180" t="s">
        <v>401</v>
      </c>
      <c r="C114" s="180"/>
      <c r="D114" s="180"/>
      <c r="E114" s="180"/>
      <c r="F114" s="494">
        <f>G114</f>
        <v>21840668.280000001</v>
      </c>
      <c r="G114" s="494">
        <f t="shared" ref="G114:L114" si="27">+G88</f>
        <v>21840668.280000001</v>
      </c>
      <c r="H114" s="494">
        <f t="shared" si="27"/>
        <v>21840668.280000001</v>
      </c>
      <c r="I114" s="494">
        <f t="shared" si="27"/>
        <v>21840668.280000001</v>
      </c>
      <c r="J114" s="494">
        <f t="shared" si="27"/>
        <v>21840668.280000001</v>
      </c>
      <c r="K114" s="494">
        <f t="shared" si="27"/>
        <v>21840668.280000001</v>
      </c>
      <c r="L114" s="494">
        <f t="shared" si="27"/>
        <v>21840668.280000001</v>
      </c>
      <c r="M114" s="109"/>
      <c r="N114" s="104"/>
    </row>
    <row r="115" spans="1:14" x14ac:dyDescent="0.25">
      <c r="A115" s="96">
        <f>ROW()</f>
        <v>115</v>
      </c>
      <c r="B115" s="42" t="s">
        <v>402</v>
      </c>
      <c r="F115" s="494">
        <f t="shared" ref="F115:F118" si="28">G115</f>
        <v>422217.9</v>
      </c>
      <c r="G115" s="456">
        <f t="shared" ref="G115:L115" si="29">SUM(G85:G87)</f>
        <v>422217.9</v>
      </c>
      <c r="H115" s="456">
        <f t="shared" si="29"/>
        <v>422334.44401446654</v>
      </c>
      <c r="I115" s="456">
        <f t="shared" si="29"/>
        <v>422334.44401446654</v>
      </c>
      <c r="J115" s="456">
        <f t="shared" si="29"/>
        <v>422334.44401446654</v>
      </c>
      <c r="K115" s="456">
        <f t="shared" si="29"/>
        <v>422334.44401446654</v>
      </c>
      <c r="L115" s="456">
        <f t="shared" si="29"/>
        <v>422334.44401446654</v>
      </c>
      <c r="M115" s="109"/>
      <c r="N115" s="104"/>
    </row>
    <row r="116" spans="1:14" x14ac:dyDescent="0.25">
      <c r="A116" s="96">
        <f>ROW()</f>
        <v>116</v>
      </c>
      <c r="B116" s="42" t="s">
        <v>403</v>
      </c>
      <c r="F116" s="494">
        <f t="shared" si="28"/>
        <v>1222710</v>
      </c>
      <c r="G116" s="457">
        <f t="shared" ref="G116:L116" si="30">+G84</f>
        <v>1222710</v>
      </c>
      <c r="H116" s="457">
        <f t="shared" si="30"/>
        <v>1222105.3353000002</v>
      </c>
      <c r="I116" s="457">
        <f t="shared" si="30"/>
        <v>1222105.3353000002</v>
      </c>
      <c r="J116" s="457">
        <f t="shared" si="30"/>
        <v>1222105.3353000002</v>
      </c>
      <c r="K116" s="457">
        <f t="shared" si="30"/>
        <v>1222105.3353000002</v>
      </c>
      <c r="L116" s="457">
        <f t="shared" si="30"/>
        <v>1222105.3353000002</v>
      </c>
      <c r="M116" s="109"/>
      <c r="N116" s="105" t="s">
        <v>404</v>
      </c>
    </row>
    <row r="117" spans="1:14" x14ac:dyDescent="0.25">
      <c r="A117" s="96">
        <f>ROW()</f>
        <v>117</v>
      </c>
      <c r="B117" s="42" t="s">
        <v>405</v>
      </c>
      <c r="F117" s="494">
        <f t="shared" si="28"/>
        <v>0</v>
      </c>
      <c r="G117" s="457">
        <f t="shared" ref="G117:L117" si="31">+G82</f>
        <v>0</v>
      </c>
      <c r="H117" s="457">
        <f t="shared" si="31"/>
        <v>0</v>
      </c>
      <c r="I117" s="457">
        <f t="shared" si="31"/>
        <v>0</v>
      </c>
      <c r="J117" s="457">
        <f t="shared" si="31"/>
        <v>0</v>
      </c>
      <c r="K117" s="457">
        <f t="shared" si="31"/>
        <v>0</v>
      </c>
      <c r="L117" s="457">
        <f t="shared" si="31"/>
        <v>0</v>
      </c>
      <c r="M117" s="109"/>
      <c r="N117" s="104"/>
    </row>
    <row r="118" spans="1:14" x14ac:dyDescent="0.25">
      <c r="A118" s="96">
        <f>ROW()</f>
        <v>118</v>
      </c>
      <c r="B118" s="42" t="s">
        <v>406</v>
      </c>
      <c r="C118" s="496">
        <f>+C97</f>
        <v>0</v>
      </c>
      <c r="F118" s="494">
        <f t="shared" si="28"/>
        <v>0</v>
      </c>
      <c r="G118" s="497"/>
      <c r="H118" s="497">
        <f>+$C$97*H114</f>
        <v>0</v>
      </c>
      <c r="I118" s="497">
        <f>+$C$97*I114</f>
        <v>0</v>
      </c>
      <c r="J118" s="497">
        <f>+$C$97*J114</f>
        <v>0</v>
      </c>
      <c r="K118" s="497">
        <f>+$C$97*K114</f>
        <v>0</v>
      </c>
      <c r="L118" s="497">
        <f>+$C$97*L114</f>
        <v>0</v>
      </c>
      <c r="M118" s="109"/>
      <c r="N118" s="104"/>
    </row>
    <row r="119" spans="1:14" x14ac:dyDescent="0.25">
      <c r="A119" s="96">
        <f>ROW()</f>
        <v>119</v>
      </c>
      <c r="B119" s="180" t="s">
        <v>407</v>
      </c>
      <c r="C119" s="180"/>
      <c r="D119" s="180"/>
      <c r="E119" s="180"/>
      <c r="F119" s="498">
        <f t="shared" ref="F119:L119" si="32">SUM(F114:F118)</f>
        <v>23485596.18</v>
      </c>
      <c r="G119" s="498">
        <f t="shared" si="32"/>
        <v>23485596.18</v>
      </c>
      <c r="H119" s="498">
        <f t="shared" si="32"/>
        <v>23485108.059314467</v>
      </c>
      <c r="I119" s="498">
        <f>SUM(I114:I118)</f>
        <v>23485108.059314467</v>
      </c>
      <c r="J119" s="498">
        <f t="shared" si="32"/>
        <v>23485108.059314467</v>
      </c>
      <c r="K119" s="498">
        <f t="shared" si="32"/>
        <v>23485108.059314467</v>
      </c>
      <c r="L119" s="498">
        <f t="shared" si="32"/>
        <v>23485108.059314467</v>
      </c>
      <c r="M119" s="109"/>
      <c r="N119" s="104"/>
    </row>
    <row r="120" spans="1:14" x14ac:dyDescent="0.25">
      <c r="A120" s="96">
        <f>ROW()</f>
        <v>120</v>
      </c>
      <c r="B120" s="42" t="s">
        <v>408</v>
      </c>
      <c r="C120" s="38"/>
      <c r="F120" s="495">
        <f>G120</f>
        <v>-251167.68522000001</v>
      </c>
      <c r="G120" s="497">
        <f t="shared" ref="G120:L120" si="33">-G114*$C$98</f>
        <v>-251167.68522000001</v>
      </c>
      <c r="H120" s="497">
        <f t="shared" si="33"/>
        <v>-251167.68522000001</v>
      </c>
      <c r="I120" s="497">
        <f t="shared" si="33"/>
        <v>-251167.68522000001</v>
      </c>
      <c r="J120" s="497">
        <f t="shared" si="33"/>
        <v>-251167.68522000001</v>
      </c>
      <c r="K120" s="497">
        <f t="shared" si="33"/>
        <v>-251167.68522000001</v>
      </c>
      <c r="L120" s="497">
        <f t="shared" si="33"/>
        <v>-251167.68522000001</v>
      </c>
      <c r="M120" s="109"/>
      <c r="N120" s="104"/>
    </row>
    <row r="121" spans="1:14" x14ac:dyDescent="0.25">
      <c r="A121" s="96">
        <f>ROW()</f>
        <v>121</v>
      </c>
      <c r="B121" s="491" t="s">
        <v>409</v>
      </c>
      <c r="C121" s="491"/>
      <c r="D121" s="491"/>
      <c r="E121" s="491"/>
      <c r="F121" s="499">
        <f>SUM(F119:F120)</f>
        <v>23234428.49478</v>
      </c>
      <c r="G121" s="499">
        <f>SUM(G119:G120)</f>
        <v>23234428.49478</v>
      </c>
      <c r="H121" s="499">
        <f t="shared" ref="H121:L121" si="34">SUM(H119:H120)</f>
        <v>23233940.374094468</v>
      </c>
      <c r="I121" s="499">
        <f t="shared" si="34"/>
        <v>23233940.374094468</v>
      </c>
      <c r="J121" s="499">
        <f t="shared" si="34"/>
        <v>23233940.374094468</v>
      </c>
      <c r="K121" s="499">
        <f t="shared" si="34"/>
        <v>23233940.374094468</v>
      </c>
      <c r="L121" s="499">
        <f t="shared" si="34"/>
        <v>23233940.374094468</v>
      </c>
      <c r="M121" s="109"/>
      <c r="N121" s="104"/>
    </row>
    <row r="122" spans="1:14" x14ac:dyDescent="0.25">
      <c r="A122" s="96">
        <f>ROW()</f>
        <v>122</v>
      </c>
      <c r="B122" s="38" t="s">
        <v>410</v>
      </c>
      <c r="C122" s="38"/>
      <c r="D122" s="38"/>
      <c r="E122" s="38"/>
      <c r="F122" s="124">
        <f>+F121/F111</f>
        <v>10014.839868439656</v>
      </c>
      <c r="G122" s="124">
        <f>+G121/G111</f>
        <v>10014.753534357462</v>
      </c>
      <c r="H122" s="124">
        <f t="shared" ref="H122:L122" si="35">+H121/H111</f>
        <v>10014.543139324001</v>
      </c>
      <c r="I122" s="124">
        <f t="shared" si="35"/>
        <v>10014.543139324001</v>
      </c>
      <c r="J122" s="124">
        <f t="shared" si="35"/>
        <v>10014.543139324001</v>
      </c>
      <c r="K122" s="124">
        <f t="shared" si="35"/>
        <v>10014.543139324001</v>
      </c>
      <c r="L122" s="124">
        <f t="shared" si="35"/>
        <v>10014.543139324001</v>
      </c>
      <c r="M122" s="109"/>
      <c r="N122" s="104"/>
    </row>
    <row r="123" spans="1:14" x14ac:dyDescent="0.25">
      <c r="A123" s="96">
        <f>ROW()</f>
        <v>123</v>
      </c>
      <c r="B123" s="38"/>
      <c r="C123" s="38"/>
      <c r="D123" s="38"/>
      <c r="E123" s="38"/>
      <c r="G123" s="124"/>
      <c r="H123" s="124"/>
      <c r="I123" s="124"/>
      <c r="J123" s="124"/>
      <c r="K123" s="124"/>
      <c r="L123" s="124"/>
      <c r="M123" s="109"/>
      <c r="N123" s="104"/>
    </row>
    <row r="124" spans="1:14" x14ac:dyDescent="0.25">
      <c r="A124" s="96">
        <f>ROW()</f>
        <v>124</v>
      </c>
      <c r="B124" s="422" t="s">
        <v>411</v>
      </c>
      <c r="C124" s="465"/>
      <c r="D124" s="465"/>
      <c r="E124" s="465"/>
      <c r="F124" s="451"/>
      <c r="G124" s="398"/>
      <c r="H124" s="398"/>
      <c r="I124" s="398"/>
      <c r="J124" s="398"/>
      <c r="K124" s="398"/>
      <c r="L124" s="398"/>
      <c r="N124" s="104"/>
    </row>
    <row r="125" spans="1:14" x14ac:dyDescent="0.25">
      <c r="A125" s="96">
        <f>ROW()</f>
        <v>125</v>
      </c>
      <c r="B125" s="42" t="s">
        <v>160</v>
      </c>
      <c r="C125" s="332">
        <f t="shared" ref="C125:C132" si="36">SUM(F125:L125)</f>
        <v>0</v>
      </c>
      <c r="D125" s="332"/>
      <c r="E125" s="332"/>
      <c r="F125" s="274"/>
      <c r="G125" s="500">
        <f t="shared" ref="G125:L125" si="37">(G36*G92)*($C$99)</f>
        <v>0</v>
      </c>
      <c r="H125" s="500">
        <f t="shared" si="37"/>
        <v>0</v>
      </c>
      <c r="I125" s="500">
        <f t="shared" si="37"/>
        <v>0</v>
      </c>
      <c r="J125" s="500">
        <f t="shared" si="37"/>
        <v>0</v>
      </c>
      <c r="K125" s="500">
        <f t="shared" si="37"/>
        <v>0</v>
      </c>
      <c r="L125" s="500">
        <f t="shared" si="37"/>
        <v>0</v>
      </c>
      <c r="N125" s="104" t="s">
        <v>412</v>
      </c>
    </row>
    <row r="126" spans="1:14" x14ac:dyDescent="0.25">
      <c r="A126" s="96">
        <f>ROW()</f>
        <v>126</v>
      </c>
      <c r="B126" s="42" t="s">
        <v>413</v>
      </c>
      <c r="C126" s="332">
        <f t="shared" si="36"/>
        <v>0</v>
      </c>
      <c r="D126" s="332"/>
      <c r="E126" s="332"/>
      <c r="F126" s="274"/>
      <c r="G126" s="500"/>
      <c r="H126" s="500"/>
      <c r="I126" s="500"/>
      <c r="J126" s="500"/>
      <c r="K126" s="500"/>
      <c r="L126" s="500"/>
      <c r="N126" s="104"/>
    </row>
    <row r="127" spans="1:14" x14ac:dyDescent="0.25">
      <c r="A127" s="96">
        <f>ROW()</f>
        <v>127</v>
      </c>
      <c r="B127" s="42" t="s">
        <v>414</v>
      </c>
      <c r="C127" s="332">
        <f t="shared" ref="C127" si="38">SUM(F127:L127)</f>
        <v>0</v>
      </c>
      <c r="D127" s="332"/>
      <c r="E127" s="332"/>
      <c r="F127" s="274"/>
      <c r="G127" s="501">
        <f t="shared" ref="G127:L127" si="39">+$C$101*G36</f>
        <v>0</v>
      </c>
      <c r="H127" s="501">
        <f t="shared" si="39"/>
        <v>0</v>
      </c>
      <c r="I127" s="501">
        <f t="shared" si="39"/>
        <v>0</v>
      </c>
      <c r="J127" s="501">
        <f t="shared" si="39"/>
        <v>0</v>
      </c>
      <c r="K127" s="501">
        <f t="shared" si="39"/>
        <v>0</v>
      </c>
      <c r="L127" s="501">
        <f t="shared" si="39"/>
        <v>0</v>
      </c>
      <c r="N127" s="104"/>
    </row>
    <row r="128" spans="1:14" x14ac:dyDescent="0.25">
      <c r="A128" s="96">
        <f>ROW()</f>
        <v>128</v>
      </c>
      <c r="B128" s="42" t="s">
        <v>162</v>
      </c>
      <c r="C128" s="332">
        <f t="shared" si="36"/>
        <v>0</v>
      </c>
      <c r="D128" s="332"/>
      <c r="E128" s="332"/>
      <c r="F128" s="274"/>
      <c r="G128" s="500">
        <f t="shared" ref="G128:L128" si="40">$C$102*G36*G93</f>
        <v>0</v>
      </c>
      <c r="H128" s="500">
        <f t="shared" si="40"/>
        <v>0</v>
      </c>
      <c r="I128" s="500">
        <f t="shared" si="40"/>
        <v>0</v>
      </c>
      <c r="J128" s="500">
        <f t="shared" si="40"/>
        <v>0</v>
      </c>
      <c r="K128" s="500">
        <f t="shared" si="40"/>
        <v>0</v>
      </c>
      <c r="L128" s="500">
        <f t="shared" si="40"/>
        <v>0</v>
      </c>
      <c r="N128" s="104"/>
    </row>
    <row r="129" spans="1:14" x14ac:dyDescent="0.25">
      <c r="A129" s="96">
        <f>ROW()</f>
        <v>129</v>
      </c>
      <c r="B129" s="42" t="s">
        <v>163</v>
      </c>
      <c r="C129" s="332"/>
      <c r="D129" s="332"/>
      <c r="E129" s="332"/>
      <c r="F129" s="274"/>
      <c r="G129" s="500"/>
      <c r="H129" s="500"/>
      <c r="I129" s="500"/>
      <c r="J129" s="500"/>
      <c r="K129" s="500"/>
      <c r="L129" s="500"/>
      <c r="N129" s="104" t="s">
        <v>415</v>
      </c>
    </row>
    <row r="130" spans="1:14" x14ac:dyDescent="0.25">
      <c r="A130" s="96">
        <f>ROW()</f>
        <v>130</v>
      </c>
      <c r="B130" s="42" t="s">
        <v>164</v>
      </c>
      <c r="C130" s="332">
        <f t="shared" si="36"/>
        <v>0</v>
      </c>
      <c r="D130" s="332"/>
      <c r="E130" s="332"/>
      <c r="F130" s="274"/>
      <c r="G130" s="500">
        <f>IF($C$105="yes",$C$106*Staff!$C$70*(G36*G92),0)</f>
        <v>0</v>
      </c>
      <c r="H130" s="500">
        <f>IF($C$105="yes",$C$106*Staff!$C$70*(H36*H92),0)</f>
        <v>0</v>
      </c>
      <c r="I130" s="500">
        <f>IF($C$105="yes",$C$106*Staff!$C$70*(I36*I92),0)</f>
        <v>0</v>
      </c>
      <c r="J130" s="500">
        <f>IF($C$105="yes",$C$106*Staff!$C$70*(J36*J92),0)</f>
        <v>0</v>
      </c>
      <c r="K130" s="500">
        <f>IF($C$105="yes",$C$106*Staff!$C$70*(K36*K92),0)</f>
        <v>0</v>
      </c>
      <c r="L130" s="500">
        <f>IF($C$105="yes",$C$106*Staff!$C$70*(L36*L92),0)</f>
        <v>0</v>
      </c>
      <c r="N130" s="104"/>
    </row>
    <row r="131" spans="1:14" x14ac:dyDescent="0.25">
      <c r="A131" s="96">
        <f>ROW()</f>
        <v>131</v>
      </c>
      <c r="B131" s="42" t="s">
        <v>416</v>
      </c>
      <c r="C131" s="332">
        <f t="shared" si="36"/>
        <v>0</v>
      </c>
      <c r="D131" s="332"/>
      <c r="E131" s="332"/>
      <c r="F131" s="274"/>
      <c r="G131" s="500">
        <f>(G36*G92)*Staff!$C$70*$C$107</f>
        <v>0</v>
      </c>
      <c r="H131" s="500">
        <f>(H36*H92)*Staff!$C$70*$C$107</f>
        <v>0</v>
      </c>
      <c r="I131" s="500">
        <f>(I36*I92)*Staff!$C$70*$C$107</f>
        <v>0</v>
      </c>
      <c r="J131" s="500">
        <f>(J36*J92)*Staff!$C$70*$C$107</f>
        <v>0</v>
      </c>
      <c r="K131" s="500">
        <f>(K36*K92)*Staff!$C$70*$C$107</f>
        <v>0</v>
      </c>
      <c r="L131" s="500">
        <f>(L36*L92)*Staff!$C$70*$C$107</f>
        <v>0</v>
      </c>
      <c r="N131" s="104"/>
    </row>
    <row r="132" spans="1:14" x14ac:dyDescent="0.25">
      <c r="A132" s="96">
        <f>ROW()</f>
        <v>132</v>
      </c>
      <c r="B132" s="42" t="s">
        <v>165</v>
      </c>
      <c r="C132" s="332">
        <f t="shared" si="36"/>
        <v>2796698.2692600004</v>
      </c>
      <c r="D132" s="332"/>
      <c r="E132" s="332"/>
      <c r="F132" s="500">
        <f>G132</f>
        <v>399528.32418000005</v>
      </c>
      <c r="G132" s="500">
        <f t="shared" ref="G132:L132" si="41">(G36*G94)*$C$104</f>
        <v>399528.32418000005</v>
      </c>
      <c r="H132" s="500">
        <f t="shared" si="41"/>
        <v>399528.32418000005</v>
      </c>
      <c r="I132" s="500">
        <f t="shared" si="41"/>
        <v>399528.32418000005</v>
      </c>
      <c r="J132" s="500">
        <f t="shared" si="41"/>
        <v>399528.32418000005</v>
      </c>
      <c r="K132" s="500">
        <f t="shared" si="41"/>
        <v>399528.32418000005</v>
      </c>
      <c r="L132" s="500">
        <f t="shared" si="41"/>
        <v>399528.32418000005</v>
      </c>
      <c r="N132" s="104"/>
    </row>
    <row r="133" spans="1:14" ht="30" x14ac:dyDescent="0.25">
      <c r="A133" s="502">
        <f>ROW()</f>
        <v>133</v>
      </c>
      <c r="B133" s="503" t="s">
        <v>417</v>
      </c>
      <c r="C133" s="332">
        <f>SUM(F133:L133)</f>
        <v>0</v>
      </c>
      <c r="D133" s="332"/>
      <c r="E133" s="332"/>
      <c r="F133" s="504">
        <v>0</v>
      </c>
      <c r="G133" s="505">
        <v>0</v>
      </c>
      <c r="H133" s="505">
        <v>0</v>
      </c>
      <c r="I133" s="505">
        <v>0</v>
      </c>
      <c r="J133" s="505">
        <v>0</v>
      </c>
      <c r="K133" s="505">
        <v>0</v>
      </c>
      <c r="L133" s="505">
        <v>0</v>
      </c>
      <c r="N133" s="104"/>
    </row>
    <row r="134" spans="1:14" x14ac:dyDescent="0.25">
      <c r="A134" s="502">
        <f>ROW()</f>
        <v>134</v>
      </c>
      <c r="B134" s="503" t="s">
        <v>418</v>
      </c>
      <c r="C134" s="332">
        <f t="shared" ref="C134:C142" si="42">SUM(F134:L134)</f>
        <v>0</v>
      </c>
      <c r="D134" s="332"/>
      <c r="E134" s="332"/>
      <c r="F134" s="506">
        <v>0</v>
      </c>
      <c r="G134" s="507">
        <v>0</v>
      </c>
      <c r="H134" s="507">
        <v>0</v>
      </c>
      <c r="I134" s="507">
        <v>0</v>
      </c>
      <c r="J134" s="507">
        <v>0</v>
      </c>
      <c r="K134" s="507">
        <v>0</v>
      </c>
      <c r="L134" s="507">
        <v>0</v>
      </c>
      <c r="N134" s="104"/>
    </row>
    <row r="135" spans="1:14" x14ac:dyDescent="0.25">
      <c r="A135" s="502">
        <f>ROW()</f>
        <v>135</v>
      </c>
      <c r="B135" s="42" t="s">
        <v>419</v>
      </c>
      <c r="C135" s="332">
        <f t="shared" si="42"/>
        <v>0</v>
      </c>
      <c r="D135" s="332"/>
      <c r="E135" s="332"/>
      <c r="F135" s="508">
        <v>0</v>
      </c>
      <c r="G135" s="507">
        <v>0</v>
      </c>
      <c r="H135" s="507">
        <v>0</v>
      </c>
      <c r="I135" s="507">
        <v>0</v>
      </c>
      <c r="J135" s="507">
        <v>0</v>
      </c>
      <c r="K135" s="507">
        <v>0</v>
      </c>
      <c r="L135" s="507">
        <v>0</v>
      </c>
      <c r="N135" s="104"/>
    </row>
    <row r="136" spans="1:14" x14ac:dyDescent="0.25">
      <c r="A136" s="502">
        <f>ROW()</f>
        <v>136</v>
      </c>
      <c r="B136" s="42" t="s">
        <v>420</v>
      </c>
      <c r="C136" s="332">
        <f t="shared" si="42"/>
        <v>0</v>
      </c>
      <c r="D136" s="332"/>
      <c r="E136" s="332"/>
      <c r="F136" s="508">
        <v>0</v>
      </c>
      <c r="G136" s="509">
        <f t="shared" ref="G136:L136" si="43">$C$108*G36</f>
        <v>0</v>
      </c>
      <c r="H136" s="509">
        <f t="shared" si="43"/>
        <v>0</v>
      </c>
      <c r="I136" s="509">
        <f t="shared" si="43"/>
        <v>0</v>
      </c>
      <c r="J136" s="509">
        <f t="shared" si="43"/>
        <v>0</v>
      </c>
      <c r="K136" s="509">
        <f t="shared" si="43"/>
        <v>0</v>
      </c>
      <c r="L136" s="509">
        <f t="shared" si="43"/>
        <v>0</v>
      </c>
      <c r="N136" s="104"/>
    </row>
    <row r="137" spans="1:14" x14ac:dyDescent="0.25">
      <c r="A137" s="502">
        <f>ROW()</f>
        <v>137</v>
      </c>
      <c r="B137" s="42" t="s">
        <v>170</v>
      </c>
      <c r="C137" s="332">
        <f t="shared" si="42"/>
        <v>0</v>
      </c>
      <c r="D137" s="332"/>
      <c r="E137" s="332"/>
      <c r="F137" s="508">
        <v>0</v>
      </c>
      <c r="G137" s="507">
        <v>0</v>
      </c>
      <c r="H137" s="507">
        <v>0</v>
      </c>
      <c r="I137" s="507">
        <v>0</v>
      </c>
      <c r="J137" s="507">
        <v>0</v>
      </c>
      <c r="K137" s="507">
        <v>0</v>
      </c>
      <c r="L137" s="507">
        <v>0</v>
      </c>
      <c r="N137" s="104"/>
    </row>
    <row r="138" spans="1:14" x14ac:dyDescent="0.25">
      <c r="A138" s="502">
        <f>ROW()</f>
        <v>138</v>
      </c>
      <c r="B138" s="42" t="s">
        <v>421</v>
      </c>
      <c r="C138" s="332">
        <f t="shared" si="42"/>
        <v>15442000</v>
      </c>
      <c r="D138" s="332"/>
      <c r="E138" s="332"/>
      <c r="F138" s="508">
        <v>2206000</v>
      </c>
      <c r="G138" s="507">
        <v>2206000</v>
      </c>
      <c r="H138" s="507">
        <v>2206000</v>
      </c>
      <c r="I138" s="507">
        <v>2206000</v>
      </c>
      <c r="J138" s="507">
        <v>2206000</v>
      </c>
      <c r="K138" s="507">
        <v>2206000</v>
      </c>
      <c r="L138" s="507">
        <v>2206000</v>
      </c>
      <c r="N138" s="105" t="s">
        <v>171</v>
      </c>
    </row>
    <row r="139" spans="1:14" x14ac:dyDescent="0.25">
      <c r="A139" s="502">
        <f>ROW()</f>
        <v>139</v>
      </c>
      <c r="B139" s="42" t="s">
        <v>422</v>
      </c>
      <c r="C139" s="332">
        <f t="shared" si="42"/>
        <v>6342000</v>
      </c>
      <c r="D139" s="332"/>
      <c r="E139" s="332"/>
      <c r="F139" s="508">
        <v>906000</v>
      </c>
      <c r="G139" s="507">
        <v>906000</v>
      </c>
      <c r="H139" s="507">
        <v>906000</v>
      </c>
      <c r="I139" s="507">
        <v>906000</v>
      </c>
      <c r="J139" s="507">
        <v>906000</v>
      </c>
      <c r="K139" s="507">
        <v>906000</v>
      </c>
      <c r="L139" s="507">
        <v>906000</v>
      </c>
      <c r="N139" s="105" t="s">
        <v>173</v>
      </c>
    </row>
    <row r="140" spans="1:14" x14ac:dyDescent="0.25">
      <c r="A140" s="502">
        <f>ROW()</f>
        <v>140</v>
      </c>
      <c r="B140" s="42" t="s">
        <v>174</v>
      </c>
      <c r="C140" s="332">
        <f t="shared" si="42"/>
        <v>1715000</v>
      </c>
      <c r="D140" s="332"/>
      <c r="E140" s="332"/>
      <c r="F140" s="508">
        <v>245000</v>
      </c>
      <c r="G140" s="507">
        <f>$F140</f>
        <v>245000</v>
      </c>
      <c r="H140" s="507">
        <f t="shared" ref="H140:L140" si="44">$F140</f>
        <v>245000</v>
      </c>
      <c r="I140" s="507">
        <f t="shared" si="44"/>
        <v>245000</v>
      </c>
      <c r="J140" s="507">
        <f t="shared" si="44"/>
        <v>245000</v>
      </c>
      <c r="K140" s="507">
        <f t="shared" si="44"/>
        <v>245000</v>
      </c>
      <c r="L140" s="507">
        <f t="shared" si="44"/>
        <v>245000</v>
      </c>
      <c r="N140" s="104"/>
    </row>
    <row r="141" spans="1:14" x14ac:dyDescent="0.25">
      <c r="A141" s="502">
        <f>ROW()</f>
        <v>141</v>
      </c>
      <c r="B141" s="42" t="s">
        <v>423</v>
      </c>
      <c r="C141" s="332">
        <f t="shared" si="42"/>
        <v>0</v>
      </c>
      <c r="D141" s="332"/>
      <c r="E141" s="332"/>
      <c r="F141" s="508">
        <v>0</v>
      </c>
      <c r="G141" s="507">
        <v>0</v>
      </c>
      <c r="H141" s="507">
        <v>0</v>
      </c>
      <c r="I141" s="507">
        <v>0</v>
      </c>
      <c r="J141" s="507">
        <v>0</v>
      </c>
      <c r="K141" s="507">
        <v>0</v>
      </c>
      <c r="L141" s="507">
        <v>0</v>
      </c>
      <c r="N141" s="104"/>
    </row>
    <row r="142" spans="1:14" x14ac:dyDescent="0.25">
      <c r="A142" s="502">
        <f>ROW()</f>
        <v>142</v>
      </c>
      <c r="B142" s="42" t="s">
        <v>424</v>
      </c>
      <c r="C142" s="332">
        <f t="shared" si="42"/>
        <v>0</v>
      </c>
      <c r="D142" s="332"/>
      <c r="E142" s="332"/>
      <c r="F142" s="508">
        <v>0</v>
      </c>
      <c r="G142" s="510">
        <v>0</v>
      </c>
      <c r="H142" s="507">
        <v>0</v>
      </c>
      <c r="I142" s="507">
        <v>0</v>
      </c>
      <c r="J142" s="507">
        <v>0</v>
      </c>
      <c r="K142" s="507">
        <v>0</v>
      </c>
      <c r="L142" s="507">
        <v>0</v>
      </c>
      <c r="N142" s="104"/>
    </row>
    <row r="143" spans="1:14" ht="15.75" x14ac:dyDescent="0.25">
      <c r="A143" s="502">
        <f>ROW()</f>
        <v>143</v>
      </c>
      <c r="B143" s="511"/>
      <c r="C143" s="512"/>
      <c r="D143" s="513"/>
      <c r="E143" s="513"/>
      <c r="F143" s="514">
        <f t="shared" ref="F143:L143" si="45">SUM(F125:F142)</f>
        <v>3756528.32418</v>
      </c>
      <c r="G143" s="514">
        <f>SUM(G125:G142)</f>
        <v>3756528.32418</v>
      </c>
      <c r="H143" s="514">
        <f t="shared" si="45"/>
        <v>3756528.32418</v>
      </c>
      <c r="I143" s="514">
        <f t="shared" si="45"/>
        <v>3756528.32418</v>
      </c>
      <c r="J143" s="514">
        <f t="shared" si="45"/>
        <v>3756528.32418</v>
      </c>
      <c r="K143" s="514">
        <f t="shared" si="45"/>
        <v>3756528.32418</v>
      </c>
      <c r="L143" s="514">
        <f t="shared" si="45"/>
        <v>3756528.32418</v>
      </c>
      <c r="N143" s="104"/>
    </row>
    <row r="144" spans="1:14" ht="15.75" x14ac:dyDescent="0.25">
      <c r="A144" s="502">
        <f>ROW()</f>
        <v>144</v>
      </c>
      <c r="B144" s="491" t="s">
        <v>425</v>
      </c>
      <c r="C144" s="515"/>
      <c r="D144" s="516"/>
      <c r="E144" s="516"/>
      <c r="F144" s="517"/>
      <c r="G144" s="518">
        <f t="shared" ref="G144:L144" si="46">+G143/G36</f>
        <v>1619.1792847389247</v>
      </c>
      <c r="H144" s="518">
        <f t="shared" si="46"/>
        <v>1619.1792847389247</v>
      </c>
      <c r="I144" s="518">
        <f t="shared" si="46"/>
        <v>1619.1792847389247</v>
      </c>
      <c r="J144" s="518">
        <f t="shared" si="46"/>
        <v>1619.1792847389247</v>
      </c>
      <c r="K144" s="518">
        <f t="shared" si="46"/>
        <v>1619.1792847389247</v>
      </c>
      <c r="L144" s="518">
        <f t="shared" si="46"/>
        <v>1619.1792847389247</v>
      </c>
      <c r="N144" s="104"/>
    </row>
    <row r="145" spans="1:14" ht="15.75" x14ac:dyDescent="0.25">
      <c r="A145" s="502">
        <f>ROW()</f>
        <v>145</v>
      </c>
      <c r="B145" s="511" t="s">
        <v>177</v>
      </c>
      <c r="C145" s="512">
        <f t="shared" ref="C145" si="47">SUM(G145:L145)</f>
        <v>161943300.31033233</v>
      </c>
      <c r="D145" s="513"/>
      <c r="E145" s="513"/>
      <c r="F145" s="514">
        <f t="shared" ref="F145:L145" si="48">+F143+F121</f>
        <v>26990956.81896</v>
      </c>
      <c r="G145" s="514">
        <f t="shared" si="48"/>
        <v>26990956.81896</v>
      </c>
      <c r="H145" s="514">
        <f t="shared" si="48"/>
        <v>26990468.698274467</v>
      </c>
      <c r="I145" s="514">
        <f>+I143+I121</f>
        <v>26990468.698274467</v>
      </c>
      <c r="J145" s="514">
        <f t="shared" si="48"/>
        <v>26990468.698274467</v>
      </c>
      <c r="K145" s="514">
        <f t="shared" si="48"/>
        <v>26990468.698274467</v>
      </c>
      <c r="L145" s="514">
        <f t="shared" si="48"/>
        <v>26990468.698274467</v>
      </c>
      <c r="N145" s="104"/>
    </row>
    <row r="146" spans="1:14" x14ac:dyDescent="0.25">
      <c r="A146" s="502">
        <f>ROW()</f>
        <v>146</v>
      </c>
      <c r="B146" s="141" t="s">
        <v>426</v>
      </c>
      <c r="C146" s="37"/>
      <c r="D146" s="37"/>
      <c r="E146" s="37"/>
      <c r="F146" s="519">
        <f t="shared" ref="F146" si="49">IFERROR(F145/F36,0)</f>
        <v>11633.932819096388</v>
      </c>
      <c r="G146" s="519">
        <f t="shared" ref="G146:L146" si="50">IFERROR(G145/G36,0)</f>
        <v>11633.932819096388</v>
      </c>
      <c r="H146" s="519">
        <f t="shared" si="50"/>
        <v>11633.722424062926</v>
      </c>
      <c r="I146" s="519">
        <f t="shared" si="50"/>
        <v>11633.722424062926</v>
      </c>
      <c r="J146" s="519">
        <f t="shared" si="50"/>
        <v>11633.722424062926</v>
      </c>
      <c r="K146" s="519">
        <f t="shared" si="50"/>
        <v>11633.722424062926</v>
      </c>
      <c r="L146" s="519">
        <f t="shared" si="50"/>
        <v>11633.722424062926</v>
      </c>
      <c r="N146" s="104"/>
    </row>
    <row r="147" spans="1:14" x14ac:dyDescent="0.25">
      <c r="A147" s="96"/>
      <c r="B147" s="38" t="s">
        <v>427</v>
      </c>
      <c r="C147" s="38"/>
      <c r="D147" s="38"/>
      <c r="E147" s="38"/>
      <c r="F147" s="124">
        <f>+Summary!F35</f>
        <v>26990956.81896</v>
      </c>
      <c r="G147" s="124">
        <f>+Summary!G35</f>
        <v>27258416.3971496</v>
      </c>
      <c r="H147" s="124">
        <f>+Summary!H35</f>
        <v>27535637.026217461</v>
      </c>
      <c r="I147" s="124">
        <f>+Summary!I35</f>
        <v>27541181.438798815</v>
      </c>
      <c r="J147" s="124">
        <f>+Summary!J35</f>
        <v>27541292.327050444</v>
      </c>
      <c r="K147" s="124">
        <f>+Summary!K35</f>
        <v>27541294.544815477</v>
      </c>
      <c r="L147" s="124">
        <f>+Summary!L35</f>
        <v>27541294.589170776</v>
      </c>
    </row>
    <row r="148" spans="1:14" x14ac:dyDescent="0.25">
      <c r="A148" s="96"/>
      <c r="B148" s="491" t="s">
        <v>428</v>
      </c>
      <c r="C148" s="491"/>
      <c r="D148" s="491"/>
      <c r="E148" s="491"/>
      <c r="F148" s="180"/>
      <c r="G148" s="499">
        <f>+G145-G147</f>
        <v>-267459.57818960026</v>
      </c>
      <c r="H148" s="499">
        <f t="shared" ref="H148:L148" si="51">+H145-H147</f>
        <v>-545168.32794299349</v>
      </c>
      <c r="I148" s="499">
        <f t="shared" si="51"/>
        <v>-550712.74052434787</v>
      </c>
      <c r="J148" s="499">
        <f t="shared" si="51"/>
        <v>-550823.6287759766</v>
      </c>
      <c r="K148" s="499">
        <f t="shared" si="51"/>
        <v>-550825.84654100984</v>
      </c>
      <c r="L148" s="499">
        <f t="shared" si="51"/>
        <v>-550825.89089630917</v>
      </c>
    </row>
    <row r="149" spans="1:14" x14ac:dyDescent="0.25">
      <c r="A149" s="249"/>
      <c r="B149" s="37" t="s">
        <v>429</v>
      </c>
      <c r="C149" s="38"/>
      <c r="D149" s="38"/>
      <c r="E149" s="38"/>
    </row>
  </sheetData>
  <conditionalFormatting sqref="C73">
    <cfRule type="top10" dxfId="45" priority="2" rank="10"/>
  </conditionalFormatting>
  <conditionalFormatting sqref="D1:E1 C14:E14 B23:E35">
    <cfRule type="expression" dxfId="44" priority="6" stopIfTrue="1">
      <formula>MOD(ROW(),2)=0</formula>
    </cfRule>
  </conditionalFormatting>
  <conditionalFormatting sqref="D73:E73">
    <cfRule type="cellIs" dxfId="43" priority="1" operator="greaterThan">
      <formula>1</formula>
    </cfRule>
  </conditionalFormatting>
  <conditionalFormatting sqref="F17:L17">
    <cfRule type="cellIs" dxfId="42" priority="7" stopIfTrue="1" operator="equal">
      <formula>0</formula>
    </cfRule>
  </conditionalFormatting>
  <conditionalFormatting sqref="F19:L19">
    <cfRule type="cellIs" dxfId="41" priority="3" stopIfTrue="1" operator="equal">
      <formula>0</formula>
    </cfRule>
  </conditionalFormatting>
  <conditionalFormatting sqref="G94:H94">
    <cfRule type="cellIs" dxfId="40" priority="4" operator="greaterThan">
      <formula>0.25</formula>
    </cfRule>
  </conditionalFormatting>
  <conditionalFormatting sqref="G95:L95">
    <cfRule type="cellIs" dxfId="39" priority="5" stopIfTrue="1" operator="equal">
      <formula>0</formula>
    </cfRule>
  </conditionalFormatting>
  <hyperlinks>
    <hyperlink ref="D1" location="HypLink1" display="HypLink1" xr:uid="{573B6377-C9C9-4929-B991-002C3116F49F}"/>
    <hyperlink ref="D79" r:id="rId1" display="Rates based on SB503, 82nd 2023 Nevada legislative session" xr:uid="{9A87E1A6-F4BB-4DE1-98DC-A36B447A3632}"/>
  </hyperlinks>
  <pageMargins left="0.7" right="0.7" top="0.75" bottom="0.75" header="0.3" footer="0.3"/>
  <pageSetup paperSize="119" scale="68" fitToHeight="0" orientation="landscape" r:id="rId2"/>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753E2-ED4E-4A79-A957-3C69CD259813}">
  <sheetPr>
    <pageSetUpPr fitToPage="1"/>
  </sheetPr>
  <dimension ref="A1:AF476"/>
  <sheetViews>
    <sheetView workbookViewId="0"/>
  </sheetViews>
  <sheetFormatPr defaultRowHeight="15" x14ac:dyDescent="0.25"/>
  <cols>
    <col min="1" max="1" width="8.28515625" style="42" customWidth="1"/>
    <col min="2" max="2" width="43.7109375" style="42" customWidth="1"/>
    <col min="3" max="3" width="20.28515625" style="42" customWidth="1"/>
    <col min="4" max="5" width="13.28515625" style="42" customWidth="1"/>
    <col min="6" max="6" width="10" style="42" customWidth="1"/>
    <col min="7" max="13" width="18" style="42" customWidth="1"/>
    <col min="14" max="14" width="2.5703125" style="42" customWidth="1"/>
    <col min="15" max="15" width="70.42578125" style="78" customWidth="1"/>
    <col min="16" max="16" width="12.5703125" style="42" customWidth="1"/>
    <col min="17" max="30" width="3.42578125" style="42" bestFit="1" customWidth="1"/>
    <col min="31" max="31" width="3.140625" style="42" bestFit="1" customWidth="1"/>
    <col min="32" max="32" width="9.140625" style="42"/>
  </cols>
  <sheetData>
    <row r="1" spans="1:31" ht="18" x14ac:dyDescent="0.25">
      <c r="A1" s="240" t="s">
        <v>439</v>
      </c>
      <c r="B1" s="241"/>
      <c r="D1" s="242" t="s">
        <v>3</v>
      </c>
      <c r="Q1" s="77"/>
      <c r="Y1" s="78"/>
    </row>
    <row r="2" spans="1:31" ht="15.75" x14ac:dyDescent="0.25">
      <c r="A2" s="80" t="str">
        <f>SchoolName</f>
        <v>Odyssey Charter School</v>
      </c>
      <c r="B2" s="81"/>
      <c r="D2" s="526" t="s">
        <v>440</v>
      </c>
      <c r="Y2" s="78"/>
    </row>
    <row r="3" spans="1:31" x14ac:dyDescent="0.25">
      <c r="A3" s="82" t="s">
        <v>80</v>
      </c>
      <c r="L3" s="38"/>
      <c r="Y3" s="78"/>
    </row>
    <row r="4" spans="1:31" x14ac:dyDescent="0.25">
      <c r="A4" s="248" t="s">
        <v>81</v>
      </c>
      <c r="Y4" s="78"/>
    </row>
    <row r="5" spans="1:31" x14ac:dyDescent="0.25">
      <c r="A5" s="83" t="str">
        <f ca="1">CELL("filename")</f>
        <v>\\lvraiders\users\sguthrie\Documents\Charter\Change of Sponsorship\[240126-SPCSA-Odyssey Charter School Application Workbook-Modified-Version (1).xlsx]Instructions</v>
      </c>
      <c r="Y5" s="78"/>
    </row>
    <row r="6" spans="1:31" ht="15.75" x14ac:dyDescent="0.25">
      <c r="A6" s="527"/>
      <c r="D6" s="346" t="s">
        <v>314</v>
      </c>
      <c r="E6" s="346"/>
      <c r="F6" s="346"/>
      <c r="G6" s="161"/>
      <c r="H6" s="528"/>
      <c r="I6" s="161"/>
      <c r="J6" s="161"/>
      <c r="K6" s="346"/>
      <c r="L6" s="161"/>
      <c r="M6" s="161"/>
      <c r="Y6" s="78"/>
    </row>
    <row r="7" spans="1:31" x14ac:dyDescent="0.25">
      <c r="A7" s="527"/>
      <c r="D7" s="84" t="s">
        <v>315</v>
      </c>
      <c r="E7" s="84"/>
      <c r="F7" s="84"/>
      <c r="G7" s="161">
        <f>+G8</f>
        <v>0</v>
      </c>
      <c r="H7" s="161">
        <f>+H8</f>
        <v>1</v>
      </c>
      <c r="I7" s="161">
        <f t="shared" ref="I7:K7" si="0">+I8</f>
        <v>2</v>
      </c>
      <c r="J7" s="161">
        <f t="shared" si="0"/>
        <v>3</v>
      </c>
      <c r="K7" s="161">
        <f t="shared" si="0"/>
        <v>4</v>
      </c>
      <c r="L7" s="161"/>
      <c r="M7" s="161"/>
      <c r="Y7" s="78"/>
    </row>
    <row r="8" spans="1:31" x14ac:dyDescent="0.25">
      <c r="A8" s="527"/>
      <c r="G8" s="348">
        <f>' Enrol &amp; Rev'!F9</f>
        <v>0</v>
      </c>
      <c r="H8" s="86">
        <f>' Enrol &amp; Rev'!G9</f>
        <v>1</v>
      </c>
      <c r="I8" s="86">
        <f>' Enrol &amp; Rev'!H9</f>
        <v>2</v>
      </c>
      <c r="J8" s="86">
        <f>' Enrol &amp; Rev'!I9</f>
        <v>3</v>
      </c>
      <c r="K8" s="86">
        <f>' Enrol &amp; Rev'!J9</f>
        <v>4</v>
      </c>
      <c r="L8" s="86">
        <f>' Enrol &amp; Rev'!K9</f>
        <v>5</v>
      </c>
      <c r="M8" s="87">
        <f>' Enrol &amp; Rev'!L9</f>
        <v>6</v>
      </c>
      <c r="Q8" s="332"/>
      <c r="R8" s="332"/>
      <c r="S8" s="332"/>
      <c r="T8" s="332"/>
      <c r="U8" s="332"/>
      <c r="V8" s="332"/>
      <c r="W8" s="332"/>
      <c r="X8" s="332"/>
      <c r="Y8" s="332"/>
      <c r="Z8" s="332"/>
      <c r="AA8" s="332"/>
      <c r="AB8" s="332"/>
      <c r="AC8" s="332"/>
      <c r="AD8" s="332"/>
      <c r="AE8" s="332"/>
    </row>
    <row r="9" spans="1:31" x14ac:dyDescent="0.25">
      <c r="A9" s="527"/>
      <c r="G9" s="171">
        <f>' Enrol &amp; Rev'!F10</f>
        <v>2024</v>
      </c>
      <c r="H9" s="90">
        <f>' Enrol &amp; Rev'!G10</f>
        <v>2025</v>
      </c>
      <c r="I9" s="90">
        <f>' Enrol &amp; Rev'!H10</f>
        <v>2026</v>
      </c>
      <c r="J9" s="90">
        <f>' Enrol &amp; Rev'!I10</f>
        <v>2027</v>
      </c>
      <c r="K9" s="90">
        <f>' Enrol &amp; Rev'!J10</f>
        <v>2028</v>
      </c>
      <c r="L9" s="90">
        <f>' Enrol &amp; Rev'!K10</f>
        <v>2029</v>
      </c>
      <c r="M9" s="91">
        <f>' Enrol &amp; Rev'!L10</f>
        <v>2030</v>
      </c>
      <c r="Q9" s="332"/>
      <c r="R9" s="332"/>
      <c r="S9" s="332"/>
      <c r="T9" s="332"/>
      <c r="U9" s="332"/>
      <c r="V9" s="332"/>
      <c r="W9" s="332"/>
      <c r="X9" s="332"/>
      <c r="Y9" s="332"/>
      <c r="Z9" s="332"/>
      <c r="AA9" s="332"/>
      <c r="AB9" s="332"/>
      <c r="AC9" s="332"/>
      <c r="AD9" s="332"/>
      <c r="AE9" s="332"/>
    </row>
    <row r="10" spans="1:31" x14ac:dyDescent="0.25">
      <c r="A10" s="527"/>
      <c r="G10" s="173">
        <f>' Enrol &amp; Rev'!F11</f>
        <v>2025</v>
      </c>
      <c r="H10" s="93">
        <f>' Enrol &amp; Rev'!G11</f>
        <v>2026</v>
      </c>
      <c r="I10" s="93">
        <f>' Enrol &amp; Rev'!H11</f>
        <v>2027</v>
      </c>
      <c r="J10" s="93">
        <f>' Enrol &amp; Rev'!I11</f>
        <v>2028</v>
      </c>
      <c r="K10" s="93">
        <f>' Enrol &amp; Rev'!J11</f>
        <v>2029</v>
      </c>
      <c r="L10" s="93">
        <f>' Enrol &amp; Rev'!K11</f>
        <v>2030</v>
      </c>
      <c r="M10" s="94">
        <f>' Enrol &amp; Rev'!L11</f>
        <v>2031</v>
      </c>
      <c r="Q10" s="332"/>
      <c r="R10" s="332"/>
      <c r="S10" s="332"/>
      <c r="T10" s="332"/>
      <c r="U10" s="332"/>
      <c r="V10" s="332"/>
      <c r="W10" s="332"/>
      <c r="X10" s="332"/>
      <c r="Y10" s="332"/>
      <c r="Z10" s="332"/>
      <c r="AA10" s="332"/>
      <c r="AB10" s="332"/>
      <c r="AC10" s="332"/>
      <c r="AD10" s="332"/>
      <c r="AE10" s="332"/>
    </row>
    <row r="11" spans="1:31" ht="18.75" x14ac:dyDescent="0.3">
      <c r="A11" s="527"/>
      <c r="B11" s="529" t="s">
        <v>441</v>
      </c>
      <c r="G11" s="161"/>
      <c r="H11" s="161"/>
      <c r="I11" s="161"/>
      <c r="J11" s="161"/>
      <c r="K11" s="161"/>
      <c r="L11" s="161"/>
      <c r="M11" s="161"/>
      <c r="Q11" s="332"/>
      <c r="R11" s="332"/>
      <c r="S11" s="332"/>
      <c r="T11" s="332"/>
      <c r="U11" s="332"/>
      <c r="V11" s="332"/>
      <c r="W11" s="332"/>
      <c r="X11" s="332"/>
      <c r="Y11" s="332"/>
      <c r="Z11" s="332"/>
      <c r="AA11" s="332"/>
      <c r="AB11" s="332"/>
      <c r="AC11" s="332"/>
      <c r="AD11" s="332"/>
      <c r="AE11" s="332"/>
    </row>
    <row r="12" spans="1:31" x14ac:dyDescent="0.25">
      <c r="A12" s="527"/>
      <c r="D12" s="530"/>
      <c r="E12" s="530"/>
      <c r="F12" s="530"/>
      <c r="G12" s="161"/>
      <c r="H12" s="161"/>
      <c r="I12" s="161"/>
      <c r="J12" s="161"/>
      <c r="K12" s="161"/>
      <c r="L12" s="161"/>
      <c r="M12" s="161"/>
      <c r="N12" s="477"/>
      <c r="O12" s="326"/>
      <c r="Q12" s="332"/>
      <c r="R12" s="332"/>
      <c r="S12" s="332"/>
      <c r="T12" s="332"/>
      <c r="U12" s="332"/>
      <c r="V12" s="332"/>
      <c r="W12" s="332"/>
      <c r="X12" s="332"/>
      <c r="Y12" s="332"/>
      <c r="Z12" s="332"/>
      <c r="AA12" s="332"/>
      <c r="AB12" s="332"/>
      <c r="AC12" s="332"/>
      <c r="AD12" s="332"/>
      <c r="AE12" s="332"/>
    </row>
    <row r="13" spans="1:31" x14ac:dyDescent="0.25">
      <c r="A13" s="527"/>
      <c r="B13" s="38" t="s">
        <v>442</v>
      </c>
      <c r="C13" s="38"/>
      <c r="D13" s="38"/>
      <c r="E13" s="38"/>
      <c r="F13" s="38"/>
      <c r="G13" s="346"/>
      <c r="H13" s="531"/>
      <c r="I13" s="531"/>
      <c r="J13" s="531"/>
      <c r="K13" s="531"/>
      <c r="L13" s="531"/>
      <c r="M13" s="531"/>
      <c r="N13" s="477"/>
      <c r="O13" s="326"/>
      <c r="Q13" s="332"/>
      <c r="R13" s="332"/>
      <c r="S13" s="332"/>
      <c r="T13" s="332"/>
      <c r="U13" s="332"/>
      <c r="V13" s="332"/>
      <c r="W13" s="332"/>
      <c r="X13" s="332"/>
      <c r="Y13" s="332"/>
      <c r="Z13" s="332"/>
      <c r="AA13" s="332"/>
      <c r="AB13" s="332"/>
      <c r="AC13" s="332"/>
      <c r="AD13" s="332"/>
      <c r="AE13" s="332"/>
    </row>
    <row r="14" spans="1:31" ht="18.75" x14ac:dyDescent="0.3">
      <c r="A14" s="527">
        <f>ROW()</f>
        <v>14</v>
      </c>
      <c r="B14" s="532" t="s">
        <v>443</v>
      </c>
      <c r="C14" s="533"/>
      <c r="D14" s="533"/>
      <c r="E14" s="533"/>
      <c r="F14" s="533"/>
      <c r="G14" s="534"/>
      <c r="H14" s="534"/>
      <c r="I14" s="534"/>
      <c r="J14" s="534"/>
      <c r="K14" s="534"/>
      <c r="L14" s="534"/>
      <c r="M14" s="534"/>
      <c r="N14" s="477"/>
      <c r="O14" s="50" t="s">
        <v>103</v>
      </c>
      <c r="Q14" s="332"/>
      <c r="R14" s="332"/>
      <c r="S14" s="332"/>
      <c r="T14" s="332"/>
      <c r="U14" s="332"/>
      <c r="V14" s="332"/>
      <c r="W14" s="332"/>
      <c r="X14" s="332"/>
      <c r="Y14" s="332"/>
      <c r="Z14" s="332"/>
      <c r="AA14" s="332"/>
      <c r="AB14" s="332"/>
      <c r="AC14" s="332"/>
      <c r="AD14" s="332"/>
      <c r="AE14" s="332"/>
    </row>
    <row r="15" spans="1:31" x14ac:dyDescent="0.25">
      <c r="A15" s="527">
        <f>ROW()</f>
        <v>15</v>
      </c>
      <c r="N15" s="477"/>
      <c r="O15" s="101"/>
      <c r="Q15" s="332"/>
      <c r="R15" s="332"/>
      <c r="S15" s="332"/>
      <c r="T15" s="332"/>
      <c r="U15" s="332"/>
      <c r="V15" s="332"/>
      <c r="W15" s="332"/>
      <c r="X15" s="332"/>
      <c r="Y15" s="332"/>
      <c r="Z15" s="332"/>
      <c r="AA15" s="332"/>
      <c r="AB15" s="332"/>
      <c r="AC15" s="332"/>
      <c r="AD15" s="332"/>
      <c r="AE15" s="332"/>
    </row>
    <row r="16" spans="1:31" ht="18.75" x14ac:dyDescent="0.3">
      <c r="A16" s="527">
        <f>ROW()</f>
        <v>16</v>
      </c>
      <c r="B16" s="37" t="s">
        <v>444</v>
      </c>
      <c r="D16" s="535" t="s">
        <v>445</v>
      </c>
      <c r="E16" s="29"/>
      <c r="F16" s="29"/>
      <c r="G16" s="536">
        <f>+G10</f>
        <v>2025</v>
      </c>
      <c r="H16" s="536">
        <f t="shared" ref="H16:M16" si="1">+H10</f>
        <v>2026</v>
      </c>
      <c r="I16" s="536">
        <f t="shared" si="1"/>
        <v>2027</v>
      </c>
      <c r="J16" s="536">
        <f t="shared" si="1"/>
        <v>2028</v>
      </c>
      <c r="K16" s="536">
        <f t="shared" si="1"/>
        <v>2029</v>
      </c>
      <c r="L16" s="536">
        <f t="shared" si="1"/>
        <v>2030</v>
      </c>
      <c r="M16" s="536">
        <f t="shared" si="1"/>
        <v>2031</v>
      </c>
      <c r="N16" s="477"/>
      <c r="O16" s="101"/>
      <c r="Q16" s="332"/>
      <c r="R16" s="332"/>
      <c r="S16" s="332"/>
      <c r="T16" s="332"/>
      <c r="U16" s="332"/>
      <c r="V16" s="332"/>
      <c r="W16" s="332"/>
      <c r="X16" s="332"/>
      <c r="Y16" s="332"/>
      <c r="Z16" s="332"/>
      <c r="AA16" s="332"/>
      <c r="AB16" s="332"/>
      <c r="AC16" s="332"/>
      <c r="AD16" s="332"/>
      <c r="AE16" s="332"/>
    </row>
    <row r="17" spans="1:31" ht="15.75" x14ac:dyDescent="0.25">
      <c r="A17" s="527">
        <f>ROW()</f>
        <v>17</v>
      </c>
      <c r="B17" s="37" t="s">
        <v>446</v>
      </c>
      <c r="D17" s="70" t="s">
        <v>447</v>
      </c>
      <c r="E17" s="70"/>
      <c r="F17" s="70"/>
      <c r="G17" s="537">
        <f>$G$86</f>
        <v>9</v>
      </c>
      <c r="H17" s="537">
        <f>$H$86</f>
        <v>9</v>
      </c>
      <c r="I17" s="537">
        <f>$I$86</f>
        <v>9</v>
      </c>
      <c r="J17" s="537">
        <f>$J$86</f>
        <v>9</v>
      </c>
      <c r="K17" s="537">
        <f>$K$86</f>
        <v>9</v>
      </c>
      <c r="L17" s="537">
        <f>$L$86</f>
        <v>9</v>
      </c>
      <c r="M17" s="537">
        <f>$M$86</f>
        <v>9</v>
      </c>
      <c r="N17" s="477"/>
      <c r="O17" s="101"/>
      <c r="Q17" s="332"/>
      <c r="R17" s="332"/>
      <c r="S17" s="332"/>
      <c r="T17" s="332"/>
      <c r="U17" s="332"/>
      <c r="V17" s="332"/>
      <c r="W17" s="332"/>
      <c r="X17" s="332"/>
      <c r="Y17" s="332"/>
      <c r="Z17" s="332"/>
      <c r="AA17" s="332"/>
      <c r="AB17" s="332"/>
      <c r="AC17" s="332"/>
      <c r="AD17" s="332"/>
      <c r="AE17" s="332"/>
    </row>
    <row r="18" spans="1:31" ht="15.75" x14ac:dyDescent="0.25">
      <c r="A18" s="527">
        <f>ROW()</f>
        <v>18</v>
      </c>
      <c r="D18" s="70" t="s">
        <v>448</v>
      </c>
      <c r="E18" s="70"/>
      <c r="F18" s="70"/>
      <c r="G18" s="537">
        <f>$G$94-$G$86</f>
        <v>21</v>
      </c>
      <c r="H18" s="537">
        <f>$H$94-$H$86</f>
        <v>21</v>
      </c>
      <c r="I18" s="537">
        <f>$I$94-$I$86</f>
        <v>21</v>
      </c>
      <c r="J18" s="537">
        <f>$J$94-$J$86</f>
        <v>21</v>
      </c>
      <c r="K18" s="537">
        <f>$K$94-$K$86</f>
        <v>21</v>
      </c>
      <c r="L18" s="537">
        <f>$L$94-$L$86</f>
        <v>21</v>
      </c>
      <c r="M18" s="537">
        <f>$M$94-$M$86</f>
        <v>21</v>
      </c>
      <c r="N18" s="477"/>
      <c r="O18" s="104"/>
      <c r="Q18" s="332"/>
      <c r="R18" s="332"/>
      <c r="S18" s="332"/>
      <c r="T18" s="332"/>
      <c r="U18" s="332"/>
      <c r="V18" s="332"/>
      <c r="W18" s="332"/>
      <c r="X18" s="332"/>
      <c r="Y18" s="332"/>
      <c r="Z18" s="332"/>
      <c r="AA18" s="332"/>
      <c r="AB18" s="332"/>
      <c r="AC18" s="332"/>
      <c r="AD18" s="332"/>
      <c r="AE18" s="332"/>
    </row>
    <row r="19" spans="1:31" ht="15.75" x14ac:dyDescent="0.25">
      <c r="A19" s="527">
        <f>ROW()</f>
        <v>19</v>
      </c>
      <c r="D19" s="70" t="s">
        <v>449</v>
      </c>
      <c r="E19" s="70"/>
      <c r="F19" s="70"/>
      <c r="G19" s="537">
        <f>$G$106</f>
        <v>27</v>
      </c>
      <c r="H19" s="537">
        <f>$H$106</f>
        <v>27</v>
      </c>
      <c r="I19" s="537">
        <f>$I$106</f>
        <v>27</v>
      </c>
      <c r="J19" s="537">
        <f>$J$106</f>
        <v>27</v>
      </c>
      <c r="K19" s="537">
        <f>$K$106</f>
        <v>27</v>
      </c>
      <c r="L19" s="537">
        <f>$L$106</f>
        <v>27</v>
      </c>
      <c r="M19" s="537">
        <f>$M$106</f>
        <v>27</v>
      </c>
      <c r="N19" s="477"/>
      <c r="O19" s="104"/>
      <c r="Q19" s="332"/>
      <c r="R19" s="332"/>
      <c r="S19" s="332"/>
      <c r="T19" s="332"/>
      <c r="U19" s="332"/>
      <c r="V19" s="332"/>
      <c r="W19" s="332"/>
      <c r="X19" s="332"/>
      <c r="Y19" s="332"/>
      <c r="Z19" s="332"/>
      <c r="AA19" s="332"/>
      <c r="AB19" s="332"/>
      <c r="AC19" s="332"/>
      <c r="AD19" s="332"/>
      <c r="AE19" s="332"/>
    </row>
    <row r="20" spans="1:31" ht="15.75" x14ac:dyDescent="0.25">
      <c r="A20" s="527">
        <f>ROW()</f>
        <v>20</v>
      </c>
      <c r="D20" s="70" t="s">
        <v>450</v>
      </c>
      <c r="E20" s="70"/>
      <c r="F20" s="70"/>
      <c r="G20" s="537">
        <f>$G$120</f>
        <v>4</v>
      </c>
      <c r="H20" s="537">
        <f>$H$120</f>
        <v>4</v>
      </c>
      <c r="I20" s="537">
        <f>$I$120</f>
        <v>4</v>
      </c>
      <c r="J20" s="537">
        <f>$J$120</f>
        <v>4</v>
      </c>
      <c r="K20" s="537">
        <f>$K$120</f>
        <v>4</v>
      </c>
      <c r="L20" s="537">
        <f>$L$120</f>
        <v>4</v>
      </c>
      <c r="M20" s="537">
        <f>$M$120</f>
        <v>4</v>
      </c>
      <c r="N20" s="477"/>
      <c r="O20" s="104"/>
      <c r="Q20" s="332"/>
      <c r="R20" s="332"/>
      <c r="S20" s="332"/>
      <c r="T20" s="332"/>
      <c r="U20" s="332"/>
      <c r="V20" s="332"/>
      <c r="W20" s="332"/>
      <c r="X20" s="332"/>
      <c r="Y20" s="332"/>
      <c r="Z20" s="332"/>
      <c r="AA20" s="332"/>
      <c r="AB20" s="332"/>
      <c r="AC20" s="332"/>
      <c r="AD20" s="332"/>
      <c r="AE20" s="332"/>
    </row>
    <row r="21" spans="1:31" ht="15.75" x14ac:dyDescent="0.25">
      <c r="A21" s="527">
        <f>ROW()</f>
        <v>21</v>
      </c>
      <c r="D21" s="70" t="s">
        <v>451</v>
      </c>
      <c r="E21" s="70"/>
      <c r="F21" s="70"/>
      <c r="G21" s="537">
        <f>$G$134</f>
        <v>10</v>
      </c>
      <c r="H21" s="537">
        <f>$H$134</f>
        <v>10</v>
      </c>
      <c r="I21" s="537">
        <f>$I$134</f>
        <v>10</v>
      </c>
      <c r="J21" s="537">
        <f>$J$134</f>
        <v>10</v>
      </c>
      <c r="K21" s="537">
        <f>$K$134</f>
        <v>10</v>
      </c>
      <c r="L21" s="537">
        <f>$L$134</f>
        <v>10</v>
      </c>
      <c r="M21" s="537">
        <f>$M$134</f>
        <v>10</v>
      </c>
      <c r="N21" s="477"/>
      <c r="O21" s="104"/>
      <c r="Q21" s="332"/>
      <c r="R21" s="332"/>
      <c r="S21" s="332"/>
      <c r="T21" s="332"/>
      <c r="U21" s="332"/>
      <c r="V21" s="332"/>
      <c r="W21" s="332"/>
      <c r="X21" s="332"/>
      <c r="Y21" s="332"/>
      <c r="Z21" s="332"/>
      <c r="AA21" s="332"/>
      <c r="AB21" s="332"/>
      <c r="AC21" s="332"/>
      <c r="AD21" s="332"/>
      <c r="AE21" s="332"/>
    </row>
    <row r="22" spans="1:31" ht="15.75" x14ac:dyDescent="0.25">
      <c r="A22" s="527">
        <f>ROW()</f>
        <v>22</v>
      </c>
      <c r="D22" s="70" t="s">
        <v>452</v>
      </c>
      <c r="E22" s="70"/>
      <c r="F22" s="70"/>
      <c r="G22" s="537">
        <f>$G$238</f>
        <v>52</v>
      </c>
      <c r="H22" s="537">
        <f>$H$238</f>
        <v>52</v>
      </c>
      <c r="I22" s="537">
        <f>$I$238</f>
        <v>52</v>
      </c>
      <c r="J22" s="537">
        <f>$J$238</f>
        <v>52</v>
      </c>
      <c r="K22" s="537">
        <f>$K$238</f>
        <v>52</v>
      </c>
      <c r="L22" s="537">
        <f>$L$238</f>
        <v>52</v>
      </c>
      <c r="M22" s="537">
        <f>$M$238</f>
        <v>52</v>
      </c>
      <c r="N22" s="477"/>
      <c r="O22" s="104"/>
      <c r="Q22" s="332"/>
      <c r="R22" s="332"/>
      <c r="S22" s="332"/>
      <c r="T22" s="332"/>
      <c r="U22" s="332"/>
      <c r="V22" s="332"/>
      <c r="W22" s="332"/>
      <c r="X22" s="332"/>
      <c r="Y22" s="332"/>
      <c r="Z22" s="332"/>
      <c r="AA22" s="332"/>
      <c r="AB22" s="332"/>
      <c r="AC22" s="332"/>
      <c r="AD22" s="332"/>
      <c r="AE22" s="332"/>
    </row>
    <row r="23" spans="1:31" ht="15.75" x14ac:dyDescent="0.25">
      <c r="A23" s="527">
        <f>ROW()</f>
        <v>23</v>
      </c>
      <c r="C23" s="38"/>
      <c r="D23" s="538" t="s">
        <v>453</v>
      </c>
      <c r="E23" s="538"/>
      <c r="F23" s="538"/>
      <c r="G23" s="539">
        <f t="shared" ref="G23:M23" si="2">SUM(G17:G22)</f>
        <v>123</v>
      </c>
      <c r="H23" s="539">
        <f t="shared" si="2"/>
        <v>123</v>
      </c>
      <c r="I23" s="539">
        <f t="shared" si="2"/>
        <v>123</v>
      </c>
      <c r="J23" s="539">
        <f t="shared" si="2"/>
        <v>123</v>
      </c>
      <c r="K23" s="539">
        <f t="shared" si="2"/>
        <v>123</v>
      </c>
      <c r="L23" s="539">
        <f t="shared" si="2"/>
        <v>123</v>
      </c>
      <c r="M23" s="539">
        <f t="shared" si="2"/>
        <v>123</v>
      </c>
      <c r="N23" s="477"/>
      <c r="O23" s="104"/>
      <c r="Q23" s="332"/>
      <c r="R23" s="332"/>
      <c r="S23" s="332"/>
      <c r="T23" s="332"/>
      <c r="U23" s="332"/>
      <c r="V23" s="332"/>
      <c r="W23" s="332"/>
      <c r="X23" s="332"/>
      <c r="Y23" s="332"/>
      <c r="Z23" s="332"/>
      <c r="AA23" s="332"/>
      <c r="AB23" s="332"/>
      <c r="AC23" s="332"/>
      <c r="AD23" s="332"/>
      <c r="AE23" s="332"/>
    </row>
    <row r="24" spans="1:31" ht="15.75" x14ac:dyDescent="0.25">
      <c r="A24" s="527">
        <f>ROW()</f>
        <v>24</v>
      </c>
      <c r="D24" s="70"/>
      <c r="E24" s="70"/>
      <c r="F24" s="70"/>
      <c r="G24" s="70"/>
      <c r="H24" s="540"/>
      <c r="I24" s="540"/>
      <c r="J24" s="540"/>
      <c r="K24" s="70"/>
      <c r="L24" s="70"/>
      <c r="M24" s="70"/>
      <c r="N24" s="477"/>
      <c r="O24" s="104"/>
      <c r="Q24" s="332"/>
      <c r="R24" s="332"/>
      <c r="S24" s="332"/>
      <c r="T24" s="332"/>
      <c r="U24" s="332"/>
      <c r="V24" s="332"/>
      <c r="W24" s="332"/>
      <c r="X24" s="332"/>
      <c r="Y24" s="332"/>
      <c r="Z24" s="332"/>
      <c r="AA24" s="332"/>
      <c r="AB24" s="332"/>
      <c r="AC24" s="332"/>
      <c r="AD24" s="332"/>
      <c r="AE24" s="332"/>
    </row>
    <row r="25" spans="1:31" ht="15.75" x14ac:dyDescent="0.25">
      <c r="A25" s="527">
        <f>ROW()</f>
        <v>25</v>
      </c>
      <c r="D25" s="541" t="s">
        <v>454</v>
      </c>
      <c r="E25" s="541"/>
      <c r="F25" s="541"/>
      <c r="G25" s="542">
        <f>G457</f>
        <v>0</v>
      </c>
      <c r="H25" s="542">
        <f t="shared" ref="H25:M25" si="3">H457</f>
        <v>0</v>
      </c>
      <c r="I25" s="542">
        <f t="shared" si="3"/>
        <v>0</v>
      </c>
      <c r="J25" s="542">
        <f t="shared" si="3"/>
        <v>0</v>
      </c>
      <c r="K25" s="542">
        <f t="shared" si="3"/>
        <v>0</v>
      </c>
      <c r="L25" s="542">
        <f t="shared" si="3"/>
        <v>0</v>
      </c>
      <c r="M25" s="542">
        <f t="shared" si="3"/>
        <v>0</v>
      </c>
      <c r="N25" s="477"/>
      <c r="O25" s="104"/>
      <c r="Q25" s="332"/>
      <c r="R25" s="332"/>
      <c r="S25" s="332"/>
      <c r="T25" s="332"/>
      <c r="U25" s="332"/>
      <c r="V25" s="332"/>
      <c r="W25" s="332"/>
      <c r="X25" s="332"/>
      <c r="Y25" s="332"/>
      <c r="Z25" s="332"/>
      <c r="AA25" s="332"/>
      <c r="AB25" s="332"/>
      <c r="AC25" s="332"/>
      <c r="AD25" s="332"/>
      <c r="AE25" s="332"/>
    </row>
    <row r="26" spans="1:31" ht="15.75" x14ac:dyDescent="0.25">
      <c r="A26" s="527">
        <f>ROW()</f>
        <v>26</v>
      </c>
      <c r="D26" s="70"/>
      <c r="E26" s="70"/>
      <c r="F26" s="70"/>
      <c r="G26" s="70"/>
      <c r="H26" s="540"/>
      <c r="I26" s="540"/>
      <c r="J26" s="540"/>
      <c r="K26" s="70"/>
      <c r="L26" s="70"/>
      <c r="M26" s="70"/>
      <c r="N26" s="477"/>
      <c r="O26" s="104"/>
      <c r="Q26" s="332"/>
      <c r="R26" s="332"/>
      <c r="S26" s="332"/>
      <c r="T26" s="332"/>
      <c r="U26" s="332"/>
      <c r="V26" s="332"/>
      <c r="W26" s="332"/>
      <c r="X26" s="332"/>
      <c r="Y26" s="332"/>
      <c r="Z26" s="332"/>
      <c r="AA26" s="332"/>
      <c r="AB26" s="332"/>
      <c r="AC26" s="332"/>
      <c r="AD26" s="332"/>
      <c r="AE26" s="332"/>
    </row>
    <row r="27" spans="1:31" ht="15.75" x14ac:dyDescent="0.25">
      <c r="A27" s="527">
        <f>ROW()</f>
        <v>27</v>
      </c>
      <c r="C27" s="38"/>
      <c r="D27" s="538" t="s">
        <v>455</v>
      </c>
      <c r="E27" s="538"/>
      <c r="F27" s="538"/>
      <c r="G27" s="543">
        <f>+G25+G23</f>
        <v>123</v>
      </c>
      <c r="H27" s="543">
        <f t="shared" ref="H27:M27" si="4">+H25+H23</f>
        <v>123</v>
      </c>
      <c r="I27" s="543">
        <f t="shared" si="4"/>
        <v>123</v>
      </c>
      <c r="J27" s="543">
        <f t="shared" si="4"/>
        <v>123</v>
      </c>
      <c r="K27" s="543">
        <f t="shared" si="4"/>
        <v>123</v>
      </c>
      <c r="L27" s="543">
        <f t="shared" si="4"/>
        <v>123</v>
      </c>
      <c r="M27" s="543">
        <f t="shared" si="4"/>
        <v>123</v>
      </c>
      <c r="N27" s="477"/>
      <c r="O27" s="104"/>
      <c r="Q27" s="332"/>
      <c r="R27" s="332"/>
      <c r="S27" s="332"/>
      <c r="T27" s="332"/>
      <c r="U27" s="332"/>
      <c r="V27" s="332"/>
      <c r="W27" s="332"/>
      <c r="X27" s="332"/>
      <c r="Y27" s="332"/>
      <c r="Z27" s="332"/>
      <c r="AA27" s="332"/>
      <c r="AB27" s="332"/>
      <c r="AC27" s="332"/>
      <c r="AD27" s="332"/>
      <c r="AE27" s="332"/>
    </row>
    <row r="28" spans="1:31" x14ac:dyDescent="0.25">
      <c r="A28" s="527">
        <f>ROW()</f>
        <v>28</v>
      </c>
      <c r="H28" s="544"/>
      <c r="I28" s="544"/>
      <c r="J28" s="544"/>
      <c r="N28" s="477"/>
      <c r="O28" s="104"/>
      <c r="Q28" s="332"/>
      <c r="R28" s="332"/>
      <c r="S28" s="332"/>
      <c r="T28" s="332"/>
      <c r="U28" s="332"/>
      <c r="V28" s="332"/>
      <c r="W28" s="332"/>
      <c r="X28" s="332"/>
      <c r="Y28" s="332"/>
      <c r="Z28" s="332"/>
      <c r="AA28" s="332"/>
      <c r="AB28" s="332"/>
      <c r="AC28" s="332"/>
      <c r="AD28" s="332"/>
      <c r="AE28" s="332"/>
    </row>
    <row r="29" spans="1:31" x14ac:dyDescent="0.25">
      <c r="A29" s="527">
        <f>ROW()</f>
        <v>29</v>
      </c>
      <c r="C29" s="161" t="s">
        <v>456</v>
      </c>
      <c r="H29" s="544"/>
      <c r="I29" s="544"/>
      <c r="J29" s="544"/>
      <c r="N29" s="477"/>
      <c r="O29" s="104"/>
      <c r="Q29" s="332"/>
      <c r="R29" s="332"/>
      <c r="S29" s="332"/>
      <c r="T29" s="332"/>
      <c r="U29" s="332"/>
      <c r="V29" s="332"/>
      <c r="W29" s="332"/>
      <c r="X29" s="332"/>
      <c r="Y29" s="332"/>
      <c r="Z29" s="332"/>
      <c r="AA29" s="332"/>
      <c r="AB29" s="332"/>
      <c r="AC29" s="332"/>
      <c r="AD29" s="332"/>
      <c r="AE29" s="332"/>
    </row>
    <row r="30" spans="1:31" ht="18.75" x14ac:dyDescent="0.3">
      <c r="A30" s="527">
        <f>ROW()</f>
        <v>30</v>
      </c>
      <c r="B30" s="545" t="s">
        <v>457</v>
      </c>
      <c r="C30" s="546">
        <f>AVERAGE(H30:M30)</f>
        <v>2320.02</v>
      </c>
      <c r="D30" s="547"/>
      <c r="E30" s="547"/>
      <c r="F30" s="547"/>
      <c r="G30" s="548"/>
      <c r="H30" s="548">
        <f>Levers!D9</f>
        <v>2320.02</v>
      </c>
      <c r="I30" s="548">
        <f>Levers!E9</f>
        <v>2320.02</v>
      </c>
      <c r="J30" s="548">
        <f>Levers!F9</f>
        <v>2320.02</v>
      </c>
      <c r="K30" s="548">
        <f>Levers!G9</f>
        <v>2320.02</v>
      </c>
      <c r="L30" s="548">
        <f>Levers!H9</f>
        <v>2320.02</v>
      </c>
      <c r="M30" s="548">
        <f>Levers!I9</f>
        <v>2320.02</v>
      </c>
      <c r="N30" s="477"/>
      <c r="O30" s="104"/>
      <c r="Q30" s="332"/>
      <c r="R30" s="332"/>
      <c r="S30" s="332"/>
      <c r="T30" s="332"/>
      <c r="U30" s="332"/>
      <c r="V30" s="332"/>
      <c r="W30" s="332"/>
      <c r="X30" s="332"/>
      <c r="Y30" s="332"/>
      <c r="Z30" s="332"/>
      <c r="AA30" s="332"/>
      <c r="AB30" s="332"/>
      <c r="AC30" s="332"/>
      <c r="AD30" s="332"/>
      <c r="AE30" s="332"/>
    </row>
    <row r="31" spans="1:31" ht="18.75" x14ac:dyDescent="0.3">
      <c r="A31" s="527">
        <f>ROW()</f>
        <v>31</v>
      </c>
      <c r="B31" s="549" t="s">
        <v>458</v>
      </c>
      <c r="C31" s="550"/>
      <c r="D31" s="551"/>
      <c r="E31" s="551"/>
      <c r="F31" s="551"/>
      <c r="G31" s="552">
        <f>SUM(G19,G20,G22)</f>
        <v>83</v>
      </c>
      <c r="H31" s="552">
        <f t="shared" ref="H31:M31" si="5">SUM(H19,H20,H22)</f>
        <v>83</v>
      </c>
      <c r="I31" s="552">
        <f t="shared" si="5"/>
        <v>83</v>
      </c>
      <c r="J31" s="552">
        <f t="shared" si="5"/>
        <v>83</v>
      </c>
      <c r="K31" s="552">
        <f t="shared" si="5"/>
        <v>83</v>
      </c>
      <c r="L31" s="552">
        <f t="shared" si="5"/>
        <v>83</v>
      </c>
      <c r="M31" s="552">
        <f t="shared" si="5"/>
        <v>83</v>
      </c>
      <c r="N31" s="477"/>
      <c r="O31" s="104"/>
      <c r="Q31" s="332"/>
      <c r="R31" s="332"/>
      <c r="S31" s="332"/>
      <c r="T31" s="332"/>
      <c r="U31" s="332"/>
      <c r="V31" s="332"/>
      <c r="W31" s="332"/>
      <c r="X31" s="332"/>
      <c r="Y31" s="332"/>
      <c r="Z31" s="332"/>
      <c r="AA31" s="332"/>
      <c r="AB31" s="332"/>
      <c r="AC31" s="332"/>
      <c r="AD31" s="332"/>
      <c r="AE31" s="332"/>
    </row>
    <row r="32" spans="1:31" ht="18.75" x14ac:dyDescent="0.3">
      <c r="A32" s="527">
        <f>ROW()</f>
        <v>32</v>
      </c>
      <c r="B32" s="553" t="s">
        <v>459</v>
      </c>
      <c r="C32" s="554"/>
      <c r="D32" s="555"/>
      <c r="E32" s="555"/>
      <c r="F32" s="555"/>
      <c r="G32" s="556">
        <f>IFERROR(G30/G31,0)</f>
        <v>0</v>
      </c>
      <c r="H32" s="556">
        <f t="shared" ref="H32:M32" si="6">IFERROR(H30/H31,0)</f>
        <v>27.952048192771084</v>
      </c>
      <c r="I32" s="556">
        <f t="shared" si="6"/>
        <v>27.952048192771084</v>
      </c>
      <c r="J32" s="556">
        <f t="shared" si="6"/>
        <v>27.952048192771084</v>
      </c>
      <c r="K32" s="556">
        <f t="shared" si="6"/>
        <v>27.952048192771084</v>
      </c>
      <c r="L32" s="556">
        <f t="shared" si="6"/>
        <v>27.952048192771084</v>
      </c>
      <c r="M32" s="556">
        <f t="shared" si="6"/>
        <v>27.952048192771084</v>
      </c>
      <c r="N32" s="477"/>
      <c r="O32" s="104"/>
      <c r="Q32" s="332"/>
      <c r="R32" s="332"/>
      <c r="S32" s="332"/>
      <c r="T32" s="332"/>
      <c r="U32" s="332"/>
      <c r="V32" s="332"/>
      <c r="W32" s="332"/>
      <c r="X32" s="332"/>
      <c r="Y32" s="332"/>
      <c r="Z32" s="332"/>
      <c r="AA32" s="332"/>
      <c r="AB32" s="332"/>
      <c r="AC32" s="332"/>
      <c r="AD32" s="332"/>
      <c r="AE32" s="332"/>
    </row>
    <row r="33" spans="1:31" x14ac:dyDescent="0.25">
      <c r="A33" s="527">
        <f>ROW()</f>
        <v>33</v>
      </c>
      <c r="B33" s="557"/>
      <c r="C33" s="557"/>
      <c r="D33" s="558"/>
      <c r="E33" s="558"/>
      <c r="F33" s="558"/>
      <c r="G33" s="558"/>
      <c r="H33" s="558"/>
      <c r="I33" s="558"/>
      <c r="J33" s="558"/>
      <c r="K33" s="558"/>
      <c r="L33" s="558"/>
      <c r="M33" s="558"/>
      <c r="N33" s="477"/>
      <c r="O33" s="104"/>
      <c r="Q33" s="332"/>
      <c r="R33" s="332"/>
      <c r="S33" s="332"/>
      <c r="T33" s="332"/>
      <c r="U33" s="332"/>
      <c r="V33" s="332"/>
      <c r="W33" s="332"/>
      <c r="X33" s="332"/>
      <c r="Y33" s="332"/>
      <c r="Z33" s="332"/>
      <c r="AA33" s="332"/>
      <c r="AB33" s="332"/>
      <c r="AC33" s="332"/>
      <c r="AD33" s="332"/>
      <c r="AE33" s="332"/>
    </row>
    <row r="34" spans="1:31" x14ac:dyDescent="0.25">
      <c r="A34" s="527">
        <f>ROW()</f>
        <v>34</v>
      </c>
      <c r="B34" s="28" t="s">
        <v>460</v>
      </c>
      <c r="C34" s="557">
        <f t="shared" ref="C34:C35" si="7">AVERAGE(H34:M34)</f>
        <v>27493186.053867098</v>
      </c>
      <c r="D34" s="559"/>
      <c r="E34" s="560"/>
      <c r="F34" s="560"/>
      <c r="G34" s="561">
        <f>Levers!C10</f>
        <v>26990956.81896</v>
      </c>
      <c r="H34" s="561">
        <f>Levers!D10</f>
        <v>27258416.3971496</v>
      </c>
      <c r="I34" s="561">
        <f>Levers!E10</f>
        <v>27535637.026217461</v>
      </c>
      <c r="J34" s="561">
        <f>Levers!F10</f>
        <v>27541181.438798815</v>
      </c>
      <c r="K34" s="561">
        <f>Levers!G10</f>
        <v>27541292.327050444</v>
      </c>
      <c r="L34" s="561">
        <f>Levers!H10</f>
        <v>27541294.544815477</v>
      </c>
      <c r="M34" s="561">
        <f>Levers!I10</f>
        <v>27541294.589170776</v>
      </c>
      <c r="N34" s="477"/>
      <c r="O34" s="104"/>
      <c r="Q34" s="332"/>
      <c r="R34" s="332"/>
      <c r="S34" s="332"/>
      <c r="T34" s="332"/>
      <c r="U34" s="332"/>
      <c r="V34" s="332"/>
      <c r="W34" s="332"/>
      <c r="X34" s="332"/>
      <c r="Y34" s="332"/>
      <c r="Z34" s="332"/>
      <c r="AA34" s="332"/>
      <c r="AB34" s="332"/>
      <c r="AC34" s="332"/>
      <c r="AD34" s="332"/>
      <c r="AE34" s="332"/>
    </row>
    <row r="35" spans="1:31" x14ac:dyDescent="0.25">
      <c r="A35" s="527">
        <f>ROW()</f>
        <v>35</v>
      </c>
      <c r="B35" s="28" t="s">
        <v>461</v>
      </c>
      <c r="C35" s="557">
        <f t="shared" si="7"/>
        <v>11157108.979999999</v>
      </c>
      <c r="D35" s="559"/>
      <c r="E35" s="560"/>
      <c r="F35" s="560"/>
      <c r="G35" s="561">
        <f>G400</f>
        <v>11157108.979999999</v>
      </c>
      <c r="H35" s="561">
        <f>H400</f>
        <v>11157108.979999999</v>
      </c>
      <c r="I35" s="561">
        <f t="shared" ref="I35:M35" si="8">I400</f>
        <v>11157108.979999999</v>
      </c>
      <c r="J35" s="561">
        <f t="shared" si="8"/>
        <v>11157108.979999999</v>
      </c>
      <c r="K35" s="561">
        <f t="shared" si="8"/>
        <v>11157108.979999999</v>
      </c>
      <c r="L35" s="561">
        <f t="shared" si="8"/>
        <v>11157108.979999999</v>
      </c>
      <c r="M35" s="561">
        <f t="shared" si="8"/>
        <v>11157108.979999999</v>
      </c>
      <c r="N35" s="477"/>
      <c r="O35" s="104"/>
      <c r="Q35" s="332"/>
      <c r="R35" s="332"/>
      <c r="S35" s="332"/>
      <c r="T35" s="332"/>
      <c r="U35" s="332"/>
      <c r="V35" s="332"/>
      <c r="W35" s="332"/>
      <c r="X35" s="332"/>
      <c r="Y35" s="332"/>
      <c r="Z35" s="332"/>
      <c r="AA35" s="332"/>
      <c r="AB35" s="332"/>
      <c r="AC35" s="332"/>
      <c r="AD35" s="332"/>
      <c r="AE35" s="332"/>
    </row>
    <row r="36" spans="1:31" x14ac:dyDescent="0.25">
      <c r="A36" s="527">
        <f>ROW()</f>
        <v>36</v>
      </c>
      <c r="C36" s="126"/>
      <c r="D36" s="124"/>
      <c r="E36" s="124"/>
      <c r="F36" s="124"/>
      <c r="G36" s="124"/>
      <c r="H36" s="151"/>
      <c r="I36" s="151"/>
      <c r="J36" s="151"/>
      <c r="K36" s="151"/>
      <c r="L36" s="151"/>
      <c r="M36" s="151"/>
      <c r="N36" s="477"/>
      <c r="O36" s="104"/>
      <c r="Q36" s="332"/>
      <c r="R36" s="332"/>
      <c r="S36" s="332"/>
      <c r="T36" s="332"/>
      <c r="U36" s="332"/>
      <c r="V36" s="332"/>
      <c r="W36" s="332"/>
      <c r="X36" s="332"/>
      <c r="Y36" s="332"/>
      <c r="Z36" s="332"/>
      <c r="AA36" s="332"/>
      <c r="AB36" s="332"/>
      <c r="AC36" s="332"/>
      <c r="AD36" s="332"/>
      <c r="AE36" s="332"/>
    </row>
    <row r="37" spans="1:31" x14ac:dyDescent="0.25">
      <c r="A37" s="527">
        <f>ROW()</f>
        <v>37</v>
      </c>
      <c r="B37" s="28" t="s">
        <v>462</v>
      </c>
      <c r="C37" s="557">
        <f>AVERAGE(H37:M37)</f>
        <v>5448471.7330545159</v>
      </c>
      <c r="D37" s="562"/>
      <c r="E37" s="563"/>
      <c r="F37" s="563"/>
      <c r="G37" s="564">
        <f>G425</f>
        <v>5448471.7330545159</v>
      </c>
      <c r="H37" s="564">
        <f t="shared" ref="H37:M37" si="9">H425</f>
        <v>5448471.7330545159</v>
      </c>
      <c r="I37" s="564">
        <f t="shared" si="9"/>
        <v>5448471.7330545159</v>
      </c>
      <c r="J37" s="564">
        <f t="shared" si="9"/>
        <v>5448471.7330545159</v>
      </c>
      <c r="K37" s="564">
        <f t="shared" si="9"/>
        <v>5448471.7330545159</v>
      </c>
      <c r="L37" s="564">
        <f t="shared" si="9"/>
        <v>5448471.7330545159</v>
      </c>
      <c r="M37" s="564">
        <f t="shared" si="9"/>
        <v>5448471.7330545159</v>
      </c>
      <c r="N37" s="477"/>
      <c r="O37" s="104"/>
      <c r="Q37" s="332"/>
      <c r="R37" s="332"/>
      <c r="S37" s="332"/>
      <c r="T37" s="332"/>
      <c r="U37" s="332"/>
      <c r="V37" s="332"/>
      <c r="W37" s="332"/>
      <c r="X37" s="332"/>
      <c r="Y37" s="332"/>
      <c r="Z37" s="332"/>
      <c r="AA37" s="332"/>
      <c r="AB37" s="332"/>
      <c r="AC37" s="332"/>
      <c r="AD37" s="332"/>
      <c r="AE37" s="332"/>
    </row>
    <row r="38" spans="1:31" x14ac:dyDescent="0.25">
      <c r="A38" s="527">
        <f>ROW()</f>
        <v>38</v>
      </c>
      <c r="B38" s="42" t="s">
        <v>463</v>
      </c>
      <c r="G38" s="117">
        <f>G405</f>
        <v>1402200</v>
      </c>
      <c r="H38" s="117">
        <f t="shared" ref="H38:M38" si="10">H405</f>
        <v>1402200</v>
      </c>
      <c r="I38" s="117">
        <f t="shared" si="10"/>
        <v>1402200</v>
      </c>
      <c r="J38" s="117">
        <f t="shared" si="10"/>
        <v>1402200</v>
      </c>
      <c r="K38" s="117">
        <f t="shared" si="10"/>
        <v>1402200</v>
      </c>
      <c r="L38" s="117">
        <f t="shared" si="10"/>
        <v>1402200</v>
      </c>
      <c r="M38" s="117">
        <f t="shared" si="10"/>
        <v>1402200</v>
      </c>
      <c r="N38" s="477"/>
      <c r="O38" s="104"/>
      <c r="Q38" s="332"/>
      <c r="R38" s="332"/>
      <c r="S38" s="332"/>
      <c r="T38" s="332"/>
      <c r="U38" s="332"/>
      <c r="V38" s="332"/>
      <c r="W38" s="332"/>
      <c r="X38" s="332"/>
      <c r="Y38" s="332"/>
      <c r="Z38" s="332"/>
      <c r="AA38" s="332"/>
      <c r="AB38" s="332"/>
      <c r="AC38" s="332"/>
      <c r="AD38" s="332"/>
      <c r="AE38" s="332"/>
    </row>
    <row r="39" spans="1:31" x14ac:dyDescent="0.25">
      <c r="A39" s="527">
        <f>ROW()</f>
        <v>39</v>
      </c>
      <c r="B39" s="42" t="s">
        <v>464</v>
      </c>
      <c r="G39" s="117">
        <f>G411</f>
        <v>3737631.5082999999</v>
      </c>
      <c r="H39" s="117">
        <f t="shared" ref="H39:M39" si="11">H411</f>
        <v>3737631.5082999999</v>
      </c>
      <c r="I39" s="117">
        <f t="shared" si="11"/>
        <v>3737631.5082999999</v>
      </c>
      <c r="J39" s="117">
        <f t="shared" si="11"/>
        <v>3737631.5082999999</v>
      </c>
      <c r="K39" s="117">
        <f t="shared" si="11"/>
        <v>3737631.5082999999</v>
      </c>
      <c r="L39" s="117">
        <f t="shared" si="11"/>
        <v>3737631.5082999999</v>
      </c>
      <c r="M39" s="117">
        <f t="shared" si="11"/>
        <v>3737631.5082999999</v>
      </c>
      <c r="N39" s="477"/>
      <c r="O39" s="104"/>
      <c r="Q39" s="332"/>
      <c r="R39" s="332"/>
      <c r="S39" s="332"/>
      <c r="T39" s="332"/>
      <c r="U39" s="332"/>
      <c r="V39" s="332"/>
      <c r="W39" s="332"/>
      <c r="X39" s="332"/>
      <c r="Y39" s="332"/>
      <c r="Z39" s="332"/>
      <c r="AA39" s="332"/>
      <c r="AB39" s="332"/>
      <c r="AC39" s="332"/>
      <c r="AD39" s="332"/>
      <c r="AE39" s="332"/>
    </row>
    <row r="40" spans="1:31" x14ac:dyDescent="0.25">
      <c r="A40" s="527">
        <f>ROW()</f>
        <v>40</v>
      </c>
      <c r="B40" s="42" t="s">
        <v>465</v>
      </c>
      <c r="G40" s="117">
        <f t="shared" ref="G40:M40" si="12">G425-G39-G38</f>
        <v>308640.22475451604</v>
      </c>
      <c r="H40" s="117">
        <f t="shared" si="12"/>
        <v>308640.22475451604</v>
      </c>
      <c r="I40" s="117">
        <f t="shared" si="12"/>
        <v>308640.22475451604</v>
      </c>
      <c r="J40" s="117">
        <f t="shared" si="12"/>
        <v>308640.22475451604</v>
      </c>
      <c r="K40" s="117">
        <f t="shared" si="12"/>
        <v>308640.22475451604</v>
      </c>
      <c r="L40" s="117">
        <f t="shared" si="12"/>
        <v>308640.22475451604</v>
      </c>
      <c r="M40" s="117">
        <f t="shared" si="12"/>
        <v>308640.22475451604</v>
      </c>
      <c r="N40" s="477"/>
      <c r="O40" s="104"/>
      <c r="Q40" s="332"/>
      <c r="R40" s="332"/>
      <c r="S40" s="332"/>
      <c r="T40" s="332"/>
      <c r="U40" s="332"/>
      <c r="V40" s="332"/>
      <c r="W40" s="332"/>
      <c r="X40" s="332"/>
      <c r="Y40" s="332"/>
      <c r="Z40" s="332"/>
      <c r="AA40" s="332"/>
      <c r="AB40" s="332"/>
      <c r="AC40" s="332"/>
      <c r="AD40" s="332"/>
      <c r="AE40" s="332"/>
    </row>
    <row r="41" spans="1:31" x14ac:dyDescent="0.25">
      <c r="A41" s="527">
        <f>ROW()</f>
        <v>41</v>
      </c>
      <c r="H41" s="544"/>
      <c r="I41" s="544"/>
      <c r="J41" s="544"/>
      <c r="N41" s="477"/>
      <c r="O41" s="104"/>
      <c r="Q41" s="332"/>
      <c r="R41" s="332"/>
      <c r="S41" s="332"/>
      <c r="T41" s="332"/>
      <c r="U41" s="332"/>
      <c r="V41" s="332"/>
      <c r="W41" s="332"/>
      <c r="X41" s="332"/>
      <c r="Y41" s="332"/>
      <c r="Z41" s="332"/>
      <c r="AA41" s="332"/>
      <c r="AB41" s="332"/>
      <c r="AC41" s="332"/>
      <c r="AD41" s="332"/>
      <c r="AE41" s="332"/>
    </row>
    <row r="42" spans="1:31" x14ac:dyDescent="0.25">
      <c r="A42" s="527">
        <f>ROW()</f>
        <v>42</v>
      </c>
      <c r="B42" s="28" t="s">
        <v>466</v>
      </c>
      <c r="C42" s="557">
        <f t="shared" ref="C42:C47" si="13">AVERAGE(H42:M42)</f>
        <v>16627720.713054514</v>
      </c>
      <c r="D42" s="28"/>
      <c r="E42" s="28"/>
      <c r="F42" s="28"/>
      <c r="G42" s="564">
        <f>G461</f>
        <v>16627720.713054515</v>
      </c>
      <c r="H42" s="564">
        <f t="shared" ref="H42:M42" si="14">H461</f>
        <v>16627720.713054515</v>
      </c>
      <c r="I42" s="564">
        <f t="shared" si="14"/>
        <v>16627720.713054515</v>
      </c>
      <c r="J42" s="564">
        <f t="shared" si="14"/>
        <v>16627720.713054515</v>
      </c>
      <c r="K42" s="564">
        <f t="shared" si="14"/>
        <v>16627720.713054515</v>
      </c>
      <c r="L42" s="564">
        <f t="shared" si="14"/>
        <v>16627720.713054515</v>
      </c>
      <c r="M42" s="564">
        <f t="shared" si="14"/>
        <v>16627720.713054515</v>
      </c>
      <c r="N42" s="477"/>
      <c r="O42" s="104"/>
      <c r="Q42" s="332"/>
      <c r="R42" s="332"/>
      <c r="S42" s="332"/>
      <c r="T42" s="332"/>
      <c r="U42" s="332"/>
      <c r="V42" s="332"/>
      <c r="W42" s="332"/>
      <c r="X42" s="332"/>
      <c r="Y42" s="332"/>
      <c r="Z42" s="332"/>
      <c r="AA42" s="332"/>
      <c r="AB42" s="332"/>
      <c r="AC42" s="332"/>
      <c r="AD42" s="332"/>
      <c r="AE42" s="332"/>
    </row>
    <row r="43" spans="1:31" x14ac:dyDescent="0.25">
      <c r="A43" s="527">
        <f>ROW()</f>
        <v>43</v>
      </c>
      <c r="B43" s="42" t="s">
        <v>467</v>
      </c>
      <c r="C43" s="565">
        <f t="shared" si="13"/>
        <v>7167.0592120130486</v>
      </c>
      <c r="G43" s="566"/>
      <c r="H43" s="566">
        <f>Levers!D13</f>
        <v>7167.0592120130495</v>
      </c>
      <c r="I43" s="566">
        <f>Levers!E13</f>
        <v>7167.0592120130495</v>
      </c>
      <c r="J43" s="566">
        <f>Levers!F13</f>
        <v>7167.0592120130495</v>
      </c>
      <c r="K43" s="566">
        <f>Levers!G13</f>
        <v>7167.0592120130495</v>
      </c>
      <c r="L43" s="566">
        <f>Levers!H13</f>
        <v>7167.0592120130495</v>
      </c>
      <c r="M43" s="566">
        <f>Levers!I13</f>
        <v>7167.0592120130495</v>
      </c>
      <c r="N43" s="477"/>
      <c r="O43" s="104"/>
      <c r="Q43" s="332"/>
      <c r="R43" s="332"/>
      <c r="S43" s="332"/>
      <c r="T43" s="332"/>
      <c r="U43" s="332"/>
      <c r="V43" s="332"/>
      <c r="W43" s="332"/>
      <c r="X43" s="332"/>
      <c r="Y43" s="332"/>
      <c r="Z43" s="332"/>
      <c r="AA43" s="332"/>
      <c r="AB43" s="332"/>
      <c r="AC43" s="332"/>
      <c r="AD43" s="332"/>
      <c r="AE43" s="332"/>
    </row>
    <row r="44" spans="1:31" x14ac:dyDescent="0.25">
      <c r="A44" s="527">
        <f>ROW()</f>
        <v>44</v>
      </c>
      <c r="B44" s="64" t="s">
        <v>468</v>
      </c>
      <c r="C44" s="567">
        <f t="shared" si="13"/>
        <v>10865465.340812579</v>
      </c>
      <c r="D44" s="64"/>
      <c r="E44" s="64"/>
      <c r="F44" s="64"/>
      <c r="G44" s="568">
        <f>Levers!C14</f>
        <v>10363236.105905484</v>
      </c>
      <c r="H44" s="568">
        <f>Levers!D14</f>
        <v>10630695.684095085</v>
      </c>
      <c r="I44" s="568">
        <f>Levers!E14</f>
        <v>10907916.313162945</v>
      </c>
      <c r="J44" s="568">
        <f>Levers!F14</f>
        <v>10913460.7257443</v>
      </c>
      <c r="K44" s="568">
        <f>Levers!G14</f>
        <v>10913571.613995928</v>
      </c>
      <c r="L44" s="568">
        <f>Levers!H14</f>
        <v>10913573.831760962</v>
      </c>
      <c r="M44" s="568">
        <f>Levers!I14</f>
        <v>10913573.876116261</v>
      </c>
      <c r="N44" s="477"/>
      <c r="O44" s="104"/>
      <c r="Q44" s="332"/>
      <c r="R44" s="332"/>
      <c r="S44" s="332"/>
      <c r="T44" s="332"/>
      <c r="U44" s="332"/>
      <c r="V44" s="332"/>
      <c r="W44" s="332"/>
      <c r="X44" s="332"/>
      <c r="Y44" s="332"/>
      <c r="Z44" s="332"/>
      <c r="AA44" s="332"/>
      <c r="AB44" s="332"/>
      <c r="AC44" s="332"/>
      <c r="AD44" s="332"/>
      <c r="AE44" s="332"/>
    </row>
    <row r="45" spans="1:31" x14ac:dyDescent="0.25">
      <c r="A45" s="527">
        <f>ROW()</f>
        <v>45</v>
      </c>
      <c r="B45" s="64" t="s">
        <v>469</v>
      </c>
      <c r="C45" s="567">
        <f t="shared" si="13"/>
        <v>4683.3498594031862</v>
      </c>
      <c r="D45" s="64"/>
      <c r="E45" s="64"/>
      <c r="F45" s="64"/>
      <c r="G45" s="568"/>
      <c r="H45" s="568">
        <f>Levers!D15</f>
        <v>4582.1569142055178</v>
      </c>
      <c r="I45" s="568">
        <f>Levers!E15</f>
        <v>4701.6475345742474</v>
      </c>
      <c r="J45" s="568">
        <f>Levers!F15</f>
        <v>4704.0373469816204</v>
      </c>
      <c r="K45" s="568">
        <f>Levers!G15</f>
        <v>4704.0851432297686</v>
      </c>
      <c r="L45" s="568">
        <f>Levers!H15</f>
        <v>4704.0860991547324</v>
      </c>
      <c r="M45" s="568">
        <f>Levers!I15</f>
        <v>4704.0861182732306</v>
      </c>
      <c r="N45" s="477"/>
      <c r="O45" s="104"/>
      <c r="Q45" s="332"/>
      <c r="R45" s="332"/>
      <c r="S45" s="332"/>
      <c r="T45" s="332"/>
      <c r="U45" s="332"/>
      <c r="V45" s="332"/>
      <c r="W45" s="332"/>
      <c r="X45" s="332"/>
      <c r="Y45" s="332"/>
      <c r="Z45" s="332"/>
      <c r="AA45" s="332"/>
      <c r="AB45" s="332"/>
      <c r="AC45" s="332"/>
      <c r="AD45" s="332"/>
      <c r="AE45" s="332"/>
    </row>
    <row r="46" spans="1:31" x14ac:dyDescent="0.25">
      <c r="A46" s="527">
        <f>ROW()</f>
        <v>46</v>
      </c>
      <c r="B46" s="64" t="s">
        <v>470</v>
      </c>
      <c r="C46" s="567">
        <f t="shared" si="13"/>
        <v>962346.99691080896</v>
      </c>
      <c r="D46" s="64"/>
      <c r="E46" s="64"/>
      <c r="F46" s="64"/>
      <c r="G46" s="568">
        <f>Levers!C38</f>
        <v>1405170.7871554845</v>
      </c>
      <c r="H46" s="568">
        <f>Levers!D38</f>
        <v>1415564.3257825843</v>
      </c>
      <c r="I46" s="568">
        <f>Levers!E38</f>
        <v>1429084.1525010711</v>
      </c>
      <c r="J46" s="568">
        <f>Levers!F38</f>
        <v>1161972.4834305684</v>
      </c>
      <c r="K46" s="568">
        <f>Levers!G38</f>
        <v>881264.58524414641</v>
      </c>
      <c r="L46" s="568">
        <f>Levers!H38</f>
        <v>592040.77019461396</v>
      </c>
      <c r="M46" s="568">
        <f>Levers!I38</f>
        <v>294155.6643118686</v>
      </c>
      <c r="N46" s="477"/>
      <c r="O46" s="104"/>
      <c r="Q46" s="332"/>
      <c r="R46" s="332"/>
      <c r="S46" s="332"/>
      <c r="T46" s="332"/>
      <c r="U46" s="332"/>
      <c r="V46" s="332"/>
      <c r="W46" s="332"/>
      <c r="X46" s="332"/>
      <c r="Y46" s="332"/>
      <c r="Z46" s="332"/>
      <c r="AA46" s="332"/>
      <c r="AB46" s="332"/>
      <c r="AC46" s="332"/>
      <c r="AD46" s="332"/>
      <c r="AE46" s="332"/>
    </row>
    <row r="47" spans="1:31" x14ac:dyDescent="0.25">
      <c r="A47" s="527">
        <f>ROW()</f>
        <v>47</v>
      </c>
      <c r="B47" s="64" t="s">
        <v>471</v>
      </c>
      <c r="C47" s="567">
        <f t="shared" si="13"/>
        <v>414.8011641756575</v>
      </c>
      <c r="D47" s="64"/>
      <c r="E47" s="64"/>
      <c r="F47" s="64"/>
      <c r="G47" s="568">
        <f>Levers!C39</f>
        <v>605.67184212010443</v>
      </c>
      <c r="H47" s="568">
        <f>Levers!D39</f>
        <v>610.15177704613939</v>
      </c>
      <c r="I47" s="568">
        <f>Levers!E39</f>
        <v>615.97923832599338</v>
      </c>
      <c r="J47" s="568">
        <f>Levers!F39</f>
        <v>500.84589073825589</v>
      </c>
      <c r="K47" s="568">
        <f>Levers!G39</f>
        <v>379.85215008670031</v>
      </c>
      <c r="L47" s="568">
        <f>Levers!H39</f>
        <v>255.18778725813311</v>
      </c>
      <c r="M47" s="568">
        <f>Levers!I39</f>
        <v>126.79014159872268</v>
      </c>
      <c r="N47" s="477"/>
      <c r="O47" s="104"/>
      <c r="Q47" s="332"/>
      <c r="R47" s="332"/>
      <c r="S47" s="332"/>
      <c r="T47" s="332"/>
      <c r="U47" s="332"/>
      <c r="V47" s="332"/>
      <c r="W47" s="332"/>
      <c r="X47" s="332"/>
      <c r="Y47" s="332"/>
      <c r="Z47" s="332"/>
      <c r="AA47" s="332"/>
      <c r="AB47" s="332"/>
      <c r="AC47" s="332"/>
      <c r="AD47" s="332"/>
      <c r="AE47" s="332"/>
    </row>
    <row r="48" spans="1:31" x14ac:dyDescent="0.25">
      <c r="A48" s="527">
        <f>ROW()</f>
        <v>48</v>
      </c>
      <c r="H48" s="544"/>
      <c r="I48" s="544"/>
      <c r="J48" s="544"/>
      <c r="N48" s="477"/>
      <c r="O48" s="104"/>
      <c r="Q48" s="332"/>
      <c r="R48" s="332"/>
      <c r="S48" s="332"/>
      <c r="T48" s="332"/>
      <c r="U48" s="332"/>
      <c r="V48" s="332"/>
      <c r="W48" s="332"/>
      <c r="X48" s="332"/>
      <c r="Y48" s="332"/>
      <c r="Z48" s="332"/>
      <c r="AA48" s="332"/>
      <c r="AB48" s="332"/>
      <c r="AC48" s="332"/>
      <c r="AD48" s="332"/>
      <c r="AE48" s="332"/>
    </row>
    <row r="49" spans="1:31" x14ac:dyDescent="0.25">
      <c r="A49" s="527">
        <f>ROW()</f>
        <v>49</v>
      </c>
      <c r="B49" s="569" t="s">
        <v>183</v>
      </c>
      <c r="C49" s="569"/>
      <c r="D49" s="569"/>
      <c r="E49" s="569"/>
      <c r="F49" s="569"/>
      <c r="G49" s="570">
        <f t="shared" ref="G49:M51" si="15">G8</f>
        <v>0</v>
      </c>
      <c r="H49" s="571">
        <f t="shared" si="15"/>
        <v>1</v>
      </c>
      <c r="I49" s="571">
        <f t="shared" si="15"/>
        <v>2</v>
      </c>
      <c r="J49" s="571">
        <f t="shared" si="15"/>
        <v>3</v>
      </c>
      <c r="K49" s="571">
        <f t="shared" si="15"/>
        <v>4</v>
      </c>
      <c r="L49" s="571">
        <f t="shared" si="15"/>
        <v>5</v>
      </c>
      <c r="M49" s="571">
        <f t="shared" si="15"/>
        <v>6</v>
      </c>
      <c r="N49" s="477"/>
      <c r="O49" s="104"/>
      <c r="Q49" s="332"/>
      <c r="R49" s="332"/>
      <c r="S49" s="332"/>
      <c r="T49" s="332"/>
      <c r="U49" s="332"/>
      <c r="V49" s="332"/>
      <c r="W49" s="332"/>
      <c r="X49" s="332"/>
      <c r="Y49" s="332"/>
      <c r="Z49" s="332"/>
      <c r="AA49" s="332"/>
      <c r="AB49" s="332"/>
      <c r="AC49" s="332"/>
      <c r="AD49" s="332"/>
      <c r="AE49" s="332"/>
    </row>
    <row r="50" spans="1:31" x14ac:dyDescent="0.25">
      <c r="A50" s="527">
        <f>ROW()</f>
        <v>50</v>
      </c>
      <c r="B50" s="38" t="s">
        <v>472</v>
      </c>
      <c r="C50" s="38"/>
      <c r="D50" s="38"/>
      <c r="E50" s="38"/>
      <c r="F50" s="38"/>
      <c r="G50" s="572">
        <f t="shared" si="15"/>
        <v>2024</v>
      </c>
      <c r="H50" s="572">
        <f t="shared" si="15"/>
        <v>2025</v>
      </c>
      <c r="I50" s="573">
        <f t="shared" si="15"/>
        <v>2026</v>
      </c>
      <c r="J50" s="573">
        <f t="shared" si="15"/>
        <v>2027</v>
      </c>
      <c r="K50" s="573">
        <f t="shared" si="15"/>
        <v>2028</v>
      </c>
      <c r="L50" s="573">
        <f t="shared" si="15"/>
        <v>2029</v>
      </c>
      <c r="M50" s="573">
        <f t="shared" si="15"/>
        <v>2030</v>
      </c>
      <c r="N50" s="477"/>
      <c r="O50" s="104"/>
      <c r="Q50" s="332"/>
      <c r="R50" s="332"/>
      <c r="S50" s="332"/>
      <c r="T50" s="332"/>
      <c r="U50" s="332"/>
      <c r="V50" s="332"/>
      <c r="W50" s="332"/>
      <c r="X50" s="332"/>
      <c r="Y50" s="332"/>
      <c r="Z50" s="332"/>
      <c r="AA50" s="332"/>
      <c r="AB50" s="332"/>
      <c r="AC50" s="332"/>
      <c r="AD50" s="332"/>
      <c r="AE50" s="332"/>
    </row>
    <row r="51" spans="1:31" x14ac:dyDescent="0.25">
      <c r="A51" s="527">
        <f>ROW()</f>
        <v>51</v>
      </c>
      <c r="B51" s="38" t="s">
        <v>473</v>
      </c>
      <c r="C51" s="38"/>
      <c r="D51" s="38"/>
      <c r="E51" s="38"/>
      <c r="F51" s="38"/>
      <c r="G51" s="346">
        <f t="shared" si="15"/>
        <v>2025</v>
      </c>
      <c r="H51" s="346">
        <f t="shared" si="15"/>
        <v>2026</v>
      </c>
      <c r="I51" s="346">
        <f t="shared" si="15"/>
        <v>2027</v>
      </c>
      <c r="J51" s="346">
        <f t="shared" si="15"/>
        <v>2028</v>
      </c>
      <c r="K51" s="346">
        <f t="shared" si="15"/>
        <v>2029</v>
      </c>
      <c r="L51" s="346">
        <f t="shared" si="15"/>
        <v>2030</v>
      </c>
      <c r="M51" s="346">
        <f t="shared" si="15"/>
        <v>2031</v>
      </c>
      <c r="N51" s="477"/>
      <c r="O51" s="104"/>
      <c r="Q51" s="332"/>
      <c r="R51" s="332"/>
      <c r="S51" s="332"/>
      <c r="T51" s="332"/>
      <c r="U51" s="332"/>
      <c r="V51" s="332"/>
      <c r="W51" s="332"/>
      <c r="X51" s="332"/>
      <c r="Y51" s="332"/>
      <c r="Z51" s="332"/>
      <c r="AA51" s="332"/>
      <c r="AB51" s="332"/>
      <c r="AC51" s="332"/>
      <c r="AD51" s="332"/>
      <c r="AE51" s="332"/>
    </row>
    <row r="52" spans="1:31" x14ac:dyDescent="0.25">
      <c r="A52" s="527">
        <f>ROW()</f>
        <v>52</v>
      </c>
      <c r="B52" s="278" t="s">
        <v>474</v>
      </c>
      <c r="C52" s="574"/>
      <c r="D52" s="574"/>
      <c r="E52" s="574"/>
      <c r="F52" s="574"/>
      <c r="G52" s="574"/>
      <c r="H52" s="574"/>
      <c r="I52" s="575"/>
      <c r="J52" s="575"/>
      <c r="K52" s="575"/>
      <c r="L52" s="575"/>
      <c r="M52" s="575"/>
      <c r="N52" s="477"/>
      <c r="O52" s="104"/>
      <c r="Q52" s="332"/>
      <c r="R52" s="332"/>
      <c r="S52" s="332"/>
      <c r="T52" s="332"/>
      <c r="U52" s="332"/>
      <c r="V52" s="332"/>
      <c r="W52" s="332"/>
      <c r="X52" s="332"/>
      <c r="Y52" s="332"/>
      <c r="Z52" s="332"/>
      <c r="AA52" s="332"/>
      <c r="AB52" s="332"/>
      <c r="AC52" s="332"/>
      <c r="AD52" s="332"/>
      <c r="AE52" s="332"/>
    </row>
    <row r="53" spans="1:31" x14ac:dyDescent="0.25">
      <c r="A53" s="527">
        <f>ROW()</f>
        <v>53</v>
      </c>
      <c r="B53" s="391" t="s">
        <v>475</v>
      </c>
      <c r="C53" s="266"/>
      <c r="D53" s="266"/>
      <c r="E53" s="284" t="s">
        <v>476</v>
      </c>
      <c r="F53" s="266"/>
      <c r="G53" s="576"/>
      <c r="H53" s="577"/>
      <c r="I53" s="578"/>
      <c r="J53" s="578"/>
      <c r="K53" s="578"/>
      <c r="L53" s="578"/>
      <c r="M53" s="578"/>
      <c r="N53" s="477"/>
      <c r="O53" s="104"/>
      <c r="Q53" s="332"/>
      <c r="R53" s="332"/>
      <c r="S53" s="332"/>
      <c r="T53" s="332"/>
      <c r="U53" s="332"/>
      <c r="V53" s="332"/>
      <c r="W53" s="332"/>
      <c r="X53" s="332"/>
      <c r="Y53" s="332"/>
      <c r="Z53" s="332"/>
      <c r="AA53" s="332"/>
      <c r="AB53" s="332"/>
      <c r="AC53" s="332"/>
      <c r="AD53" s="332"/>
      <c r="AE53" s="332"/>
    </row>
    <row r="54" spans="1:31" x14ac:dyDescent="0.25">
      <c r="A54" s="527">
        <f>ROW()</f>
        <v>54</v>
      </c>
      <c r="B54" s="266" t="s">
        <v>477</v>
      </c>
      <c r="C54" s="579">
        <v>11400</v>
      </c>
      <c r="D54" s="577" t="s">
        <v>478</v>
      </c>
      <c r="E54" s="1614" t="s">
        <v>479</v>
      </c>
      <c r="F54" s="1614"/>
      <c r="G54" s="1614"/>
      <c r="H54" s="1614"/>
      <c r="I54" s="1614"/>
      <c r="J54" s="1614"/>
      <c r="K54" s="1614"/>
      <c r="L54" s="1614"/>
      <c r="M54" s="1614"/>
      <c r="N54" s="477"/>
      <c r="O54" s="104"/>
      <c r="Q54" s="332"/>
      <c r="R54" s="332"/>
      <c r="S54" s="332"/>
      <c r="T54" s="332"/>
      <c r="U54" s="332"/>
      <c r="V54" s="332"/>
      <c r="W54" s="332"/>
      <c r="X54" s="332"/>
      <c r="Y54" s="332"/>
      <c r="Z54" s="332"/>
      <c r="AA54" s="332"/>
      <c r="AB54" s="332"/>
      <c r="AC54" s="332"/>
      <c r="AD54" s="332"/>
      <c r="AE54" s="332"/>
    </row>
    <row r="55" spans="1:31" x14ac:dyDescent="0.25">
      <c r="A55" s="527">
        <f>ROW()</f>
        <v>55</v>
      </c>
      <c r="B55" s="266" t="s">
        <v>480</v>
      </c>
      <c r="C55" s="579">
        <v>11400</v>
      </c>
      <c r="D55" s="577" t="s">
        <v>478</v>
      </c>
      <c r="E55" s="1614"/>
      <c r="F55" s="1614"/>
      <c r="G55" s="1614"/>
      <c r="H55" s="1614"/>
      <c r="I55" s="1614"/>
      <c r="J55" s="1614"/>
      <c r="K55" s="1614"/>
      <c r="L55" s="1614"/>
      <c r="M55" s="1614"/>
      <c r="N55" s="477"/>
      <c r="O55" s="104"/>
      <c r="Q55" s="332"/>
      <c r="R55" s="332"/>
      <c r="S55" s="332"/>
      <c r="T55" s="332"/>
      <c r="U55" s="332"/>
      <c r="V55" s="332"/>
      <c r="W55" s="332"/>
      <c r="X55" s="332"/>
      <c r="Y55" s="332"/>
      <c r="Z55" s="332"/>
      <c r="AA55" s="332"/>
      <c r="AB55" s="332"/>
      <c r="AC55" s="332"/>
      <c r="AD55" s="332"/>
      <c r="AE55" s="332"/>
    </row>
    <row r="56" spans="1:31" x14ac:dyDescent="0.25">
      <c r="A56" s="527">
        <f>ROW()</f>
        <v>56</v>
      </c>
      <c r="B56" s="266" t="s">
        <v>481</v>
      </c>
      <c r="C56" s="580">
        <v>0.9</v>
      </c>
      <c r="D56" s="577"/>
      <c r="E56" s="1614"/>
      <c r="F56" s="1614"/>
      <c r="G56" s="1614"/>
      <c r="H56" s="1614"/>
      <c r="I56" s="1614"/>
      <c r="J56" s="1614"/>
      <c r="K56" s="1614"/>
      <c r="L56" s="1614"/>
      <c r="M56" s="1614"/>
      <c r="N56" s="477"/>
      <c r="O56" s="104"/>
      <c r="Q56" s="332"/>
      <c r="R56" s="332"/>
      <c r="S56" s="332"/>
      <c r="T56" s="332"/>
      <c r="U56" s="332"/>
      <c r="V56" s="332"/>
      <c r="W56" s="332"/>
      <c r="X56" s="332"/>
      <c r="Y56" s="332"/>
      <c r="Z56" s="332"/>
      <c r="AA56" s="332"/>
      <c r="AB56" s="332"/>
      <c r="AC56" s="332"/>
      <c r="AD56" s="332"/>
      <c r="AE56" s="332"/>
    </row>
    <row r="57" spans="1:31" x14ac:dyDescent="0.25">
      <c r="A57" s="527">
        <f>ROW()</f>
        <v>57</v>
      </c>
      <c r="B57" s="266" t="s">
        <v>482</v>
      </c>
      <c r="C57" s="580">
        <v>0.67</v>
      </c>
      <c r="D57" s="577"/>
      <c r="E57" s="1614"/>
      <c r="F57" s="1614"/>
      <c r="G57" s="1614"/>
      <c r="H57" s="1614"/>
      <c r="I57" s="1614"/>
      <c r="J57" s="1614"/>
      <c r="K57" s="1614"/>
      <c r="L57" s="1614"/>
      <c r="M57" s="1614"/>
      <c r="N57" s="477"/>
      <c r="O57" s="104"/>
      <c r="Q57" s="332"/>
      <c r="R57" s="332"/>
      <c r="S57" s="332"/>
      <c r="T57" s="332"/>
      <c r="U57" s="332"/>
      <c r="V57" s="332"/>
      <c r="W57" s="332"/>
      <c r="X57" s="332"/>
      <c r="Y57" s="332"/>
      <c r="Z57" s="332"/>
      <c r="AA57" s="332"/>
      <c r="AB57" s="332"/>
      <c r="AC57" s="332"/>
      <c r="AD57" s="332"/>
      <c r="AE57" s="332"/>
    </row>
    <row r="58" spans="1:31" x14ac:dyDescent="0.25">
      <c r="A58" s="527">
        <f>ROW()</f>
        <v>58</v>
      </c>
      <c r="B58" s="266" t="s">
        <v>483</v>
      </c>
      <c r="C58" s="581">
        <f>(C57*C54)+((1-C57)*C55)</f>
        <v>11400</v>
      </c>
      <c r="D58" s="582" t="s">
        <v>484</v>
      </c>
      <c r="E58" s="1614" t="s">
        <v>479</v>
      </c>
      <c r="F58" s="1614"/>
      <c r="G58" s="1614"/>
      <c r="H58" s="1614"/>
      <c r="I58" s="1614"/>
      <c r="J58" s="1614"/>
      <c r="K58" s="1614"/>
      <c r="L58" s="1614"/>
      <c r="M58" s="1614"/>
      <c r="N58" s="477"/>
      <c r="O58" s="104"/>
      <c r="Q58" s="332"/>
      <c r="R58" s="332"/>
      <c r="S58" s="332"/>
      <c r="T58" s="332"/>
      <c r="U58" s="332"/>
      <c r="V58" s="332"/>
      <c r="W58" s="332"/>
      <c r="X58" s="332"/>
      <c r="Y58" s="332"/>
      <c r="Z58" s="332"/>
      <c r="AA58" s="332"/>
      <c r="AB58" s="332"/>
      <c r="AC58" s="332"/>
      <c r="AD58" s="332"/>
      <c r="AE58" s="332"/>
    </row>
    <row r="59" spans="1:31" x14ac:dyDescent="0.25">
      <c r="A59" s="527">
        <f>ROW()</f>
        <v>59</v>
      </c>
      <c r="B59" s="266" t="s">
        <v>485</v>
      </c>
      <c r="C59" s="583">
        <v>1.4500000000000001E-2</v>
      </c>
      <c r="D59" s="577" t="s">
        <v>486</v>
      </c>
      <c r="E59" s="1614" t="s">
        <v>487</v>
      </c>
      <c r="F59" s="1614"/>
      <c r="G59" s="1614"/>
      <c r="H59" s="1614"/>
      <c r="I59" s="1614"/>
      <c r="J59" s="1614"/>
      <c r="K59" s="1614"/>
      <c r="L59" s="1614"/>
      <c r="M59" s="1614"/>
      <c r="N59" s="477"/>
      <c r="O59" s="104"/>
      <c r="Q59" s="332"/>
      <c r="R59" s="332"/>
      <c r="S59" s="332"/>
      <c r="T59" s="332"/>
      <c r="U59" s="332"/>
      <c r="V59" s="332"/>
      <c r="W59" s="332"/>
      <c r="X59" s="332"/>
      <c r="Y59" s="332"/>
      <c r="Z59" s="332"/>
      <c r="AA59" s="332"/>
      <c r="AB59" s="332"/>
      <c r="AC59" s="332"/>
      <c r="AD59" s="332"/>
      <c r="AE59" s="332"/>
    </row>
    <row r="60" spans="1:31" x14ac:dyDescent="0.25">
      <c r="A60" s="527">
        <f>ROW()</f>
        <v>60</v>
      </c>
      <c r="B60" s="266" t="s">
        <v>488</v>
      </c>
      <c r="C60" s="583">
        <v>0.33500000000000002</v>
      </c>
      <c r="D60" s="577" t="s">
        <v>486</v>
      </c>
      <c r="E60" s="1614" t="s">
        <v>489</v>
      </c>
      <c r="F60" s="1614"/>
      <c r="G60" s="1614"/>
      <c r="H60" s="1614"/>
      <c r="I60" s="1614"/>
      <c r="J60" s="1614"/>
      <c r="K60" s="1614"/>
      <c r="L60" s="1614"/>
      <c r="M60" s="1614"/>
      <c r="N60" s="477"/>
      <c r="O60" s="104"/>
      <c r="Q60" s="332"/>
      <c r="R60" s="332"/>
      <c r="S60" s="332"/>
      <c r="T60" s="332"/>
      <c r="U60" s="332"/>
      <c r="V60" s="332"/>
      <c r="W60" s="332"/>
      <c r="X60" s="332"/>
      <c r="Y60" s="332"/>
      <c r="Z60" s="332"/>
      <c r="AA60" s="332"/>
      <c r="AB60" s="332"/>
      <c r="AC60" s="332"/>
      <c r="AD60" s="332"/>
      <c r="AE60" s="332"/>
    </row>
    <row r="61" spans="1:31" x14ac:dyDescent="0.25">
      <c r="A61" s="527">
        <f>ROW()</f>
        <v>61</v>
      </c>
      <c r="B61" s="266" t="s">
        <v>490</v>
      </c>
      <c r="C61" s="583">
        <v>6.0000000000000001E-3</v>
      </c>
      <c r="D61" s="577" t="s">
        <v>486</v>
      </c>
      <c r="E61" s="1614" t="s">
        <v>491</v>
      </c>
      <c r="F61" s="1614"/>
      <c r="G61" s="1614"/>
      <c r="H61" s="1614"/>
      <c r="I61" s="1614"/>
      <c r="J61" s="1614"/>
      <c r="K61" s="1614"/>
      <c r="L61" s="1614"/>
      <c r="M61" s="1614"/>
      <c r="N61" s="477"/>
      <c r="O61" s="104"/>
      <c r="Q61" s="332"/>
      <c r="R61" s="332"/>
      <c r="S61" s="332"/>
      <c r="T61" s="332"/>
      <c r="U61" s="332"/>
      <c r="V61" s="332"/>
      <c r="W61" s="332"/>
      <c r="X61" s="332"/>
      <c r="Y61" s="332"/>
      <c r="Z61" s="332"/>
      <c r="AA61" s="332"/>
      <c r="AB61" s="332"/>
      <c r="AC61" s="332"/>
      <c r="AD61" s="332"/>
      <c r="AE61" s="332"/>
    </row>
    <row r="62" spans="1:31" x14ac:dyDescent="0.25">
      <c r="A62" s="527">
        <f>ROW()</f>
        <v>62</v>
      </c>
      <c r="B62" s="266" t="s">
        <v>492</v>
      </c>
      <c r="C62" s="584">
        <v>0</v>
      </c>
      <c r="D62" s="582" t="s">
        <v>493</v>
      </c>
      <c r="E62" s="1614" t="s">
        <v>494</v>
      </c>
      <c r="F62" s="1614"/>
      <c r="G62" s="1614"/>
      <c r="H62" s="1614"/>
      <c r="I62" s="1614"/>
      <c r="J62" s="1614"/>
      <c r="K62" s="1614"/>
      <c r="L62" s="1614"/>
      <c r="M62" s="1614"/>
      <c r="N62" s="477"/>
      <c r="O62" s="104"/>
      <c r="Q62" s="332"/>
      <c r="R62" s="332"/>
      <c r="S62" s="332"/>
      <c r="T62" s="332"/>
      <c r="U62" s="332"/>
      <c r="V62" s="332"/>
      <c r="W62" s="332"/>
      <c r="X62" s="332"/>
      <c r="Y62" s="332"/>
      <c r="Z62" s="332"/>
      <c r="AA62" s="332"/>
      <c r="AB62" s="332"/>
      <c r="AC62" s="332"/>
      <c r="AD62" s="332"/>
      <c r="AE62" s="332"/>
    </row>
    <row r="63" spans="1:31" x14ac:dyDescent="0.25">
      <c r="A63" s="527">
        <f>ROW()</f>
        <v>63</v>
      </c>
      <c r="B63" s="266" t="s">
        <v>495</v>
      </c>
      <c r="C63" s="585">
        <f>(40600*122*0.012)/11057000</f>
        <v>5.3756353441258928E-3</v>
      </c>
      <c r="D63" s="577" t="s">
        <v>486</v>
      </c>
      <c r="E63" s="1614" t="s">
        <v>496</v>
      </c>
      <c r="F63" s="1614"/>
      <c r="G63" s="1614"/>
      <c r="H63" s="1614"/>
      <c r="I63" s="1614"/>
      <c r="J63" s="1614"/>
      <c r="K63" s="1614"/>
      <c r="L63" s="1614"/>
      <c r="M63" s="1614"/>
      <c r="N63" s="477"/>
      <c r="O63" s="104"/>
      <c r="Q63" s="332"/>
      <c r="R63" s="332"/>
      <c r="S63" s="332"/>
      <c r="T63" s="332"/>
      <c r="U63" s="332"/>
      <c r="V63" s="332"/>
      <c r="W63" s="332"/>
      <c r="X63" s="332"/>
      <c r="Y63" s="332"/>
      <c r="Z63" s="332"/>
      <c r="AA63" s="332"/>
      <c r="AB63" s="332"/>
      <c r="AC63" s="332"/>
      <c r="AD63" s="332"/>
      <c r="AE63" s="332"/>
    </row>
    <row r="64" spans="1:31" x14ac:dyDescent="0.25">
      <c r="A64" s="527">
        <f>ROW()</f>
        <v>64</v>
      </c>
      <c r="B64" s="266" t="s">
        <v>497</v>
      </c>
      <c r="C64" s="585">
        <f>(122*36000*0.0045)/11057000</f>
        <v>1.7874649543275752E-3</v>
      </c>
      <c r="D64" s="577" t="s">
        <v>486</v>
      </c>
      <c r="E64" s="1614" t="s">
        <v>498</v>
      </c>
      <c r="F64" s="1614"/>
      <c r="G64" s="1614"/>
      <c r="H64" s="1614"/>
      <c r="I64" s="1614"/>
      <c r="J64" s="1614"/>
      <c r="K64" s="1614"/>
      <c r="L64" s="1614"/>
      <c r="M64" s="1614"/>
      <c r="N64" s="477"/>
      <c r="O64" s="104"/>
      <c r="Q64" s="332"/>
      <c r="R64" s="332"/>
      <c r="S64" s="332"/>
      <c r="T64" s="332"/>
      <c r="U64" s="332"/>
      <c r="V64" s="332"/>
      <c r="W64" s="332"/>
      <c r="X64" s="332"/>
      <c r="Y64" s="332"/>
      <c r="Z64" s="332"/>
      <c r="AA64" s="332"/>
      <c r="AB64" s="332"/>
      <c r="AC64" s="332"/>
      <c r="AD64" s="332"/>
      <c r="AE64" s="332"/>
    </row>
    <row r="65" spans="1:31" x14ac:dyDescent="0.25">
      <c r="A65" s="527">
        <f>ROW()</f>
        <v>65</v>
      </c>
      <c r="B65" s="266"/>
      <c r="C65" s="586"/>
      <c r="D65" s="577"/>
      <c r="E65" s="1614"/>
      <c r="F65" s="1614"/>
      <c r="G65" s="1614"/>
      <c r="H65" s="1614"/>
      <c r="I65" s="1614"/>
      <c r="J65" s="1614"/>
      <c r="K65" s="1614"/>
      <c r="L65" s="1614"/>
      <c r="M65" s="1614"/>
      <c r="N65" s="477"/>
      <c r="O65" s="104"/>
      <c r="Q65" s="332"/>
      <c r="R65" s="332"/>
      <c r="S65" s="332"/>
      <c r="T65" s="332"/>
      <c r="U65" s="332"/>
      <c r="V65" s="332"/>
      <c r="W65" s="332"/>
      <c r="X65" s="332"/>
      <c r="Y65" s="332"/>
      <c r="Z65" s="332"/>
      <c r="AA65" s="332"/>
      <c r="AB65" s="332"/>
      <c r="AC65" s="332"/>
      <c r="AD65" s="332"/>
      <c r="AE65" s="332"/>
    </row>
    <row r="66" spans="1:31" x14ac:dyDescent="0.25">
      <c r="A66" s="527">
        <f>ROW()</f>
        <v>66</v>
      </c>
      <c r="B66" s="266" t="s">
        <v>432</v>
      </c>
      <c r="C66" s="579">
        <v>15</v>
      </c>
      <c r="D66" s="577" t="s">
        <v>499</v>
      </c>
      <c r="E66" s="1614"/>
      <c r="F66" s="1614"/>
      <c r="G66" s="1614"/>
      <c r="H66" s="1614"/>
      <c r="I66" s="1614"/>
      <c r="J66" s="1614"/>
      <c r="K66" s="1614"/>
      <c r="L66" s="1614"/>
      <c r="M66" s="1614"/>
      <c r="N66" s="477"/>
      <c r="O66" s="104"/>
      <c r="Q66" s="332"/>
      <c r="R66" s="332"/>
      <c r="S66" s="332"/>
      <c r="T66" s="332"/>
      <c r="U66" s="332"/>
      <c r="V66" s="332"/>
      <c r="W66" s="332"/>
      <c r="X66" s="332"/>
      <c r="Y66" s="332"/>
      <c r="Z66" s="332"/>
      <c r="AA66" s="332"/>
      <c r="AB66" s="332"/>
      <c r="AC66" s="332"/>
      <c r="AD66" s="332"/>
      <c r="AE66" s="332"/>
    </row>
    <row r="67" spans="1:31" x14ac:dyDescent="0.25">
      <c r="A67" s="527">
        <f>ROW()</f>
        <v>67</v>
      </c>
      <c r="B67" s="266" t="s">
        <v>500</v>
      </c>
      <c r="C67" s="587" t="s">
        <v>501</v>
      </c>
      <c r="D67" s="577"/>
      <c r="E67" s="1614"/>
      <c r="F67" s="1614"/>
      <c r="G67" s="1614"/>
      <c r="H67" s="1614"/>
      <c r="I67" s="1614"/>
      <c r="J67" s="1614"/>
      <c r="K67" s="1614"/>
      <c r="L67" s="1614"/>
      <c r="M67" s="1614"/>
      <c r="N67" s="477"/>
      <c r="O67" s="104"/>
      <c r="Q67" s="332"/>
      <c r="R67" s="332"/>
      <c r="S67" s="332"/>
      <c r="T67" s="332"/>
      <c r="U67" s="332"/>
      <c r="V67" s="332"/>
      <c r="W67" s="332"/>
      <c r="X67" s="332"/>
      <c r="Y67" s="332"/>
      <c r="Z67" s="332"/>
      <c r="AA67" s="332"/>
      <c r="AB67" s="332"/>
      <c r="AC67" s="332"/>
      <c r="AD67" s="332"/>
      <c r="AE67" s="332"/>
    </row>
    <row r="68" spans="1:31" x14ac:dyDescent="0.25">
      <c r="A68" s="527">
        <f>ROW()</f>
        <v>68</v>
      </c>
      <c r="B68" s="284" t="s">
        <v>502</v>
      </c>
      <c r="C68" s="588">
        <f>+' Enrol &amp; Rev'!C97</f>
        <v>0</v>
      </c>
      <c r="D68" s="266" t="s">
        <v>503</v>
      </c>
      <c r="E68" s="284"/>
      <c r="F68" s="284"/>
      <c r="G68" s="286"/>
      <c r="H68" s="286"/>
      <c r="I68" s="84"/>
      <c r="J68" s="84"/>
      <c r="K68" s="84"/>
      <c r="L68" s="84"/>
      <c r="M68" s="84"/>
      <c r="N68" s="477"/>
      <c r="O68" s="104"/>
      <c r="Q68" s="332"/>
      <c r="R68" s="332"/>
      <c r="S68" s="332"/>
      <c r="T68" s="332"/>
      <c r="U68" s="332"/>
      <c r="V68" s="332"/>
      <c r="W68" s="332"/>
      <c r="X68" s="332"/>
      <c r="Y68" s="332"/>
      <c r="Z68" s="332"/>
      <c r="AA68" s="332"/>
      <c r="AB68" s="332"/>
      <c r="AC68" s="332"/>
      <c r="AD68" s="332"/>
      <c r="AE68" s="332"/>
    </row>
    <row r="69" spans="1:31" x14ac:dyDescent="0.25">
      <c r="A69" s="527">
        <f>ROW()</f>
        <v>69</v>
      </c>
      <c r="C69" s="78"/>
      <c r="N69" s="477"/>
      <c r="O69" s="104"/>
      <c r="Q69" s="332"/>
      <c r="R69" s="332"/>
      <c r="S69" s="332"/>
      <c r="T69" s="332"/>
      <c r="U69" s="332"/>
      <c r="V69" s="332"/>
      <c r="W69" s="332"/>
      <c r="X69" s="332"/>
      <c r="Y69" s="332"/>
      <c r="Z69" s="332"/>
      <c r="AA69" s="332"/>
      <c r="AB69" s="332"/>
      <c r="AC69" s="332"/>
      <c r="AD69" s="332"/>
      <c r="AE69" s="332"/>
    </row>
    <row r="70" spans="1:31" x14ac:dyDescent="0.25">
      <c r="A70" s="527">
        <f>ROW()</f>
        <v>70</v>
      </c>
      <c r="B70" s="42" t="s">
        <v>504</v>
      </c>
      <c r="C70" s="589">
        <v>180</v>
      </c>
      <c r="D70" s="384" t="s">
        <v>505</v>
      </c>
      <c r="E70" s="590"/>
      <c r="F70" s="590"/>
      <c r="H70" s="286"/>
      <c r="I70" s="84"/>
      <c r="J70" s="84"/>
      <c r="K70" s="84"/>
      <c r="L70" s="84"/>
      <c r="M70" s="84"/>
      <c r="N70" s="477"/>
      <c r="O70" s="104"/>
      <c r="Q70" s="332"/>
      <c r="R70" s="332"/>
      <c r="S70" s="332"/>
      <c r="T70" s="332"/>
      <c r="U70" s="332"/>
      <c r="V70" s="332"/>
      <c r="W70" s="332"/>
      <c r="X70" s="332"/>
      <c r="Y70" s="332"/>
      <c r="Z70" s="332"/>
      <c r="AA70" s="332"/>
      <c r="AB70" s="332"/>
      <c r="AC70" s="332"/>
      <c r="AD70" s="332"/>
      <c r="AE70" s="332"/>
    </row>
    <row r="71" spans="1:31" x14ac:dyDescent="0.25">
      <c r="A71" s="527">
        <f>ROW()</f>
        <v>71</v>
      </c>
      <c r="B71" s="266" t="s">
        <v>506</v>
      </c>
      <c r="C71" s="591">
        <v>0</v>
      </c>
      <c r="D71" s="592"/>
      <c r="E71" s="592"/>
      <c r="F71" s="592"/>
      <c r="H71" s="266"/>
      <c r="N71" s="477"/>
      <c r="O71" s="104"/>
      <c r="Q71" s="332"/>
      <c r="R71" s="332"/>
      <c r="S71" s="332"/>
      <c r="T71" s="332"/>
      <c r="U71" s="332"/>
      <c r="V71" s="332"/>
      <c r="W71" s="332"/>
      <c r="X71" s="332"/>
      <c r="Y71" s="332"/>
      <c r="Z71" s="332"/>
      <c r="AA71" s="332"/>
      <c r="AB71" s="332"/>
      <c r="AC71" s="332"/>
      <c r="AD71" s="332"/>
      <c r="AE71" s="332"/>
    </row>
    <row r="72" spans="1:31" x14ac:dyDescent="0.25">
      <c r="A72" s="527">
        <f>ROW()</f>
        <v>72</v>
      </c>
      <c r="B72" s="266" t="s">
        <v>507</v>
      </c>
      <c r="C72" s="591">
        <v>0</v>
      </c>
      <c r="D72" s="592"/>
      <c r="E72" s="592"/>
      <c r="F72" s="592"/>
      <c r="H72" s="266"/>
      <c r="N72" s="477"/>
      <c r="O72" s="104"/>
      <c r="Q72" s="332"/>
      <c r="R72" s="332"/>
      <c r="S72" s="332"/>
      <c r="T72" s="332"/>
      <c r="U72" s="332"/>
      <c r="V72" s="332"/>
      <c r="W72" s="332"/>
      <c r="X72" s="332"/>
      <c r="Y72" s="332"/>
      <c r="Z72" s="332"/>
      <c r="AA72" s="332"/>
      <c r="AB72" s="332"/>
      <c r="AC72" s="332"/>
      <c r="AD72" s="332"/>
      <c r="AE72" s="332"/>
    </row>
    <row r="73" spans="1:31" x14ac:dyDescent="0.25">
      <c r="A73" s="527">
        <f>ROW()</f>
        <v>73</v>
      </c>
      <c r="B73" s="266" t="s">
        <v>508</v>
      </c>
      <c r="C73" s="593">
        <v>0</v>
      </c>
      <c r="D73" s="530"/>
      <c r="E73" s="530"/>
      <c r="F73" s="530"/>
      <c r="H73" s="266"/>
      <c r="N73" s="477"/>
      <c r="O73" s="104"/>
      <c r="Q73" s="332"/>
      <c r="R73" s="332"/>
      <c r="S73" s="332"/>
      <c r="T73" s="332"/>
      <c r="U73" s="332"/>
      <c r="V73" s="332"/>
      <c r="W73" s="332"/>
      <c r="X73" s="332"/>
      <c r="Y73" s="332"/>
      <c r="Z73" s="332"/>
      <c r="AA73" s="332"/>
      <c r="AB73" s="332"/>
      <c r="AC73" s="332"/>
      <c r="AD73" s="332"/>
      <c r="AE73" s="332"/>
    </row>
    <row r="74" spans="1:31" x14ac:dyDescent="0.25">
      <c r="A74" s="527">
        <f>ROW()</f>
        <v>74</v>
      </c>
      <c r="H74" s="544"/>
      <c r="I74" s="544"/>
      <c r="J74" s="544"/>
      <c r="N74" s="477"/>
      <c r="O74" s="104"/>
      <c r="Q74" s="332"/>
      <c r="R74" s="332"/>
      <c r="S74" s="332"/>
      <c r="T74" s="332"/>
      <c r="U74" s="332"/>
      <c r="V74" s="332"/>
      <c r="W74" s="332"/>
      <c r="X74" s="332"/>
      <c r="Y74" s="332"/>
      <c r="Z74" s="332"/>
      <c r="AA74" s="332"/>
      <c r="AB74" s="332"/>
      <c r="AC74" s="332"/>
      <c r="AD74" s="332"/>
      <c r="AE74" s="332"/>
    </row>
    <row r="75" spans="1:31" ht="15.75" x14ac:dyDescent="0.25">
      <c r="A75" s="527">
        <f>ROW()</f>
        <v>75</v>
      </c>
      <c r="G75" s="76" t="s">
        <v>509</v>
      </c>
      <c r="H75" s="544"/>
      <c r="I75" s="544"/>
      <c r="J75" s="544"/>
      <c r="N75" s="477"/>
      <c r="O75" s="104"/>
      <c r="Q75" s="332"/>
      <c r="R75" s="332"/>
      <c r="S75" s="332"/>
      <c r="T75" s="332"/>
      <c r="U75" s="332"/>
      <c r="V75" s="332"/>
      <c r="W75" s="332"/>
      <c r="X75" s="332"/>
      <c r="Y75" s="332"/>
      <c r="Z75" s="332"/>
      <c r="AA75" s="332"/>
      <c r="AB75" s="332"/>
      <c r="AC75" s="332"/>
      <c r="AD75" s="332"/>
      <c r="AE75" s="332"/>
    </row>
    <row r="76" spans="1:31" x14ac:dyDescent="0.25">
      <c r="A76" s="527">
        <f>ROW()</f>
        <v>76</v>
      </c>
      <c r="C76" s="84" t="s">
        <v>510</v>
      </c>
      <c r="D76" s="84" t="s">
        <v>511</v>
      </c>
      <c r="E76" s="84"/>
      <c r="F76" s="84"/>
      <c r="H76" s="544"/>
      <c r="I76" s="544"/>
      <c r="J76" s="544"/>
      <c r="N76" s="477"/>
      <c r="O76" s="104"/>
      <c r="Q76" s="332"/>
      <c r="R76" s="332"/>
      <c r="S76" s="332"/>
      <c r="T76" s="332"/>
      <c r="U76" s="332"/>
      <c r="V76" s="332"/>
      <c r="W76" s="332"/>
      <c r="X76" s="332"/>
      <c r="Y76" s="332"/>
      <c r="Z76" s="332"/>
      <c r="AA76" s="332"/>
      <c r="AB76" s="332"/>
      <c r="AC76" s="332"/>
      <c r="AD76" s="332"/>
      <c r="AE76" s="332"/>
    </row>
    <row r="77" spans="1:31" ht="30" x14ac:dyDescent="0.25">
      <c r="A77" s="594">
        <f>ROW()</f>
        <v>77</v>
      </c>
      <c r="B77" s="595" t="s">
        <v>512</v>
      </c>
      <c r="C77" s="35">
        <f>' Enrol &amp; Rev'!$G$10</f>
        <v>2025</v>
      </c>
      <c r="D77" s="596" t="s">
        <v>513</v>
      </c>
      <c r="E77" s="597"/>
      <c r="F77" s="597"/>
      <c r="I77" s="597"/>
      <c r="J77" s="597"/>
      <c r="N77" s="477"/>
      <c r="O77" s="104"/>
      <c r="Q77" s="332"/>
      <c r="R77" s="332"/>
      <c r="S77" s="332"/>
      <c r="T77" s="332"/>
      <c r="U77" s="332"/>
      <c r="V77" s="332"/>
      <c r="W77" s="332"/>
      <c r="X77" s="332"/>
      <c r="Y77" s="332"/>
      <c r="Z77" s="332"/>
      <c r="AA77" s="332"/>
      <c r="AB77" s="332"/>
      <c r="AC77" s="332"/>
      <c r="AD77" s="332"/>
      <c r="AE77" s="332"/>
    </row>
    <row r="78" spans="1:31" x14ac:dyDescent="0.25">
      <c r="A78" s="527">
        <f>ROW()</f>
        <v>78</v>
      </c>
      <c r="B78" s="598" t="s">
        <v>514</v>
      </c>
      <c r="C78" s="599"/>
      <c r="D78" s="600"/>
      <c r="E78" s="601"/>
      <c r="F78" s="601"/>
      <c r="G78" s="602" t="str">
        <f>+B78&amp;" "&amp;"(Enter automatically or manually, hard code)"</f>
        <v>FTE Count &amp; Hiring Timing  (Enter automatically or manually, hard code)</v>
      </c>
      <c r="H78" s="603"/>
      <c r="I78" s="601"/>
      <c r="J78" s="601"/>
      <c r="K78" s="603"/>
      <c r="L78" s="603"/>
      <c r="M78" s="603"/>
      <c r="N78" s="477"/>
      <c r="O78" s="604" t="s">
        <v>515</v>
      </c>
      <c r="Q78" s="332"/>
      <c r="R78" s="332"/>
      <c r="S78" s="332"/>
      <c r="T78" s="332"/>
      <c r="U78" s="332"/>
      <c r="V78" s="332"/>
      <c r="W78" s="332"/>
      <c r="X78" s="332"/>
      <c r="Y78" s="332"/>
      <c r="Z78" s="332"/>
      <c r="AA78" s="332"/>
      <c r="AB78" s="332"/>
      <c r="AC78" s="332"/>
      <c r="AD78" s="332"/>
      <c r="AE78" s="332"/>
    </row>
    <row r="79" spans="1:31" x14ac:dyDescent="0.25">
      <c r="A79" s="527">
        <f>ROW()</f>
        <v>79</v>
      </c>
      <c r="B79" s="28" t="s">
        <v>516</v>
      </c>
      <c r="C79" s="35" t="s">
        <v>510</v>
      </c>
      <c r="D79" s="35"/>
      <c r="E79" s="35"/>
      <c r="F79" s="35"/>
      <c r="G79" s="29"/>
      <c r="H79" s="35"/>
      <c r="I79" s="35"/>
      <c r="J79" s="35"/>
      <c r="K79" s="29"/>
      <c r="L79" s="29"/>
      <c r="M79" s="29"/>
      <c r="N79" s="477"/>
      <c r="O79" s="605" t="s">
        <v>517</v>
      </c>
      <c r="Q79" s="332"/>
      <c r="R79" s="332"/>
      <c r="S79" s="332"/>
      <c r="T79" s="332"/>
      <c r="U79" s="332"/>
      <c r="V79" s="332"/>
      <c r="W79" s="332"/>
      <c r="X79" s="332"/>
      <c r="Y79" s="332"/>
      <c r="Z79" s="332"/>
      <c r="AA79" s="332"/>
      <c r="AB79" s="332"/>
      <c r="AC79" s="332"/>
      <c r="AD79" s="332"/>
      <c r="AE79" s="332"/>
    </row>
    <row r="80" spans="1:31" x14ac:dyDescent="0.25">
      <c r="A80" s="527">
        <f>ROW()</f>
        <v>80</v>
      </c>
      <c r="B80" s="606" t="s">
        <v>518</v>
      </c>
      <c r="C80" s="607">
        <v>2025</v>
      </c>
      <c r="D80" s="608">
        <v>175232</v>
      </c>
      <c r="E80" s="609"/>
      <c r="F80" s="609"/>
      <c r="G80" s="610">
        <v>3</v>
      </c>
      <c r="H80" s="610">
        <v>3</v>
      </c>
      <c r="I80" s="610">
        <v>3</v>
      </c>
      <c r="J80" s="610">
        <v>3</v>
      </c>
      <c r="K80" s="610">
        <v>3</v>
      </c>
      <c r="L80" s="610">
        <v>3</v>
      </c>
      <c r="M80" s="610">
        <v>3</v>
      </c>
      <c r="N80" s="477"/>
      <c r="O80" s="104"/>
      <c r="Q80" s="332"/>
      <c r="R80" s="332"/>
      <c r="S80" s="332"/>
      <c r="T80" s="332"/>
      <c r="U80" s="332"/>
      <c r="V80" s="332"/>
      <c r="W80" s="332"/>
      <c r="X80" s="332"/>
      <c r="Y80" s="332"/>
      <c r="Z80" s="332"/>
      <c r="AA80" s="332"/>
      <c r="AB80" s="332"/>
      <c r="AC80" s="332"/>
      <c r="AD80" s="332"/>
      <c r="AE80" s="332"/>
    </row>
    <row r="81" spans="1:31" x14ac:dyDescent="0.25">
      <c r="A81" s="527">
        <f>ROW()</f>
        <v>81</v>
      </c>
      <c r="B81" s="611" t="s">
        <v>519</v>
      </c>
      <c r="C81" s="612">
        <v>2025</v>
      </c>
      <c r="D81" s="613">
        <v>155054.5</v>
      </c>
      <c r="E81" s="614"/>
      <c r="F81" s="614"/>
      <c r="G81" s="615">
        <v>2</v>
      </c>
      <c r="H81" s="615">
        <v>2</v>
      </c>
      <c r="I81" s="615">
        <v>2</v>
      </c>
      <c r="J81" s="615">
        <v>2</v>
      </c>
      <c r="K81" s="615">
        <v>2</v>
      </c>
      <c r="L81" s="615">
        <v>2</v>
      </c>
      <c r="M81" s="615">
        <v>2</v>
      </c>
      <c r="N81" s="477"/>
      <c r="O81" s="104"/>
      <c r="Q81" s="332"/>
      <c r="R81" s="332"/>
      <c r="S81" s="332"/>
      <c r="T81" s="332"/>
      <c r="U81" s="332"/>
      <c r="V81" s="332"/>
      <c r="W81" s="332"/>
      <c r="X81" s="332"/>
      <c r="Y81" s="332"/>
      <c r="Z81" s="332"/>
      <c r="AA81" s="332"/>
      <c r="AB81" s="332"/>
      <c r="AC81" s="332"/>
      <c r="AD81" s="332"/>
      <c r="AE81" s="332"/>
    </row>
    <row r="82" spans="1:31" x14ac:dyDescent="0.25">
      <c r="A82" s="527">
        <f>ROW()</f>
        <v>82</v>
      </c>
      <c r="B82" s="611" t="s">
        <v>520</v>
      </c>
      <c r="C82" s="612">
        <v>2025</v>
      </c>
      <c r="D82" s="613">
        <v>183099</v>
      </c>
      <c r="E82" s="614"/>
      <c r="F82" s="614"/>
      <c r="G82" s="615">
        <f t="shared" ref="G82:M83" si="16">IF($C82&lt;=G$10,1,0)</f>
        <v>1</v>
      </c>
      <c r="H82" s="615">
        <f t="shared" si="16"/>
        <v>1</v>
      </c>
      <c r="I82" s="615">
        <f t="shared" si="16"/>
        <v>1</v>
      </c>
      <c r="J82" s="615">
        <f t="shared" si="16"/>
        <v>1</v>
      </c>
      <c r="K82" s="615">
        <f t="shared" si="16"/>
        <v>1</v>
      </c>
      <c r="L82" s="615">
        <f t="shared" si="16"/>
        <v>1</v>
      </c>
      <c r="M82" s="615">
        <f t="shared" si="16"/>
        <v>1</v>
      </c>
      <c r="O82" s="104"/>
      <c r="Q82" s="332"/>
      <c r="R82" s="332"/>
      <c r="S82" s="332"/>
      <c r="T82" s="332"/>
      <c r="U82" s="332"/>
      <c r="V82" s="332"/>
      <c r="W82" s="332"/>
      <c r="X82" s="332"/>
      <c r="Y82" s="332"/>
      <c r="Z82" s="332"/>
      <c r="AA82" s="332"/>
      <c r="AB82" s="332"/>
      <c r="AC82" s="332"/>
      <c r="AD82" s="332"/>
      <c r="AE82" s="332"/>
    </row>
    <row r="83" spans="1:31" x14ac:dyDescent="0.25">
      <c r="A83" s="527">
        <f>ROW()</f>
        <v>83</v>
      </c>
      <c r="B83" s="611" t="s">
        <v>521</v>
      </c>
      <c r="C83" s="612">
        <v>2025</v>
      </c>
      <c r="D83" s="613">
        <v>202906</v>
      </c>
      <c r="E83" s="614"/>
      <c r="F83" s="614"/>
      <c r="G83" s="615">
        <f t="shared" si="16"/>
        <v>1</v>
      </c>
      <c r="H83" s="615">
        <f t="shared" si="16"/>
        <v>1</v>
      </c>
      <c r="I83" s="615">
        <f t="shared" si="16"/>
        <v>1</v>
      </c>
      <c r="J83" s="615">
        <f t="shared" si="16"/>
        <v>1</v>
      </c>
      <c r="K83" s="615">
        <f t="shared" si="16"/>
        <v>1</v>
      </c>
      <c r="L83" s="615">
        <f t="shared" si="16"/>
        <v>1</v>
      </c>
      <c r="M83" s="615">
        <f t="shared" si="16"/>
        <v>1</v>
      </c>
      <c r="O83" s="104"/>
      <c r="Q83" s="332"/>
      <c r="R83" s="332"/>
      <c r="S83" s="332"/>
      <c r="T83" s="332"/>
      <c r="U83" s="332"/>
      <c r="V83" s="332"/>
      <c r="W83" s="332"/>
      <c r="X83" s="332"/>
      <c r="Y83" s="332"/>
      <c r="Z83" s="332"/>
      <c r="AA83" s="332"/>
      <c r="AB83" s="332"/>
      <c r="AC83" s="332"/>
      <c r="AD83" s="332"/>
      <c r="AE83" s="332"/>
    </row>
    <row r="84" spans="1:31" x14ac:dyDescent="0.25">
      <c r="A84" s="527">
        <f>ROW()</f>
        <v>84</v>
      </c>
      <c r="B84" s="611" t="s">
        <v>522</v>
      </c>
      <c r="C84" s="612">
        <v>2025</v>
      </c>
      <c r="D84" s="613">
        <v>132416.88</v>
      </c>
      <c r="E84" s="614"/>
      <c r="F84" s="614"/>
      <c r="G84" s="615">
        <v>2</v>
      </c>
      <c r="H84" s="615">
        <v>2</v>
      </c>
      <c r="I84" s="615">
        <v>2</v>
      </c>
      <c r="J84" s="615">
        <v>2</v>
      </c>
      <c r="K84" s="615">
        <v>2</v>
      </c>
      <c r="L84" s="615">
        <v>2</v>
      </c>
      <c r="M84" s="615">
        <v>2</v>
      </c>
      <c r="O84" s="104"/>
      <c r="Q84" s="332"/>
      <c r="R84" s="332"/>
      <c r="S84" s="332"/>
      <c r="T84" s="332"/>
      <c r="U84" s="332"/>
      <c r="V84" s="332"/>
      <c r="W84" s="332"/>
      <c r="X84" s="332"/>
      <c r="Y84" s="332"/>
      <c r="Z84" s="332"/>
      <c r="AA84" s="332"/>
      <c r="AB84" s="332"/>
      <c r="AC84" s="332"/>
      <c r="AD84" s="332"/>
      <c r="AE84" s="332"/>
    </row>
    <row r="85" spans="1:31" x14ac:dyDescent="0.25">
      <c r="A85" s="527">
        <f>ROW()</f>
        <v>85</v>
      </c>
      <c r="B85" s="78"/>
      <c r="C85" s="616"/>
      <c r="D85" s="617"/>
      <c r="E85" s="617"/>
      <c r="F85" s="617"/>
      <c r="G85" s="618"/>
      <c r="H85" s="618"/>
      <c r="I85" s="618"/>
      <c r="J85" s="618"/>
      <c r="K85" s="618"/>
      <c r="L85" s="618"/>
      <c r="M85" s="618"/>
      <c r="O85" s="104"/>
      <c r="Q85" s="332"/>
      <c r="R85" s="332"/>
      <c r="S85" s="332"/>
      <c r="T85" s="332"/>
      <c r="U85" s="332"/>
      <c r="V85" s="332"/>
      <c r="W85" s="332"/>
      <c r="X85" s="332"/>
      <c r="Y85" s="332"/>
      <c r="Z85" s="332"/>
      <c r="AA85" s="332"/>
      <c r="AB85" s="332"/>
      <c r="AC85" s="332"/>
      <c r="AD85" s="332"/>
      <c r="AE85" s="332"/>
    </row>
    <row r="86" spans="1:31" x14ac:dyDescent="0.25">
      <c r="A86" s="527">
        <f>ROW()</f>
        <v>86</v>
      </c>
      <c r="B86" s="619" t="s">
        <v>523</v>
      </c>
      <c r="C86" s="620"/>
      <c r="D86" s="621"/>
      <c r="E86" s="621"/>
      <c r="F86" s="621"/>
      <c r="G86" s="622">
        <f t="shared" ref="G86:M86" si="17">SUM(G80:G84)</f>
        <v>9</v>
      </c>
      <c r="H86" s="622">
        <f t="shared" si="17"/>
        <v>9</v>
      </c>
      <c r="I86" s="622">
        <f t="shared" si="17"/>
        <v>9</v>
      </c>
      <c r="J86" s="622">
        <f t="shared" si="17"/>
        <v>9</v>
      </c>
      <c r="K86" s="622">
        <f t="shared" si="17"/>
        <v>9</v>
      </c>
      <c r="L86" s="622">
        <f t="shared" si="17"/>
        <v>9</v>
      </c>
      <c r="M86" s="622">
        <f t="shared" si="17"/>
        <v>9</v>
      </c>
      <c r="O86" s="104"/>
      <c r="Q86" s="332"/>
      <c r="R86" s="332"/>
      <c r="S86" s="332"/>
      <c r="T86" s="332"/>
      <c r="U86" s="332"/>
      <c r="V86" s="332"/>
      <c r="W86" s="332"/>
      <c r="X86" s="332"/>
      <c r="Y86" s="332"/>
      <c r="Z86" s="332"/>
      <c r="AA86" s="332"/>
      <c r="AB86" s="332"/>
      <c r="AC86" s="332"/>
      <c r="AD86" s="332"/>
      <c r="AE86" s="332"/>
    </row>
    <row r="87" spans="1:31" x14ac:dyDescent="0.25">
      <c r="A87" s="527">
        <f>ROW()</f>
        <v>87</v>
      </c>
      <c r="B87" s="92"/>
      <c r="C87" s="92"/>
      <c r="D87" s="623"/>
      <c r="E87" s="623"/>
      <c r="F87" s="623"/>
      <c r="G87" s="624"/>
      <c r="H87" s="624"/>
      <c r="I87" s="625"/>
      <c r="J87" s="625"/>
      <c r="K87" s="625"/>
      <c r="L87" s="625"/>
      <c r="M87" s="625"/>
      <c r="N87" s="115"/>
      <c r="O87" s="104"/>
      <c r="Q87" s="332"/>
      <c r="R87" s="332"/>
      <c r="S87" s="332"/>
      <c r="T87" s="332"/>
      <c r="U87" s="332"/>
      <c r="V87" s="332"/>
      <c r="W87" s="332"/>
      <c r="X87" s="332"/>
      <c r="Y87" s="332"/>
      <c r="Z87" s="332"/>
      <c r="AA87" s="332"/>
      <c r="AB87" s="332"/>
      <c r="AC87" s="332"/>
      <c r="AD87" s="332"/>
      <c r="AE87" s="332"/>
    </row>
    <row r="88" spans="1:31" x14ac:dyDescent="0.25">
      <c r="A88" s="527">
        <f>ROW()</f>
        <v>88</v>
      </c>
      <c r="B88" s="50" t="s">
        <v>524</v>
      </c>
      <c r="C88" s="626"/>
      <c r="D88" s="627"/>
      <c r="E88" s="627"/>
      <c r="F88" s="627"/>
      <c r="G88" s="628"/>
      <c r="H88" s="628"/>
      <c r="I88" s="629"/>
      <c r="J88" s="629"/>
      <c r="K88" s="629"/>
      <c r="L88" s="629"/>
      <c r="M88" s="629"/>
      <c r="N88" s="115"/>
      <c r="O88" s="104"/>
      <c r="Q88" s="332"/>
      <c r="R88" s="332"/>
      <c r="S88" s="332"/>
      <c r="T88" s="332"/>
      <c r="U88" s="332"/>
      <c r="V88" s="332"/>
      <c r="W88" s="332"/>
      <c r="X88" s="332"/>
      <c r="Y88" s="332"/>
      <c r="Z88" s="332"/>
      <c r="AA88" s="332"/>
      <c r="AB88" s="332"/>
      <c r="AC88" s="332"/>
      <c r="AD88" s="332"/>
      <c r="AE88" s="332"/>
    </row>
    <row r="89" spans="1:31" x14ac:dyDescent="0.25">
      <c r="A89" s="527">
        <f>ROW()</f>
        <v>89</v>
      </c>
      <c r="B89" s="606" t="s">
        <v>525</v>
      </c>
      <c r="C89" s="607">
        <v>2025</v>
      </c>
      <c r="D89" s="630">
        <v>160142</v>
      </c>
      <c r="E89" s="631"/>
      <c r="F89" s="631"/>
      <c r="G89" s="610">
        <f t="shared" ref="G89:M90" si="18">IF($C89&lt;=G$10,1,0)</f>
        <v>1</v>
      </c>
      <c r="H89" s="610">
        <f t="shared" si="18"/>
        <v>1</v>
      </c>
      <c r="I89" s="610">
        <f t="shared" si="18"/>
        <v>1</v>
      </c>
      <c r="J89" s="610">
        <f t="shared" si="18"/>
        <v>1</v>
      </c>
      <c r="K89" s="610">
        <f t="shared" si="18"/>
        <v>1</v>
      </c>
      <c r="L89" s="610">
        <f t="shared" si="18"/>
        <v>1</v>
      </c>
      <c r="M89" s="610">
        <f t="shared" si="18"/>
        <v>1</v>
      </c>
      <c r="N89" s="115"/>
      <c r="O89" s="104"/>
      <c r="Q89" s="332"/>
      <c r="R89" s="332"/>
      <c r="S89" s="332"/>
      <c r="T89" s="332"/>
      <c r="U89" s="332"/>
      <c r="V89" s="332"/>
      <c r="W89" s="332"/>
      <c r="X89" s="332"/>
      <c r="Y89" s="332"/>
      <c r="Z89" s="332"/>
      <c r="AA89" s="332"/>
      <c r="AB89" s="332"/>
      <c r="AC89" s="332"/>
      <c r="AD89" s="332"/>
      <c r="AE89" s="332"/>
    </row>
    <row r="90" spans="1:31" x14ac:dyDescent="0.25">
      <c r="A90" s="527">
        <f>ROW()</f>
        <v>90</v>
      </c>
      <c r="B90" s="611" t="s">
        <v>526</v>
      </c>
      <c r="C90" s="612">
        <v>2025</v>
      </c>
      <c r="D90" s="613">
        <v>151259</v>
      </c>
      <c r="E90" s="614"/>
      <c r="F90" s="614"/>
      <c r="G90" s="615">
        <f t="shared" si="18"/>
        <v>1</v>
      </c>
      <c r="H90" s="615">
        <f t="shared" si="18"/>
        <v>1</v>
      </c>
      <c r="I90" s="615">
        <f t="shared" si="18"/>
        <v>1</v>
      </c>
      <c r="J90" s="615">
        <f t="shared" si="18"/>
        <v>1</v>
      </c>
      <c r="K90" s="615">
        <f t="shared" si="18"/>
        <v>1</v>
      </c>
      <c r="L90" s="615">
        <f t="shared" si="18"/>
        <v>1</v>
      </c>
      <c r="M90" s="615">
        <f t="shared" si="18"/>
        <v>1</v>
      </c>
      <c r="N90" s="115"/>
      <c r="O90" s="104"/>
      <c r="Q90" s="332"/>
      <c r="R90" s="332"/>
      <c r="S90" s="332"/>
      <c r="T90" s="332"/>
      <c r="U90" s="332"/>
      <c r="V90" s="332"/>
      <c r="W90" s="332"/>
      <c r="X90" s="332"/>
      <c r="Y90" s="332"/>
      <c r="Z90" s="332"/>
      <c r="AA90" s="332"/>
      <c r="AB90" s="332"/>
      <c r="AC90" s="332"/>
      <c r="AD90" s="332"/>
      <c r="AE90" s="332"/>
    </row>
    <row r="91" spans="1:31" x14ac:dyDescent="0.25">
      <c r="A91" s="527">
        <f>ROW()</f>
        <v>91</v>
      </c>
      <c r="B91" s="611" t="s">
        <v>527</v>
      </c>
      <c r="C91" s="612">
        <v>2025</v>
      </c>
      <c r="D91" s="613">
        <v>69499.08</v>
      </c>
      <c r="E91" s="614"/>
      <c r="F91" s="614"/>
      <c r="G91" s="615">
        <v>8</v>
      </c>
      <c r="H91" s="615">
        <v>8</v>
      </c>
      <c r="I91" s="615">
        <v>8</v>
      </c>
      <c r="J91" s="615">
        <v>8</v>
      </c>
      <c r="K91" s="615">
        <v>8</v>
      </c>
      <c r="L91" s="615">
        <v>8</v>
      </c>
      <c r="M91" s="615">
        <v>8</v>
      </c>
      <c r="N91" s="115"/>
      <c r="O91" s="104"/>
      <c r="Q91" s="332"/>
      <c r="R91" s="332"/>
      <c r="S91" s="332"/>
      <c r="T91" s="332"/>
      <c r="U91" s="332"/>
      <c r="V91" s="332"/>
      <c r="W91" s="332"/>
      <c r="X91" s="332"/>
      <c r="Y91" s="332"/>
      <c r="Z91" s="332"/>
      <c r="AA91" s="332"/>
      <c r="AB91" s="332"/>
      <c r="AC91" s="332"/>
      <c r="AD91" s="332"/>
      <c r="AE91" s="332"/>
    </row>
    <row r="92" spans="1:31" x14ac:dyDescent="0.25">
      <c r="A92" s="527">
        <f>ROW()</f>
        <v>92</v>
      </c>
      <c r="B92" s="611" t="s">
        <v>528</v>
      </c>
      <c r="C92" s="612">
        <v>2025</v>
      </c>
      <c r="D92" s="613">
        <v>73230.387272727268</v>
      </c>
      <c r="E92" s="614"/>
      <c r="F92" s="614"/>
      <c r="G92" s="615">
        <v>11</v>
      </c>
      <c r="H92" s="615">
        <v>11</v>
      </c>
      <c r="I92" s="615">
        <v>11</v>
      </c>
      <c r="J92" s="615">
        <v>11</v>
      </c>
      <c r="K92" s="615">
        <v>11</v>
      </c>
      <c r="L92" s="615">
        <v>11</v>
      </c>
      <c r="M92" s="615">
        <v>11</v>
      </c>
      <c r="N92" s="115"/>
      <c r="O92" s="104"/>
      <c r="Q92" s="332"/>
      <c r="R92" s="332"/>
      <c r="S92" s="332"/>
      <c r="T92" s="332"/>
      <c r="U92" s="332"/>
      <c r="V92" s="332"/>
      <c r="W92" s="332"/>
      <c r="X92" s="332"/>
      <c r="Y92" s="332"/>
      <c r="Z92" s="332"/>
      <c r="AA92" s="332"/>
      <c r="AB92" s="332"/>
      <c r="AC92" s="332"/>
      <c r="AD92" s="332"/>
      <c r="AE92" s="332"/>
    </row>
    <row r="93" spans="1:31" x14ac:dyDescent="0.25">
      <c r="A93" s="527">
        <f>ROW()</f>
        <v>93</v>
      </c>
      <c r="B93" s="78"/>
      <c r="C93" s="78"/>
      <c r="D93" s="632"/>
      <c r="E93" s="632"/>
      <c r="F93" s="632"/>
      <c r="G93" s="618"/>
      <c r="H93" s="618"/>
      <c r="I93" s="618"/>
      <c r="J93" s="618"/>
      <c r="K93" s="618"/>
      <c r="L93" s="618"/>
      <c r="M93" s="618"/>
      <c r="N93" s="115"/>
      <c r="O93" s="104"/>
      <c r="Q93" s="332"/>
      <c r="R93" s="332"/>
      <c r="S93" s="332"/>
      <c r="T93" s="332"/>
      <c r="U93" s="332"/>
      <c r="V93" s="332"/>
      <c r="W93" s="332"/>
      <c r="X93" s="332"/>
      <c r="Y93" s="332"/>
      <c r="Z93" s="332"/>
      <c r="AA93" s="332"/>
      <c r="AB93" s="332"/>
      <c r="AC93" s="332"/>
      <c r="AD93" s="332"/>
      <c r="AE93" s="332"/>
    </row>
    <row r="94" spans="1:31" x14ac:dyDescent="0.25">
      <c r="A94" s="527">
        <f>ROW()</f>
        <v>94</v>
      </c>
      <c r="B94" s="619" t="s">
        <v>529</v>
      </c>
      <c r="C94" s="620"/>
      <c r="D94" s="633"/>
      <c r="E94" s="633"/>
      <c r="F94" s="633"/>
      <c r="G94" s="622">
        <f t="shared" ref="G94:M94" si="19">SUM(G89:G92)+G86</f>
        <v>30</v>
      </c>
      <c r="H94" s="622">
        <f t="shared" si="19"/>
        <v>30</v>
      </c>
      <c r="I94" s="622">
        <f t="shared" si="19"/>
        <v>30</v>
      </c>
      <c r="J94" s="622">
        <f t="shared" si="19"/>
        <v>30</v>
      </c>
      <c r="K94" s="622">
        <f t="shared" si="19"/>
        <v>30</v>
      </c>
      <c r="L94" s="622">
        <f t="shared" si="19"/>
        <v>30</v>
      </c>
      <c r="M94" s="622">
        <f t="shared" si="19"/>
        <v>30</v>
      </c>
      <c r="N94" s="115"/>
      <c r="O94" s="104"/>
      <c r="Q94" s="332"/>
      <c r="R94" s="332"/>
      <c r="S94" s="332"/>
      <c r="T94" s="332"/>
      <c r="U94" s="332"/>
      <c r="V94" s="332"/>
      <c r="W94" s="332"/>
      <c r="X94" s="332"/>
      <c r="Y94" s="332"/>
      <c r="Z94" s="332"/>
      <c r="AA94" s="332"/>
      <c r="AB94" s="332"/>
      <c r="AC94" s="332"/>
      <c r="AD94" s="332"/>
      <c r="AE94" s="332"/>
    </row>
    <row r="95" spans="1:31" x14ac:dyDescent="0.25">
      <c r="A95" s="527">
        <f>ROW()</f>
        <v>95</v>
      </c>
      <c r="B95" s="92"/>
      <c r="C95" s="92"/>
      <c r="D95" s="634"/>
      <c r="E95" s="634"/>
      <c r="F95" s="634"/>
      <c r="G95" s="92"/>
      <c r="H95" s="92"/>
      <c r="I95" s="92"/>
      <c r="J95" s="625"/>
      <c r="K95" s="625"/>
      <c r="L95" s="625"/>
      <c r="M95" s="625"/>
      <c r="N95" s="115"/>
      <c r="O95" s="104"/>
      <c r="Q95" s="332"/>
      <c r="R95" s="332"/>
      <c r="S95" s="332"/>
      <c r="T95" s="332"/>
      <c r="U95" s="332"/>
      <c r="V95" s="332"/>
      <c r="W95" s="332"/>
      <c r="X95" s="332"/>
      <c r="Y95" s="332"/>
      <c r="Z95" s="332"/>
      <c r="AA95" s="332"/>
      <c r="AB95" s="332"/>
      <c r="AC95" s="332"/>
      <c r="AD95" s="332"/>
      <c r="AE95" s="332"/>
    </row>
    <row r="96" spans="1:31" x14ac:dyDescent="0.25">
      <c r="A96" s="527">
        <f>ROW()</f>
        <v>96</v>
      </c>
      <c r="B96" s="50" t="s">
        <v>530</v>
      </c>
      <c r="C96" s="626"/>
      <c r="D96" s="627"/>
      <c r="E96" s="627"/>
      <c r="F96" s="627"/>
      <c r="G96" s="626"/>
      <c r="H96" s="626"/>
      <c r="I96" s="626"/>
      <c r="J96" s="629"/>
      <c r="K96" s="629"/>
      <c r="L96" s="629"/>
      <c r="M96" s="629"/>
      <c r="N96" s="115"/>
      <c r="O96" s="104"/>
      <c r="Q96" s="332"/>
      <c r="R96" s="332"/>
      <c r="S96" s="332"/>
      <c r="T96" s="332"/>
      <c r="U96" s="332"/>
      <c r="V96" s="332"/>
      <c r="W96" s="332"/>
      <c r="X96" s="332"/>
      <c r="Y96" s="332"/>
      <c r="Z96" s="332"/>
      <c r="AA96" s="332"/>
      <c r="AB96" s="332"/>
      <c r="AC96" s="332"/>
      <c r="AD96" s="332"/>
      <c r="AE96" s="332"/>
    </row>
    <row r="97" spans="1:31" x14ac:dyDescent="0.25">
      <c r="A97" s="527">
        <f>ROW()</f>
        <v>97</v>
      </c>
      <c r="B97" s="635" t="s">
        <v>531</v>
      </c>
      <c r="C97" s="636">
        <v>2025</v>
      </c>
      <c r="D97" s="637">
        <v>48754.719999999987</v>
      </c>
      <c r="E97" s="631"/>
      <c r="F97" s="631"/>
      <c r="G97" s="610">
        <v>14</v>
      </c>
      <c r="H97" s="610">
        <v>14</v>
      </c>
      <c r="I97" s="610">
        <v>14</v>
      </c>
      <c r="J97" s="610">
        <v>14</v>
      </c>
      <c r="K97" s="610">
        <v>14</v>
      </c>
      <c r="L97" s="610">
        <v>14</v>
      </c>
      <c r="M97" s="610">
        <v>14</v>
      </c>
      <c r="N97" s="115"/>
      <c r="O97" s="104"/>
      <c r="Q97" s="332"/>
      <c r="R97" s="332"/>
      <c r="S97" s="332"/>
      <c r="T97" s="332"/>
      <c r="U97" s="332"/>
      <c r="V97" s="332"/>
      <c r="W97" s="332"/>
      <c r="X97" s="332"/>
      <c r="Y97" s="332"/>
      <c r="Z97" s="332"/>
      <c r="AA97" s="332"/>
      <c r="AB97" s="332"/>
      <c r="AC97" s="332"/>
      <c r="AD97" s="332"/>
      <c r="AE97" s="332"/>
    </row>
    <row r="98" spans="1:31" x14ac:dyDescent="0.25">
      <c r="A98" s="527">
        <f>ROW()</f>
        <v>98</v>
      </c>
      <c r="B98" s="638" t="s">
        <v>532</v>
      </c>
      <c r="C98" s="639">
        <v>2025</v>
      </c>
      <c r="D98" s="640">
        <v>112190.94500000001</v>
      </c>
      <c r="E98" s="614"/>
      <c r="F98" s="614"/>
      <c r="G98" s="615">
        <v>2</v>
      </c>
      <c r="H98" s="615">
        <v>2</v>
      </c>
      <c r="I98" s="615">
        <v>2</v>
      </c>
      <c r="J98" s="615">
        <v>2</v>
      </c>
      <c r="K98" s="615">
        <v>2</v>
      </c>
      <c r="L98" s="615">
        <v>2</v>
      </c>
      <c r="M98" s="615">
        <v>2</v>
      </c>
      <c r="N98" s="115"/>
      <c r="O98" s="104"/>
      <c r="Q98" s="332"/>
      <c r="R98" s="332"/>
      <c r="S98" s="332"/>
      <c r="T98" s="332"/>
      <c r="U98" s="332"/>
      <c r="V98" s="332"/>
      <c r="W98" s="332"/>
      <c r="X98" s="332"/>
      <c r="Y98" s="332"/>
      <c r="Z98" s="332"/>
      <c r="AA98" s="332"/>
      <c r="AB98" s="332"/>
      <c r="AC98" s="332"/>
      <c r="AD98" s="332"/>
      <c r="AE98" s="332"/>
    </row>
    <row r="99" spans="1:31" x14ac:dyDescent="0.25">
      <c r="A99" s="527">
        <f>ROW()</f>
        <v>99</v>
      </c>
      <c r="B99" s="638" t="s">
        <v>533</v>
      </c>
      <c r="C99" s="639">
        <v>2025</v>
      </c>
      <c r="D99" s="640">
        <v>89480.5</v>
      </c>
      <c r="E99" s="614"/>
      <c r="F99" s="614"/>
      <c r="G99" s="615">
        <v>8</v>
      </c>
      <c r="H99" s="615">
        <v>8</v>
      </c>
      <c r="I99" s="615">
        <v>8</v>
      </c>
      <c r="J99" s="615">
        <v>8</v>
      </c>
      <c r="K99" s="615">
        <v>8</v>
      </c>
      <c r="L99" s="615">
        <v>8</v>
      </c>
      <c r="M99" s="615">
        <v>8</v>
      </c>
      <c r="N99" s="115"/>
      <c r="O99" s="104"/>
      <c r="Q99" s="332"/>
      <c r="R99" s="332"/>
      <c r="S99" s="332"/>
      <c r="T99" s="332"/>
      <c r="U99" s="332"/>
      <c r="V99" s="332"/>
      <c r="W99" s="332"/>
      <c r="X99" s="332"/>
      <c r="Y99" s="332"/>
      <c r="Z99" s="332"/>
      <c r="AA99" s="332"/>
      <c r="AB99" s="332"/>
      <c r="AC99" s="332"/>
      <c r="AD99" s="332"/>
      <c r="AE99" s="332"/>
    </row>
    <row r="100" spans="1:31" x14ac:dyDescent="0.25">
      <c r="A100" s="527">
        <f>ROW()</f>
        <v>100</v>
      </c>
      <c r="B100" s="638" t="s">
        <v>534</v>
      </c>
      <c r="C100" s="639">
        <v>2025</v>
      </c>
      <c r="D100" s="640">
        <v>110151</v>
      </c>
      <c r="E100" s="614"/>
      <c r="F100" s="614"/>
      <c r="G100" s="615">
        <v>1</v>
      </c>
      <c r="H100" s="615">
        <v>1</v>
      </c>
      <c r="I100" s="615">
        <v>1</v>
      </c>
      <c r="J100" s="615">
        <v>1</v>
      </c>
      <c r="K100" s="615">
        <v>1</v>
      </c>
      <c r="L100" s="615">
        <v>1</v>
      </c>
      <c r="M100" s="615">
        <v>1</v>
      </c>
      <c r="N100" s="115"/>
      <c r="O100" s="104"/>
      <c r="Q100" s="332"/>
      <c r="R100" s="332"/>
      <c r="S100" s="332"/>
      <c r="T100" s="332"/>
      <c r="U100" s="332"/>
      <c r="V100" s="332"/>
      <c r="W100" s="332"/>
      <c r="X100" s="332"/>
      <c r="Y100" s="332"/>
      <c r="Z100" s="332"/>
      <c r="AA100" s="332"/>
      <c r="AB100" s="332"/>
      <c r="AC100" s="332"/>
      <c r="AD100" s="332"/>
      <c r="AE100" s="332"/>
    </row>
    <row r="101" spans="1:31" x14ac:dyDescent="0.25">
      <c r="A101" s="527">
        <f>ROW()</f>
        <v>101</v>
      </c>
      <c r="B101" s="638" t="s">
        <v>535</v>
      </c>
      <c r="C101" s="639">
        <v>2025</v>
      </c>
      <c r="D101" s="640">
        <v>103189</v>
      </c>
      <c r="E101" s="614"/>
      <c r="F101" s="614"/>
      <c r="G101" s="615">
        <f t="shared" ref="G101:M105" si="20">IF($C101&lt;=G$10,1,0)</f>
        <v>1</v>
      </c>
      <c r="H101" s="615">
        <f t="shared" si="20"/>
        <v>1</v>
      </c>
      <c r="I101" s="615">
        <f t="shared" si="20"/>
        <v>1</v>
      </c>
      <c r="J101" s="615">
        <f t="shared" si="20"/>
        <v>1</v>
      </c>
      <c r="K101" s="615">
        <f t="shared" si="20"/>
        <v>1</v>
      </c>
      <c r="L101" s="615">
        <f t="shared" si="20"/>
        <v>1</v>
      </c>
      <c r="M101" s="615">
        <f t="shared" si="20"/>
        <v>1</v>
      </c>
      <c r="N101" s="115"/>
      <c r="O101" s="104"/>
      <c r="Q101" s="332"/>
      <c r="R101" s="332"/>
      <c r="S101" s="332"/>
      <c r="T101" s="332"/>
      <c r="U101" s="332"/>
      <c r="V101" s="332"/>
      <c r="W101" s="332"/>
      <c r="X101" s="332"/>
      <c r="Y101" s="332"/>
      <c r="Z101" s="332"/>
      <c r="AA101" s="332"/>
      <c r="AB101" s="332"/>
      <c r="AC101" s="332"/>
      <c r="AD101" s="332"/>
      <c r="AE101" s="332"/>
    </row>
    <row r="102" spans="1:31" x14ac:dyDescent="0.25">
      <c r="A102" s="527">
        <f>ROW()</f>
        <v>102</v>
      </c>
      <c r="B102" s="638" t="s">
        <v>536</v>
      </c>
      <c r="C102" s="639">
        <v>2025</v>
      </c>
      <c r="D102" s="640">
        <v>51524.479999999996</v>
      </c>
      <c r="E102" s="614"/>
      <c r="F102" s="614"/>
      <c r="G102" s="615">
        <f t="shared" si="20"/>
        <v>1</v>
      </c>
      <c r="H102" s="615">
        <f t="shared" si="20"/>
        <v>1</v>
      </c>
      <c r="I102" s="615">
        <f t="shared" si="20"/>
        <v>1</v>
      </c>
      <c r="J102" s="615">
        <f t="shared" si="20"/>
        <v>1</v>
      </c>
      <c r="K102" s="615">
        <f t="shared" si="20"/>
        <v>1</v>
      </c>
      <c r="L102" s="615">
        <f t="shared" si="20"/>
        <v>1</v>
      </c>
      <c r="M102" s="615">
        <f t="shared" si="20"/>
        <v>1</v>
      </c>
      <c r="N102" s="115"/>
      <c r="O102" s="104"/>
      <c r="Q102" s="332"/>
      <c r="R102" s="332"/>
      <c r="S102" s="332"/>
      <c r="T102" s="332"/>
      <c r="U102" s="332"/>
      <c r="V102" s="332"/>
      <c r="W102" s="332"/>
      <c r="X102" s="332"/>
      <c r="Y102" s="332"/>
      <c r="Z102" s="332"/>
      <c r="AA102" s="332"/>
      <c r="AB102" s="332"/>
      <c r="AC102" s="332"/>
      <c r="AD102" s="332"/>
      <c r="AE102" s="332"/>
    </row>
    <row r="103" spans="1:31" x14ac:dyDescent="0.25">
      <c r="A103" s="527">
        <f>ROW()</f>
        <v>103</v>
      </c>
      <c r="B103" s="638" t="s">
        <v>537</v>
      </c>
      <c r="C103" s="639" t="s">
        <v>538</v>
      </c>
      <c r="D103" s="640">
        <v>0</v>
      </c>
      <c r="E103" s="614"/>
      <c r="F103" s="614"/>
      <c r="G103" s="615">
        <f t="shared" si="20"/>
        <v>0</v>
      </c>
      <c r="H103" s="615">
        <f t="shared" si="20"/>
        <v>0</v>
      </c>
      <c r="I103" s="615">
        <f t="shared" si="20"/>
        <v>0</v>
      </c>
      <c r="J103" s="615">
        <f t="shared" si="20"/>
        <v>0</v>
      </c>
      <c r="K103" s="615">
        <f t="shared" si="20"/>
        <v>0</v>
      </c>
      <c r="L103" s="615">
        <f t="shared" si="20"/>
        <v>0</v>
      </c>
      <c r="M103" s="615">
        <f t="shared" si="20"/>
        <v>0</v>
      </c>
      <c r="N103" s="115"/>
      <c r="O103" s="104"/>
      <c r="Q103" s="332"/>
      <c r="R103" s="332"/>
      <c r="S103" s="332"/>
      <c r="T103" s="332"/>
      <c r="U103" s="332"/>
      <c r="V103" s="332"/>
      <c r="W103" s="332"/>
      <c r="X103" s="332"/>
      <c r="Y103" s="332"/>
      <c r="Z103" s="332"/>
      <c r="AA103" s="332"/>
      <c r="AB103" s="332"/>
      <c r="AC103" s="332"/>
      <c r="AD103" s="332"/>
      <c r="AE103" s="332"/>
    </row>
    <row r="104" spans="1:31" x14ac:dyDescent="0.25">
      <c r="A104" s="527">
        <f>ROW()</f>
        <v>104</v>
      </c>
      <c r="B104" s="638" t="s">
        <v>537</v>
      </c>
      <c r="C104" s="639" t="s">
        <v>538</v>
      </c>
      <c r="D104" s="640">
        <v>0</v>
      </c>
      <c r="E104" s="614"/>
      <c r="F104" s="614"/>
      <c r="G104" s="615">
        <f t="shared" si="20"/>
        <v>0</v>
      </c>
      <c r="H104" s="615">
        <f t="shared" si="20"/>
        <v>0</v>
      </c>
      <c r="I104" s="615">
        <f t="shared" si="20"/>
        <v>0</v>
      </c>
      <c r="J104" s="615">
        <f t="shared" si="20"/>
        <v>0</v>
      </c>
      <c r="K104" s="615">
        <f t="shared" si="20"/>
        <v>0</v>
      </c>
      <c r="L104" s="615">
        <f t="shared" si="20"/>
        <v>0</v>
      </c>
      <c r="M104" s="615">
        <f t="shared" si="20"/>
        <v>0</v>
      </c>
      <c r="N104" s="115"/>
      <c r="O104" s="104"/>
      <c r="Q104" s="332"/>
      <c r="R104" s="332"/>
      <c r="S104" s="332"/>
      <c r="T104" s="332"/>
      <c r="U104" s="332"/>
      <c r="V104" s="332"/>
      <c r="W104" s="332"/>
      <c r="X104" s="332"/>
      <c r="Y104" s="332"/>
      <c r="Z104" s="332"/>
      <c r="AA104" s="332"/>
      <c r="AB104" s="332"/>
      <c r="AC104" s="332"/>
      <c r="AD104" s="332"/>
      <c r="AE104" s="332"/>
    </row>
    <row r="105" spans="1:31" x14ac:dyDescent="0.25">
      <c r="A105" s="527">
        <f>ROW()</f>
        <v>105</v>
      </c>
      <c r="B105" s="638" t="s">
        <v>537</v>
      </c>
      <c r="C105" s="639" t="s">
        <v>538</v>
      </c>
      <c r="D105" s="640">
        <v>0</v>
      </c>
      <c r="E105" s="614"/>
      <c r="F105" s="614"/>
      <c r="G105" s="641">
        <f t="shared" si="20"/>
        <v>0</v>
      </c>
      <c r="H105" s="641">
        <f t="shared" si="20"/>
        <v>0</v>
      </c>
      <c r="I105" s="641">
        <f t="shared" si="20"/>
        <v>0</v>
      </c>
      <c r="J105" s="641">
        <f t="shared" si="20"/>
        <v>0</v>
      </c>
      <c r="K105" s="641">
        <f t="shared" si="20"/>
        <v>0</v>
      </c>
      <c r="L105" s="641">
        <f t="shared" si="20"/>
        <v>0</v>
      </c>
      <c r="M105" s="641">
        <f t="shared" si="20"/>
        <v>0</v>
      </c>
      <c r="N105" s="115"/>
      <c r="O105" s="104"/>
      <c r="Q105" s="332"/>
      <c r="R105" s="332"/>
      <c r="S105" s="332"/>
      <c r="T105" s="332"/>
      <c r="U105" s="332"/>
      <c r="V105" s="332"/>
      <c r="W105" s="332"/>
      <c r="X105" s="332"/>
      <c r="Y105" s="332"/>
      <c r="Z105" s="332"/>
      <c r="AA105" s="332"/>
      <c r="AB105" s="332"/>
      <c r="AC105" s="332"/>
      <c r="AD105" s="332"/>
      <c r="AE105" s="332"/>
    </row>
    <row r="106" spans="1:31" x14ac:dyDescent="0.25">
      <c r="A106" s="527">
        <f>ROW()</f>
        <v>106</v>
      </c>
      <c r="B106" s="619" t="s">
        <v>539</v>
      </c>
      <c r="C106" s="619"/>
      <c r="D106" s="619"/>
      <c r="E106" s="619"/>
      <c r="F106" s="619"/>
      <c r="G106" s="642">
        <f t="shared" ref="G106:M106" si="21">SUM(G97:G105)</f>
        <v>27</v>
      </c>
      <c r="H106" s="643">
        <f t="shared" si="21"/>
        <v>27</v>
      </c>
      <c r="I106" s="622">
        <f t="shared" si="21"/>
        <v>27</v>
      </c>
      <c r="J106" s="622">
        <f t="shared" si="21"/>
        <v>27</v>
      </c>
      <c r="K106" s="622">
        <f t="shared" si="21"/>
        <v>27</v>
      </c>
      <c r="L106" s="622">
        <f t="shared" si="21"/>
        <v>27</v>
      </c>
      <c r="M106" s="622">
        <f t="shared" si="21"/>
        <v>27</v>
      </c>
      <c r="N106" s="115"/>
      <c r="O106" s="104"/>
      <c r="Q106" s="332"/>
      <c r="R106" s="332"/>
      <c r="S106" s="332"/>
      <c r="T106" s="332"/>
      <c r="U106" s="332"/>
      <c r="V106" s="332"/>
      <c r="W106" s="332"/>
      <c r="X106" s="332"/>
      <c r="Y106" s="332"/>
      <c r="Z106" s="332"/>
      <c r="AA106" s="332"/>
      <c r="AB106" s="332"/>
      <c r="AC106" s="332"/>
      <c r="AD106" s="332"/>
      <c r="AE106" s="332"/>
    </row>
    <row r="107" spans="1:31" x14ac:dyDescent="0.25">
      <c r="A107" s="527"/>
      <c r="B107" s="78" t="s">
        <v>540</v>
      </c>
      <c r="C107" s="363"/>
      <c r="D107" s="363"/>
      <c r="E107" s="363"/>
      <c r="F107" s="363"/>
      <c r="G107" s="644">
        <f>+' Enrol &amp; Rev'!F51</f>
        <v>0</v>
      </c>
      <c r="H107" s="644">
        <f>+' Enrol &amp; Rev'!G51</f>
        <v>317.84274000000005</v>
      </c>
      <c r="I107" s="644">
        <f>+' Enrol &amp; Rev'!H51</f>
        <v>317.84274000000005</v>
      </c>
      <c r="J107" s="644">
        <f>+' Enrol &amp; Rev'!I51</f>
        <v>317.84274000000005</v>
      </c>
      <c r="K107" s="644">
        <f>+' Enrol &amp; Rev'!J51</f>
        <v>317.84274000000005</v>
      </c>
      <c r="L107" s="644">
        <f>+' Enrol &amp; Rev'!K51</f>
        <v>317.84274000000005</v>
      </c>
      <c r="M107" s="644">
        <f>+' Enrol &amp; Rev'!L51</f>
        <v>317.84274000000005</v>
      </c>
      <c r="N107" s="115"/>
      <c r="O107" s="104"/>
      <c r="Q107" s="332"/>
      <c r="R107" s="332"/>
      <c r="S107" s="332"/>
      <c r="T107" s="332"/>
      <c r="U107" s="332"/>
      <c r="V107" s="332"/>
      <c r="W107" s="332"/>
      <c r="X107" s="332"/>
      <c r="Y107" s="332"/>
      <c r="Z107" s="332"/>
      <c r="AA107" s="332"/>
      <c r="AB107" s="332"/>
      <c r="AC107" s="332"/>
      <c r="AD107" s="332"/>
      <c r="AE107" s="332"/>
    </row>
    <row r="108" spans="1:31" x14ac:dyDescent="0.25">
      <c r="A108" s="527"/>
      <c r="B108" s="78" t="s">
        <v>541</v>
      </c>
      <c r="C108" s="363"/>
      <c r="D108" s="363"/>
      <c r="E108" s="363"/>
      <c r="F108" s="363"/>
      <c r="G108" s="363"/>
      <c r="H108" s="644">
        <f>IFERROR(H107/H106,0)</f>
        <v>11.771953333333336</v>
      </c>
      <c r="I108" s="644">
        <f t="shared" ref="I108:M108" si="22">IFERROR(I107/I106,0)</f>
        <v>11.771953333333336</v>
      </c>
      <c r="J108" s="644">
        <f t="shared" si="22"/>
        <v>11.771953333333336</v>
      </c>
      <c r="K108" s="644">
        <f t="shared" si="22"/>
        <v>11.771953333333336</v>
      </c>
      <c r="L108" s="644">
        <f t="shared" si="22"/>
        <v>11.771953333333336</v>
      </c>
      <c r="M108" s="644">
        <f t="shared" si="22"/>
        <v>11.771953333333336</v>
      </c>
      <c r="N108" s="115"/>
      <c r="O108" s="104"/>
      <c r="Q108" s="332"/>
      <c r="R108" s="332"/>
      <c r="S108" s="332"/>
      <c r="T108" s="332"/>
      <c r="U108" s="332"/>
      <c r="V108" s="332"/>
      <c r="W108" s="332"/>
      <c r="X108" s="332"/>
      <c r="Y108" s="332"/>
      <c r="Z108" s="332"/>
      <c r="AA108" s="332"/>
      <c r="AB108" s="332"/>
      <c r="AC108" s="332"/>
      <c r="AD108" s="332"/>
      <c r="AE108" s="332"/>
    </row>
    <row r="109" spans="1:31" x14ac:dyDescent="0.25">
      <c r="A109" s="527">
        <f>ROW()</f>
        <v>109</v>
      </c>
      <c r="B109" s="645"/>
      <c r="C109" s="645"/>
      <c r="D109" s="645"/>
      <c r="E109" s="645"/>
      <c r="F109" s="645"/>
      <c r="G109" s="624"/>
      <c r="H109" s="624"/>
      <c r="I109" s="646"/>
      <c r="J109" s="646"/>
      <c r="K109" s="646"/>
      <c r="L109" s="646"/>
      <c r="M109" s="646"/>
      <c r="N109" s="115"/>
      <c r="O109" s="104"/>
      <c r="Q109" s="332"/>
      <c r="R109" s="332"/>
      <c r="S109" s="332"/>
      <c r="T109" s="332"/>
      <c r="U109" s="332"/>
      <c r="V109" s="332"/>
      <c r="W109" s="332"/>
      <c r="X109" s="332"/>
      <c r="Y109" s="332"/>
      <c r="Z109" s="332"/>
      <c r="AA109" s="332"/>
      <c r="AB109" s="332"/>
      <c r="AC109" s="332"/>
      <c r="AD109" s="332"/>
      <c r="AE109" s="332"/>
    </row>
    <row r="110" spans="1:31" ht="15.75" x14ac:dyDescent="0.25">
      <c r="A110" s="527">
        <f>ROW()</f>
        <v>110</v>
      </c>
      <c r="B110" s="647" t="s">
        <v>542</v>
      </c>
      <c r="C110" s="626"/>
      <c r="D110" s="627"/>
      <c r="E110" s="627"/>
      <c r="F110" s="627"/>
      <c r="G110" s="626"/>
      <c r="H110" s="626"/>
      <c r="I110" s="626"/>
      <c r="J110" s="629"/>
      <c r="K110" s="629"/>
      <c r="L110" s="629"/>
      <c r="M110" s="629"/>
      <c r="N110" s="115"/>
      <c r="O110" s="104"/>
      <c r="Q110" s="332"/>
      <c r="R110" s="332"/>
      <c r="S110" s="332"/>
      <c r="T110" s="332"/>
      <c r="U110" s="332"/>
      <c r="V110" s="332"/>
      <c r="W110" s="332"/>
      <c r="X110" s="332"/>
      <c r="Y110" s="332"/>
      <c r="Z110" s="332"/>
      <c r="AA110" s="332"/>
      <c r="AB110" s="332"/>
      <c r="AC110" s="332"/>
      <c r="AD110" s="332"/>
      <c r="AE110" s="332"/>
    </row>
    <row r="111" spans="1:31" x14ac:dyDescent="0.25">
      <c r="A111" s="527">
        <f>ROW()</f>
        <v>111</v>
      </c>
      <c r="B111" s="635" t="s">
        <v>543</v>
      </c>
      <c r="C111" s="636">
        <v>2025</v>
      </c>
      <c r="D111" s="637">
        <v>137067</v>
      </c>
      <c r="E111" s="631"/>
      <c r="F111" s="631"/>
      <c r="G111" s="610">
        <f t="shared" ref="G111:M119" si="23">IF($C111&lt;=G$10,1,0)</f>
        <v>1</v>
      </c>
      <c r="H111" s="610">
        <f t="shared" si="23"/>
        <v>1</v>
      </c>
      <c r="I111" s="610">
        <f t="shared" si="23"/>
        <v>1</v>
      </c>
      <c r="J111" s="610">
        <f t="shared" si="23"/>
        <v>1</v>
      </c>
      <c r="K111" s="610">
        <f t="shared" si="23"/>
        <v>1</v>
      </c>
      <c r="L111" s="610">
        <f t="shared" si="23"/>
        <v>1</v>
      </c>
      <c r="M111" s="610">
        <f t="shared" si="23"/>
        <v>1</v>
      </c>
      <c r="N111" s="115"/>
      <c r="O111" s="104"/>
      <c r="Q111" s="332"/>
      <c r="R111" s="332"/>
      <c r="S111" s="332"/>
      <c r="T111" s="332"/>
      <c r="U111" s="332"/>
      <c r="V111" s="332"/>
      <c r="W111" s="332"/>
      <c r="X111" s="332"/>
      <c r="Y111" s="332"/>
      <c r="Z111" s="332"/>
      <c r="AA111" s="332"/>
      <c r="AB111" s="332"/>
      <c r="AC111" s="332"/>
      <c r="AD111" s="332"/>
      <c r="AE111" s="332"/>
    </row>
    <row r="112" spans="1:31" x14ac:dyDescent="0.25">
      <c r="A112" s="527">
        <f>ROW()</f>
        <v>112</v>
      </c>
      <c r="B112" s="635" t="s">
        <v>544</v>
      </c>
      <c r="C112" s="639">
        <v>2025</v>
      </c>
      <c r="D112" s="640">
        <v>58464</v>
      </c>
      <c r="E112" s="614"/>
      <c r="F112" s="614"/>
      <c r="G112" s="615">
        <f t="shared" si="23"/>
        <v>1</v>
      </c>
      <c r="H112" s="615">
        <f t="shared" si="23"/>
        <v>1</v>
      </c>
      <c r="I112" s="615">
        <f t="shared" si="23"/>
        <v>1</v>
      </c>
      <c r="J112" s="615">
        <f t="shared" si="23"/>
        <v>1</v>
      </c>
      <c r="K112" s="615">
        <f t="shared" si="23"/>
        <v>1</v>
      </c>
      <c r="L112" s="615">
        <f t="shared" si="23"/>
        <v>1</v>
      </c>
      <c r="M112" s="615">
        <f t="shared" si="23"/>
        <v>1</v>
      </c>
      <c r="N112" s="115"/>
      <c r="O112" s="104"/>
      <c r="Q112" s="332"/>
      <c r="R112" s="332"/>
      <c r="S112" s="332"/>
      <c r="T112" s="332"/>
      <c r="U112" s="332"/>
      <c r="V112" s="332"/>
      <c r="W112" s="332"/>
      <c r="X112" s="332"/>
      <c r="Y112" s="332"/>
      <c r="Z112" s="332"/>
      <c r="AA112" s="332"/>
      <c r="AB112" s="332"/>
      <c r="AC112" s="332"/>
      <c r="AD112" s="332"/>
      <c r="AE112" s="332"/>
    </row>
    <row r="113" spans="1:31" x14ac:dyDescent="0.25">
      <c r="A113" s="527">
        <f>ROW()</f>
        <v>113</v>
      </c>
      <c r="B113" s="635" t="s">
        <v>545</v>
      </c>
      <c r="C113" s="639">
        <v>2025</v>
      </c>
      <c r="D113" s="640">
        <v>66634</v>
      </c>
      <c r="E113" s="614"/>
      <c r="F113" s="614"/>
      <c r="G113" s="615">
        <f t="shared" si="23"/>
        <v>1</v>
      </c>
      <c r="H113" s="615">
        <f t="shared" si="23"/>
        <v>1</v>
      </c>
      <c r="I113" s="615">
        <f t="shared" si="23"/>
        <v>1</v>
      </c>
      <c r="J113" s="615">
        <f t="shared" si="23"/>
        <v>1</v>
      </c>
      <c r="K113" s="615">
        <f t="shared" si="23"/>
        <v>1</v>
      </c>
      <c r="L113" s="615">
        <f t="shared" si="23"/>
        <v>1</v>
      </c>
      <c r="M113" s="615">
        <f t="shared" si="23"/>
        <v>1</v>
      </c>
      <c r="N113" s="115"/>
      <c r="O113" s="104"/>
      <c r="Q113" s="332"/>
      <c r="R113" s="332"/>
      <c r="S113" s="332"/>
      <c r="T113" s="332"/>
      <c r="U113" s="332"/>
      <c r="V113" s="332"/>
      <c r="W113" s="332"/>
      <c r="X113" s="332"/>
      <c r="Y113" s="332"/>
      <c r="Z113" s="332"/>
      <c r="AA113" s="332"/>
      <c r="AB113" s="332"/>
      <c r="AC113" s="332"/>
      <c r="AD113" s="332"/>
      <c r="AE113" s="332"/>
    </row>
    <row r="114" spans="1:31" x14ac:dyDescent="0.25">
      <c r="A114" s="527">
        <f>ROW()</f>
        <v>114</v>
      </c>
      <c r="B114" s="638" t="s">
        <v>546</v>
      </c>
      <c r="C114" s="639">
        <v>2025</v>
      </c>
      <c r="D114" s="640">
        <v>117114</v>
      </c>
      <c r="E114" s="614"/>
      <c r="F114" s="614"/>
      <c r="G114" s="615">
        <f t="shared" si="23"/>
        <v>1</v>
      </c>
      <c r="H114" s="615">
        <f t="shared" si="23"/>
        <v>1</v>
      </c>
      <c r="I114" s="615">
        <f t="shared" si="23"/>
        <v>1</v>
      </c>
      <c r="J114" s="615">
        <f t="shared" si="23"/>
        <v>1</v>
      </c>
      <c r="K114" s="615">
        <f t="shared" si="23"/>
        <v>1</v>
      </c>
      <c r="L114" s="615">
        <f t="shared" si="23"/>
        <v>1</v>
      </c>
      <c r="M114" s="615">
        <f t="shared" si="23"/>
        <v>1</v>
      </c>
      <c r="N114" s="115"/>
      <c r="O114" s="104"/>
      <c r="Q114" s="332"/>
      <c r="R114" s="332"/>
      <c r="S114" s="332"/>
      <c r="T114" s="332"/>
      <c r="U114" s="332"/>
      <c r="V114" s="332"/>
      <c r="W114" s="332"/>
      <c r="X114" s="332"/>
      <c r="Y114" s="332"/>
      <c r="Z114" s="332"/>
      <c r="AA114" s="332"/>
      <c r="AB114" s="332"/>
      <c r="AC114" s="332"/>
      <c r="AD114" s="332"/>
      <c r="AE114" s="332"/>
    </row>
    <row r="115" spans="1:31" x14ac:dyDescent="0.25">
      <c r="A115" s="527">
        <f>ROW()</f>
        <v>115</v>
      </c>
      <c r="B115" s="638" t="s">
        <v>547</v>
      </c>
      <c r="C115" s="639" t="s">
        <v>538</v>
      </c>
      <c r="D115" s="640">
        <v>0</v>
      </c>
      <c r="E115" s="614"/>
      <c r="F115" s="614"/>
      <c r="G115" s="615">
        <f t="shared" si="23"/>
        <v>0</v>
      </c>
      <c r="H115" s="615">
        <f t="shared" si="23"/>
        <v>0</v>
      </c>
      <c r="I115" s="615">
        <f t="shared" si="23"/>
        <v>0</v>
      </c>
      <c r="J115" s="615">
        <f t="shared" si="23"/>
        <v>0</v>
      </c>
      <c r="K115" s="615">
        <f t="shared" si="23"/>
        <v>0</v>
      </c>
      <c r="L115" s="615">
        <f t="shared" si="23"/>
        <v>0</v>
      </c>
      <c r="M115" s="615">
        <f t="shared" si="23"/>
        <v>0</v>
      </c>
      <c r="N115" s="115"/>
      <c r="O115" s="104"/>
      <c r="Q115" s="332"/>
      <c r="R115" s="332"/>
      <c r="S115" s="332"/>
      <c r="T115" s="332"/>
      <c r="U115" s="332"/>
      <c r="V115" s="332"/>
      <c r="W115" s="332"/>
      <c r="X115" s="332"/>
      <c r="Y115" s="332"/>
      <c r="Z115" s="332"/>
      <c r="AA115" s="332"/>
      <c r="AB115" s="332"/>
      <c r="AC115" s="332"/>
      <c r="AD115" s="332"/>
      <c r="AE115" s="332"/>
    </row>
    <row r="116" spans="1:31" x14ac:dyDescent="0.25">
      <c r="A116" s="527">
        <f>ROW()</f>
        <v>116</v>
      </c>
      <c r="B116" s="638"/>
      <c r="C116" s="639" t="s">
        <v>538</v>
      </c>
      <c r="D116" s="640">
        <v>0</v>
      </c>
      <c r="E116" s="614"/>
      <c r="F116" s="614"/>
      <c r="G116" s="615">
        <f t="shared" si="23"/>
        <v>0</v>
      </c>
      <c r="H116" s="615">
        <f t="shared" si="23"/>
        <v>0</v>
      </c>
      <c r="I116" s="615">
        <f t="shared" si="23"/>
        <v>0</v>
      </c>
      <c r="J116" s="615">
        <f t="shared" si="23"/>
        <v>0</v>
      </c>
      <c r="K116" s="615">
        <f t="shared" si="23"/>
        <v>0</v>
      </c>
      <c r="L116" s="615">
        <f t="shared" si="23"/>
        <v>0</v>
      </c>
      <c r="M116" s="615">
        <f t="shared" si="23"/>
        <v>0</v>
      </c>
      <c r="N116" s="115"/>
      <c r="O116" s="104"/>
      <c r="Q116" s="332"/>
      <c r="R116" s="332"/>
      <c r="S116" s="332"/>
      <c r="T116" s="332"/>
      <c r="U116" s="332"/>
      <c r="V116" s="332"/>
      <c r="W116" s="332"/>
      <c r="X116" s="332"/>
      <c r="Y116" s="332"/>
      <c r="Z116" s="332"/>
      <c r="AA116" s="332"/>
      <c r="AB116" s="332"/>
      <c r="AC116" s="332"/>
      <c r="AD116" s="332"/>
      <c r="AE116" s="332"/>
    </row>
    <row r="117" spans="1:31" x14ac:dyDescent="0.25">
      <c r="A117" s="527">
        <f>ROW()</f>
        <v>117</v>
      </c>
      <c r="B117" s="638"/>
      <c r="C117" s="639" t="s">
        <v>538</v>
      </c>
      <c r="D117" s="640">
        <v>0</v>
      </c>
      <c r="E117" s="614"/>
      <c r="F117" s="614"/>
      <c r="G117" s="615">
        <f t="shared" si="23"/>
        <v>0</v>
      </c>
      <c r="H117" s="615">
        <f t="shared" si="23"/>
        <v>0</v>
      </c>
      <c r="I117" s="615">
        <f t="shared" si="23"/>
        <v>0</v>
      </c>
      <c r="J117" s="615">
        <f t="shared" si="23"/>
        <v>0</v>
      </c>
      <c r="K117" s="615">
        <f t="shared" si="23"/>
        <v>0</v>
      </c>
      <c r="L117" s="615">
        <f t="shared" si="23"/>
        <v>0</v>
      </c>
      <c r="M117" s="615">
        <f t="shared" si="23"/>
        <v>0</v>
      </c>
      <c r="N117" s="115"/>
      <c r="O117" s="104"/>
      <c r="Q117" s="332"/>
      <c r="R117" s="332"/>
      <c r="S117" s="332"/>
      <c r="T117" s="332"/>
      <c r="U117" s="332"/>
      <c r="V117" s="332"/>
      <c r="W117" s="332"/>
      <c r="X117" s="332"/>
      <c r="Y117" s="332"/>
      <c r="Z117" s="332"/>
      <c r="AA117" s="332"/>
      <c r="AB117" s="332"/>
      <c r="AC117" s="332"/>
      <c r="AD117" s="332"/>
      <c r="AE117" s="332"/>
    </row>
    <row r="118" spans="1:31" x14ac:dyDescent="0.25">
      <c r="A118" s="527">
        <f>ROW()</f>
        <v>118</v>
      </c>
      <c r="B118" s="638"/>
      <c r="C118" s="639" t="s">
        <v>538</v>
      </c>
      <c r="D118" s="640">
        <v>0</v>
      </c>
      <c r="E118" s="614"/>
      <c r="F118" s="614"/>
      <c r="G118" s="615">
        <f t="shared" si="23"/>
        <v>0</v>
      </c>
      <c r="H118" s="615">
        <f t="shared" si="23"/>
        <v>0</v>
      </c>
      <c r="I118" s="615">
        <f t="shared" si="23"/>
        <v>0</v>
      </c>
      <c r="J118" s="615">
        <f t="shared" si="23"/>
        <v>0</v>
      </c>
      <c r="K118" s="615">
        <f t="shared" si="23"/>
        <v>0</v>
      </c>
      <c r="L118" s="615">
        <f t="shared" si="23"/>
        <v>0</v>
      </c>
      <c r="M118" s="615">
        <f t="shared" si="23"/>
        <v>0</v>
      </c>
      <c r="N118" s="115"/>
      <c r="O118" s="104"/>
      <c r="Q118" s="332"/>
      <c r="R118" s="332"/>
      <c r="S118" s="332"/>
      <c r="T118" s="332"/>
      <c r="U118" s="332"/>
      <c r="V118" s="332"/>
      <c r="W118" s="332"/>
      <c r="X118" s="332"/>
      <c r="Y118" s="332"/>
      <c r="Z118" s="332"/>
      <c r="AA118" s="332"/>
      <c r="AB118" s="332"/>
      <c r="AC118" s="332"/>
      <c r="AD118" s="332"/>
      <c r="AE118" s="332"/>
    </row>
    <row r="119" spans="1:31" x14ac:dyDescent="0.25">
      <c r="A119" s="527">
        <f>ROW()</f>
        <v>119</v>
      </c>
      <c r="B119" s="638"/>
      <c r="C119" s="639" t="s">
        <v>538</v>
      </c>
      <c r="D119" s="640"/>
      <c r="E119" s="614"/>
      <c r="F119" s="614"/>
      <c r="G119" s="641">
        <f t="shared" si="23"/>
        <v>0</v>
      </c>
      <c r="H119" s="641">
        <f t="shared" si="23"/>
        <v>0</v>
      </c>
      <c r="I119" s="641">
        <f t="shared" si="23"/>
        <v>0</v>
      </c>
      <c r="J119" s="641">
        <f t="shared" si="23"/>
        <v>0</v>
      </c>
      <c r="K119" s="641">
        <f t="shared" si="23"/>
        <v>0</v>
      </c>
      <c r="L119" s="641">
        <f t="shared" si="23"/>
        <v>0</v>
      </c>
      <c r="M119" s="641">
        <f t="shared" si="23"/>
        <v>0</v>
      </c>
      <c r="N119" s="115"/>
      <c r="O119" s="104"/>
      <c r="Q119" s="332"/>
      <c r="R119" s="332"/>
      <c r="S119" s="332"/>
      <c r="T119" s="332"/>
      <c r="U119" s="332"/>
      <c r="V119" s="332"/>
      <c r="W119" s="332"/>
      <c r="X119" s="332"/>
      <c r="Y119" s="332"/>
      <c r="Z119" s="332"/>
      <c r="AA119" s="332"/>
      <c r="AB119" s="332"/>
      <c r="AC119" s="332"/>
      <c r="AD119" s="332"/>
      <c r="AE119" s="332"/>
    </row>
    <row r="120" spans="1:31" x14ac:dyDescent="0.25">
      <c r="A120" s="527">
        <f>ROW()</f>
        <v>120</v>
      </c>
      <c r="B120" s="619" t="s">
        <v>548</v>
      </c>
      <c r="C120" s="619"/>
      <c r="D120" s="619"/>
      <c r="E120" s="619"/>
      <c r="F120" s="619"/>
      <c r="G120" s="642">
        <f t="shared" ref="G120:M120" si="24">SUM(G111:G119)</f>
        <v>4</v>
      </c>
      <c r="H120" s="642">
        <f t="shared" si="24"/>
        <v>4</v>
      </c>
      <c r="I120" s="648">
        <f t="shared" si="24"/>
        <v>4</v>
      </c>
      <c r="J120" s="648">
        <f t="shared" si="24"/>
        <v>4</v>
      </c>
      <c r="K120" s="648">
        <f t="shared" si="24"/>
        <v>4</v>
      </c>
      <c r="L120" s="648">
        <f t="shared" si="24"/>
        <v>4</v>
      </c>
      <c r="M120" s="648">
        <f t="shared" si="24"/>
        <v>4</v>
      </c>
      <c r="N120" s="115"/>
      <c r="O120" s="104"/>
      <c r="Q120" s="332"/>
      <c r="R120" s="332"/>
      <c r="S120" s="332"/>
      <c r="T120" s="332"/>
      <c r="U120" s="332"/>
      <c r="V120" s="332"/>
      <c r="W120" s="332"/>
      <c r="X120" s="332"/>
      <c r="Y120" s="332"/>
      <c r="Z120" s="332"/>
      <c r="AA120" s="332"/>
      <c r="AB120" s="332"/>
      <c r="AC120" s="332"/>
      <c r="AD120" s="332"/>
      <c r="AE120" s="332"/>
    </row>
    <row r="121" spans="1:31" x14ac:dyDescent="0.25">
      <c r="A121" s="527">
        <f>ROW()</f>
        <v>121</v>
      </c>
      <c r="B121" s="645"/>
      <c r="C121" s="645"/>
      <c r="D121" s="645"/>
      <c r="E121" s="645"/>
      <c r="F121" s="645"/>
      <c r="G121" s="624"/>
      <c r="H121" s="624"/>
      <c r="I121" s="624"/>
      <c r="J121" s="624"/>
      <c r="K121" s="624"/>
      <c r="L121" s="624"/>
      <c r="M121" s="624"/>
      <c r="N121" s="115"/>
      <c r="O121" s="104"/>
      <c r="Q121" s="332"/>
      <c r="R121" s="332"/>
      <c r="S121" s="332"/>
      <c r="T121" s="332"/>
      <c r="U121" s="332"/>
      <c r="V121" s="332"/>
      <c r="W121" s="332"/>
      <c r="X121" s="332"/>
      <c r="Y121" s="332"/>
      <c r="Z121" s="332"/>
      <c r="AA121" s="332"/>
      <c r="AB121" s="332"/>
      <c r="AC121" s="332"/>
      <c r="AD121" s="332"/>
      <c r="AE121" s="332"/>
    </row>
    <row r="122" spans="1:31" ht="15.75" x14ac:dyDescent="0.25">
      <c r="A122" s="527">
        <f>ROW()</f>
        <v>122</v>
      </c>
      <c r="B122" s="647" t="s">
        <v>549</v>
      </c>
      <c r="C122" s="626"/>
      <c r="D122" s="627"/>
      <c r="E122" s="627"/>
      <c r="F122" s="627"/>
      <c r="G122" s="628"/>
      <c r="H122" s="628"/>
      <c r="I122" s="628"/>
      <c r="J122" s="628"/>
      <c r="K122" s="628"/>
      <c r="L122" s="628"/>
      <c r="M122" s="628"/>
      <c r="N122" s="115"/>
      <c r="O122" s="104"/>
      <c r="Q122" s="332"/>
      <c r="R122" s="332"/>
      <c r="S122" s="332"/>
      <c r="T122" s="332"/>
      <c r="U122" s="332"/>
      <c r="V122" s="332"/>
      <c r="W122" s="332"/>
      <c r="X122" s="332"/>
      <c r="Y122" s="332"/>
      <c r="Z122" s="332"/>
      <c r="AA122" s="332"/>
      <c r="AB122" s="332"/>
      <c r="AC122" s="332"/>
      <c r="AD122" s="332"/>
      <c r="AE122" s="332"/>
    </row>
    <row r="123" spans="1:31" x14ac:dyDescent="0.25">
      <c r="A123" s="527">
        <f>ROW()</f>
        <v>123</v>
      </c>
      <c r="B123" s="635" t="s">
        <v>550</v>
      </c>
      <c r="C123" s="636">
        <v>2025</v>
      </c>
      <c r="D123" s="637">
        <v>107417.62</v>
      </c>
      <c r="E123" s="614"/>
      <c r="F123" s="614"/>
      <c r="G123" s="610">
        <v>2</v>
      </c>
      <c r="H123" s="610">
        <v>2</v>
      </c>
      <c r="I123" s="610">
        <v>2</v>
      </c>
      <c r="J123" s="610">
        <v>2</v>
      </c>
      <c r="K123" s="610">
        <v>2</v>
      </c>
      <c r="L123" s="610">
        <v>2</v>
      </c>
      <c r="M123" s="610">
        <v>2</v>
      </c>
      <c r="N123" s="115"/>
      <c r="O123" s="104"/>
      <c r="Q123" s="332"/>
      <c r="R123" s="332"/>
      <c r="S123" s="332"/>
      <c r="T123" s="332"/>
      <c r="U123" s="332"/>
      <c r="V123" s="332"/>
      <c r="W123" s="332"/>
      <c r="X123" s="332"/>
      <c r="Y123" s="332"/>
      <c r="Z123" s="332"/>
      <c r="AA123" s="332"/>
      <c r="AB123" s="332"/>
      <c r="AC123" s="332"/>
      <c r="AD123" s="332"/>
      <c r="AE123" s="332"/>
    </row>
    <row r="124" spans="1:31" x14ac:dyDescent="0.25">
      <c r="A124" s="527">
        <f>ROW()</f>
        <v>124</v>
      </c>
      <c r="B124" s="638" t="s">
        <v>551</v>
      </c>
      <c r="C124" s="639">
        <v>2025</v>
      </c>
      <c r="D124" s="640">
        <v>105574.80333333334</v>
      </c>
      <c r="E124" s="614"/>
      <c r="F124" s="614"/>
      <c r="G124" s="615">
        <v>3</v>
      </c>
      <c r="H124" s="615">
        <v>3</v>
      </c>
      <c r="I124" s="615">
        <v>3</v>
      </c>
      <c r="J124" s="615">
        <v>3</v>
      </c>
      <c r="K124" s="615">
        <v>3</v>
      </c>
      <c r="L124" s="615">
        <v>3</v>
      </c>
      <c r="M124" s="615">
        <v>3</v>
      </c>
      <c r="N124" s="115"/>
      <c r="O124" s="104"/>
      <c r="Q124" s="332"/>
      <c r="R124" s="332"/>
      <c r="S124" s="332"/>
      <c r="T124" s="332"/>
      <c r="U124" s="332"/>
      <c r="V124" s="332"/>
      <c r="W124" s="332"/>
      <c r="X124" s="332"/>
      <c r="Y124" s="332"/>
      <c r="Z124" s="332"/>
      <c r="AA124" s="332"/>
      <c r="AB124" s="332"/>
      <c r="AC124" s="332"/>
      <c r="AD124" s="332"/>
      <c r="AE124" s="332"/>
    </row>
    <row r="125" spans="1:31" x14ac:dyDescent="0.25">
      <c r="A125" s="527">
        <f>ROW()</f>
        <v>125</v>
      </c>
      <c r="B125" s="638" t="s">
        <v>552</v>
      </c>
      <c r="C125" s="639" t="s">
        <v>538</v>
      </c>
      <c r="D125" s="640">
        <v>95870.29</v>
      </c>
      <c r="E125" s="614"/>
      <c r="F125" s="614"/>
      <c r="G125" s="615">
        <v>3</v>
      </c>
      <c r="H125" s="615">
        <v>3</v>
      </c>
      <c r="I125" s="615">
        <v>3</v>
      </c>
      <c r="J125" s="615">
        <v>3</v>
      </c>
      <c r="K125" s="615">
        <v>3</v>
      </c>
      <c r="L125" s="615">
        <v>3</v>
      </c>
      <c r="M125" s="615">
        <v>3</v>
      </c>
      <c r="N125" s="115"/>
      <c r="O125" s="104"/>
      <c r="Q125" s="332"/>
      <c r="R125" s="332"/>
      <c r="S125" s="332"/>
      <c r="T125" s="332"/>
      <c r="U125" s="332"/>
      <c r="V125" s="332"/>
      <c r="W125" s="332"/>
      <c r="X125" s="332"/>
      <c r="Y125" s="332"/>
      <c r="Z125" s="332"/>
      <c r="AA125" s="332"/>
      <c r="AB125" s="332"/>
      <c r="AC125" s="332"/>
      <c r="AD125" s="332"/>
      <c r="AE125" s="332"/>
    </row>
    <row r="126" spans="1:31" x14ac:dyDescent="0.25">
      <c r="A126" s="527">
        <f>ROW()</f>
        <v>126</v>
      </c>
      <c r="B126" s="638" t="s">
        <v>553</v>
      </c>
      <c r="C126" s="639" t="s">
        <v>538</v>
      </c>
      <c r="D126" s="640">
        <v>0</v>
      </c>
      <c r="E126" s="614"/>
      <c r="F126" s="614"/>
      <c r="G126" s="615">
        <f t="shared" ref="G126:M133" si="25">IF($C126&lt;=G$10,1,0)</f>
        <v>0</v>
      </c>
      <c r="H126" s="615">
        <f t="shared" si="25"/>
        <v>0</v>
      </c>
      <c r="I126" s="615">
        <f t="shared" si="25"/>
        <v>0</v>
      </c>
      <c r="J126" s="615">
        <f t="shared" si="25"/>
        <v>0</v>
      </c>
      <c r="K126" s="615">
        <f t="shared" si="25"/>
        <v>0</v>
      </c>
      <c r="L126" s="615">
        <f t="shared" si="25"/>
        <v>0</v>
      </c>
      <c r="M126" s="615">
        <f t="shared" si="25"/>
        <v>0</v>
      </c>
      <c r="N126" s="115"/>
      <c r="O126" s="104"/>
      <c r="Q126" s="332"/>
      <c r="R126" s="332"/>
      <c r="S126" s="332"/>
      <c r="T126" s="332"/>
      <c r="U126" s="332"/>
      <c r="V126" s="332"/>
      <c r="W126" s="332"/>
      <c r="X126" s="332"/>
      <c r="Y126" s="332"/>
      <c r="Z126" s="332"/>
      <c r="AA126" s="332"/>
      <c r="AB126" s="332"/>
      <c r="AC126" s="332"/>
      <c r="AD126" s="332"/>
      <c r="AE126" s="332"/>
    </row>
    <row r="127" spans="1:31" x14ac:dyDescent="0.25">
      <c r="A127" s="527">
        <f>ROW()</f>
        <v>127</v>
      </c>
      <c r="B127" s="638" t="s">
        <v>554</v>
      </c>
      <c r="C127" s="639" t="s">
        <v>538</v>
      </c>
      <c r="D127" s="640">
        <v>0</v>
      </c>
      <c r="E127" s="614"/>
      <c r="F127" s="614"/>
      <c r="G127" s="615">
        <f t="shared" si="25"/>
        <v>0</v>
      </c>
      <c r="H127" s="615">
        <f t="shared" si="25"/>
        <v>0</v>
      </c>
      <c r="I127" s="615">
        <f t="shared" si="25"/>
        <v>0</v>
      </c>
      <c r="J127" s="615">
        <f t="shared" si="25"/>
        <v>0</v>
      </c>
      <c r="K127" s="615">
        <f t="shared" si="25"/>
        <v>0</v>
      </c>
      <c r="L127" s="615">
        <f t="shared" si="25"/>
        <v>0</v>
      </c>
      <c r="M127" s="615">
        <f t="shared" si="25"/>
        <v>0</v>
      </c>
      <c r="N127" s="115"/>
      <c r="O127" s="104"/>
      <c r="Q127" s="332"/>
      <c r="R127" s="332"/>
      <c r="S127" s="332"/>
      <c r="T127" s="332"/>
      <c r="U127" s="332"/>
      <c r="V127" s="332"/>
      <c r="W127" s="332"/>
      <c r="X127" s="332"/>
      <c r="Y127" s="332"/>
      <c r="Z127" s="332"/>
      <c r="AA127" s="332"/>
      <c r="AB127" s="332"/>
      <c r="AC127" s="332"/>
      <c r="AD127" s="332"/>
      <c r="AE127" s="332"/>
    </row>
    <row r="128" spans="1:31" x14ac:dyDescent="0.25">
      <c r="A128" s="527">
        <f>ROW()</f>
        <v>128</v>
      </c>
      <c r="B128" s="638" t="s">
        <v>555</v>
      </c>
      <c r="C128" s="639">
        <v>2025</v>
      </c>
      <c r="D128" s="640">
        <v>55776.92</v>
      </c>
      <c r="E128" s="614"/>
      <c r="F128" s="614"/>
      <c r="G128" s="615">
        <v>2</v>
      </c>
      <c r="H128" s="615">
        <v>2</v>
      </c>
      <c r="I128" s="615">
        <v>2</v>
      </c>
      <c r="J128" s="615">
        <v>2</v>
      </c>
      <c r="K128" s="615">
        <v>2</v>
      </c>
      <c r="L128" s="615">
        <v>2</v>
      </c>
      <c r="M128" s="615">
        <v>2</v>
      </c>
      <c r="N128" s="115"/>
      <c r="O128" s="104"/>
      <c r="Q128" s="332"/>
      <c r="R128" s="332"/>
      <c r="S128" s="332"/>
      <c r="T128" s="332"/>
      <c r="U128" s="332"/>
      <c r="V128" s="332"/>
      <c r="W128" s="332"/>
      <c r="X128" s="332"/>
      <c r="Y128" s="332"/>
      <c r="Z128" s="332"/>
      <c r="AA128" s="332"/>
      <c r="AB128" s="332"/>
      <c r="AC128" s="332"/>
      <c r="AD128" s="332"/>
      <c r="AE128" s="332"/>
    </row>
    <row r="129" spans="1:31" x14ac:dyDescent="0.25">
      <c r="A129" s="527">
        <f>ROW()</f>
        <v>129</v>
      </c>
      <c r="B129" s="638" t="s">
        <v>556</v>
      </c>
      <c r="C129" s="639" t="s">
        <v>538</v>
      </c>
      <c r="D129" s="640">
        <v>0</v>
      </c>
      <c r="E129" s="614"/>
      <c r="F129" s="614"/>
      <c r="G129" s="615">
        <f t="shared" si="25"/>
        <v>0</v>
      </c>
      <c r="H129" s="615">
        <f t="shared" si="25"/>
        <v>0</v>
      </c>
      <c r="I129" s="615">
        <f t="shared" si="25"/>
        <v>0</v>
      </c>
      <c r="J129" s="615">
        <f t="shared" si="25"/>
        <v>0</v>
      </c>
      <c r="K129" s="615">
        <f t="shared" si="25"/>
        <v>0</v>
      </c>
      <c r="L129" s="615">
        <f t="shared" si="25"/>
        <v>0</v>
      </c>
      <c r="M129" s="615">
        <f t="shared" si="25"/>
        <v>0</v>
      </c>
      <c r="N129" s="115"/>
      <c r="O129" s="104"/>
      <c r="Q129" s="332"/>
      <c r="R129" s="332"/>
      <c r="S129" s="332"/>
      <c r="T129" s="332"/>
      <c r="U129" s="332"/>
      <c r="V129" s="332"/>
      <c r="W129" s="332"/>
      <c r="X129" s="332"/>
      <c r="Y129" s="332"/>
      <c r="Z129" s="332"/>
      <c r="AA129" s="332"/>
      <c r="AB129" s="332"/>
      <c r="AC129" s="332"/>
      <c r="AD129" s="332"/>
      <c r="AE129" s="332"/>
    </row>
    <row r="130" spans="1:31" x14ac:dyDescent="0.25">
      <c r="A130" s="527">
        <f>ROW()</f>
        <v>130</v>
      </c>
      <c r="B130" s="638" t="s">
        <v>557</v>
      </c>
      <c r="C130" s="639" t="s">
        <v>538</v>
      </c>
      <c r="D130" s="640">
        <v>0</v>
      </c>
      <c r="E130" s="614"/>
      <c r="F130" s="614"/>
      <c r="G130" s="615">
        <f t="shared" si="25"/>
        <v>0</v>
      </c>
      <c r="H130" s="615">
        <f t="shared" si="25"/>
        <v>0</v>
      </c>
      <c r="I130" s="615">
        <f t="shared" si="25"/>
        <v>0</v>
      </c>
      <c r="J130" s="615">
        <f t="shared" si="25"/>
        <v>0</v>
      </c>
      <c r="K130" s="615">
        <f t="shared" si="25"/>
        <v>0</v>
      </c>
      <c r="L130" s="615">
        <f t="shared" si="25"/>
        <v>0</v>
      </c>
      <c r="M130" s="615">
        <f t="shared" si="25"/>
        <v>0</v>
      </c>
      <c r="N130" s="115"/>
      <c r="O130" s="104"/>
      <c r="Q130" s="332"/>
      <c r="R130" s="332"/>
      <c r="S130" s="332"/>
      <c r="T130" s="332"/>
      <c r="U130" s="332"/>
      <c r="V130" s="332"/>
      <c r="W130" s="332"/>
      <c r="X130" s="332"/>
      <c r="Y130" s="332"/>
      <c r="Z130" s="332"/>
      <c r="AA130" s="332"/>
      <c r="AB130" s="332"/>
      <c r="AC130" s="332"/>
      <c r="AD130" s="332"/>
      <c r="AE130" s="332"/>
    </row>
    <row r="131" spans="1:31" x14ac:dyDescent="0.25">
      <c r="A131" s="527">
        <f>ROW()</f>
        <v>131</v>
      </c>
      <c r="B131" s="638"/>
      <c r="C131" s="639" t="s">
        <v>538</v>
      </c>
      <c r="D131" s="640">
        <v>0</v>
      </c>
      <c r="E131" s="614"/>
      <c r="F131" s="614"/>
      <c r="G131" s="615">
        <f t="shared" si="25"/>
        <v>0</v>
      </c>
      <c r="H131" s="615">
        <f t="shared" si="25"/>
        <v>0</v>
      </c>
      <c r="I131" s="615">
        <f t="shared" si="25"/>
        <v>0</v>
      </c>
      <c r="J131" s="615">
        <f t="shared" si="25"/>
        <v>0</v>
      </c>
      <c r="K131" s="615">
        <f t="shared" si="25"/>
        <v>0</v>
      </c>
      <c r="L131" s="615">
        <f t="shared" si="25"/>
        <v>0</v>
      </c>
      <c r="M131" s="615">
        <f t="shared" si="25"/>
        <v>0</v>
      </c>
      <c r="N131" s="115"/>
      <c r="O131" s="104"/>
      <c r="Q131" s="332"/>
      <c r="R131" s="332"/>
      <c r="S131" s="332"/>
      <c r="T131" s="332"/>
      <c r="U131" s="332"/>
      <c r="V131" s="332"/>
      <c r="W131" s="332"/>
      <c r="X131" s="332"/>
      <c r="Y131" s="332"/>
      <c r="Z131" s="332"/>
      <c r="AA131" s="332"/>
      <c r="AB131" s="332"/>
      <c r="AC131" s="332"/>
      <c r="AD131" s="332"/>
      <c r="AE131" s="332"/>
    </row>
    <row r="132" spans="1:31" x14ac:dyDescent="0.25">
      <c r="A132" s="527">
        <f>ROW()</f>
        <v>132</v>
      </c>
      <c r="B132" s="638"/>
      <c r="C132" s="639" t="s">
        <v>538</v>
      </c>
      <c r="D132" s="640">
        <v>0</v>
      </c>
      <c r="E132" s="614"/>
      <c r="F132" s="614"/>
      <c r="G132" s="615">
        <f t="shared" si="25"/>
        <v>0</v>
      </c>
      <c r="H132" s="615">
        <f t="shared" si="25"/>
        <v>0</v>
      </c>
      <c r="I132" s="615">
        <f t="shared" si="25"/>
        <v>0</v>
      </c>
      <c r="J132" s="615">
        <f t="shared" si="25"/>
        <v>0</v>
      </c>
      <c r="K132" s="615">
        <f t="shared" si="25"/>
        <v>0</v>
      </c>
      <c r="L132" s="615">
        <f t="shared" si="25"/>
        <v>0</v>
      </c>
      <c r="M132" s="615">
        <f t="shared" si="25"/>
        <v>0</v>
      </c>
      <c r="N132" s="115"/>
      <c r="O132" s="104"/>
      <c r="Q132" s="332"/>
      <c r="R132" s="332"/>
      <c r="S132" s="332"/>
      <c r="T132" s="332"/>
      <c r="U132" s="332"/>
      <c r="V132" s="332"/>
      <c r="W132" s="332"/>
      <c r="X132" s="332"/>
      <c r="Y132" s="332"/>
      <c r="Z132" s="332"/>
      <c r="AA132" s="332"/>
      <c r="AB132" s="332"/>
      <c r="AC132" s="332"/>
      <c r="AD132" s="332"/>
      <c r="AE132" s="332"/>
    </row>
    <row r="133" spans="1:31" x14ac:dyDescent="0.25">
      <c r="A133" s="527">
        <f>ROW()</f>
        <v>133</v>
      </c>
      <c r="B133" s="638"/>
      <c r="C133" s="639" t="s">
        <v>538</v>
      </c>
      <c r="D133" s="640"/>
      <c r="E133" s="614"/>
      <c r="F133" s="614"/>
      <c r="G133" s="641">
        <f t="shared" si="25"/>
        <v>0</v>
      </c>
      <c r="H133" s="641">
        <f t="shared" si="25"/>
        <v>0</v>
      </c>
      <c r="I133" s="641">
        <f t="shared" si="25"/>
        <v>0</v>
      </c>
      <c r="J133" s="641">
        <f t="shared" si="25"/>
        <v>0</v>
      </c>
      <c r="K133" s="641">
        <f t="shared" si="25"/>
        <v>0</v>
      </c>
      <c r="L133" s="641">
        <f t="shared" si="25"/>
        <v>0</v>
      </c>
      <c r="M133" s="641">
        <f t="shared" si="25"/>
        <v>0</v>
      </c>
      <c r="N133" s="115"/>
      <c r="O133" s="104"/>
      <c r="Q133" s="332"/>
      <c r="R133" s="332"/>
      <c r="S133" s="332"/>
      <c r="T133" s="332"/>
      <c r="U133" s="332"/>
      <c r="V133" s="332"/>
      <c r="W133" s="332"/>
      <c r="X133" s="332"/>
      <c r="Y133" s="332"/>
      <c r="Z133" s="332"/>
      <c r="AA133" s="332"/>
      <c r="AB133" s="332"/>
      <c r="AC133" s="332"/>
      <c r="AD133" s="332"/>
      <c r="AE133" s="332"/>
    </row>
    <row r="134" spans="1:31" x14ac:dyDescent="0.25">
      <c r="A134" s="527">
        <f>ROW()</f>
        <v>134</v>
      </c>
      <c r="B134" s="491" t="s">
        <v>558</v>
      </c>
      <c r="C134" s="491"/>
      <c r="D134" s="491"/>
      <c r="E134" s="491"/>
      <c r="F134" s="491"/>
      <c r="G134" s="649">
        <f t="shared" ref="G134:M134" si="26">SUM(G123:G133)</f>
        <v>10</v>
      </c>
      <c r="H134" s="649">
        <f t="shared" si="26"/>
        <v>10</v>
      </c>
      <c r="I134" s="650">
        <f t="shared" si="26"/>
        <v>10</v>
      </c>
      <c r="J134" s="650">
        <f t="shared" si="26"/>
        <v>10</v>
      </c>
      <c r="K134" s="650">
        <f t="shared" si="26"/>
        <v>10</v>
      </c>
      <c r="L134" s="650">
        <f t="shared" si="26"/>
        <v>10</v>
      </c>
      <c r="M134" s="650">
        <f t="shared" si="26"/>
        <v>10</v>
      </c>
      <c r="N134" s="115"/>
      <c r="O134" s="104"/>
      <c r="Q134" s="332"/>
      <c r="R134" s="332"/>
      <c r="S134" s="332"/>
      <c r="T134" s="332"/>
      <c r="U134" s="332"/>
      <c r="V134" s="332"/>
      <c r="W134" s="332"/>
      <c r="X134" s="332"/>
      <c r="Y134" s="332"/>
      <c r="Z134" s="332"/>
      <c r="AA134" s="332"/>
      <c r="AB134" s="332"/>
      <c r="AC134" s="332"/>
      <c r="AD134" s="332"/>
      <c r="AE134" s="332"/>
    </row>
    <row r="135" spans="1:31" x14ac:dyDescent="0.25">
      <c r="A135" s="527">
        <f>ROW()</f>
        <v>135</v>
      </c>
      <c r="G135" s="115"/>
      <c r="H135" s="115"/>
      <c r="I135" s="115"/>
      <c r="J135" s="115"/>
      <c r="K135" s="115"/>
      <c r="L135" s="115"/>
      <c r="M135" s="115"/>
      <c r="N135" s="115"/>
      <c r="O135" s="104"/>
      <c r="Q135" s="332"/>
      <c r="R135" s="332"/>
      <c r="S135" s="332"/>
      <c r="T135" s="332"/>
      <c r="U135" s="332"/>
      <c r="V135" s="332"/>
      <c r="W135" s="332"/>
      <c r="X135" s="332"/>
      <c r="Y135" s="332"/>
      <c r="Z135" s="332"/>
      <c r="AA135" s="332"/>
      <c r="AB135" s="332"/>
      <c r="AC135" s="332"/>
      <c r="AD135" s="332"/>
      <c r="AE135" s="332"/>
    </row>
    <row r="136" spans="1:31" x14ac:dyDescent="0.25">
      <c r="A136" s="527">
        <f>ROW()</f>
        <v>136</v>
      </c>
      <c r="B136" s="491" t="s">
        <v>559</v>
      </c>
      <c r="C136" s="491"/>
      <c r="D136" s="491"/>
      <c r="E136" s="491"/>
      <c r="F136" s="491"/>
      <c r="G136" s="649">
        <f t="shared" ref="G136:M136" si="27">+G106+G120+G134</f>
        <v>41</v>
      </c>
      <c r="H136" s="649">
        <f t="shared" si="27"/>
        <v>41</v>
      </c>
      <c r="I136" s="650">
        <f t="shared" si="27"/>
        <v>41</v>
      </c>
      <c r="J136" s="650">
        <f t="shared" si="27"/>
        <v>41</v>
      </c>
      <c r="K136" s="650">
        <f t="shared" si="27"/>
        <v>41</v>
      </c>
      <c r="L136" s="650">
        <f t="shared" si="27"/>
        <v>41</v>
      </c>
      <c r="M136" s="650">
        <f t="shared" si="27"/>
        <v>41</v>
      </c>
      <c r="N136" s="115"/>
      <c r="O136" s="104"/>
      <c r="Q136" s="332"/>
      <c r="R136" s="332"/>
      <c r="S136" s="332"/>
      <c r="T136" s="332"/>
      <c r="U136" s="332"/>
      <c r="V136" s="332"/>
      <c r="W136" s="332"/>
      <c r="X136" s="332"/>
      <c r="Y136" s="332"/>
      <c r="Z136" s="332"/>
      <c r="AA136" s="332"/>
      <c r="AB136" s="332"/>
      <c r="AC136" s="332"/>
      <c r="AD136" s="332"/>
      <c r="AE136" s="332"/>
    </row>
    <row r="137" spans="1:31" x14ac:dyDescent="0.25">
      <c r="A137" s="527">
        <f>ROW()</f>
        <v>137</v>
      </c>
      <c r="B137" s="491" t="s">
        <v>560</v>
      </c>
      <c r="C137" s="491"/>
      <c r="D137" s="491"/>
      <c r="E137" s="491"/>
      <c r="F137" s="491"/>
      <c r="G137" s="650">
        <f t="shared" ref="G137:M137" si="28">+G136+G94</f>
        <v>71</v>
      </c>
      <c r="H137" s="650">
        <f t="shared" si="28"/>
        <v>71</v>
      </c>
      <c r="I137" s="650">
        <f t="shared" si="28"/>
        <v>71</v>
      </c>
      <c r="J137" s="650">
        <f t="shared" si="28"/>
        <v>71</v>
      </c>
      <c r="K137" s="650">
        <f t="shared" si="28"/>
        <v>71</v>
      </c>
      <c r="L137" s="650">
        <f t="shared" si="28"/>
        <v>71</v>
      </c>
      <c r="M137" s="650">
        <f t="shared" si="28"/>
        <v>71</v>
      </c>
      <c r="N137" s="115"/>
      <c r="O137" s="104"/>
      <c r="Q137" s="332"/>
      <c r="R137" s="332"/>
      <c r="S137" s="332"/>
      <c r="T137" s="332"/>
      <c r="U137" s="332"/>
      <c r="V137" s="332"/>
      <c r="W137" s="332"/>
      <c r="X137" s="332"/>
      <c r="Y137" s="332"/>
      <c r="Z137" s="332"/>
      <c r="AA137" s="332"/>
      <c r="AB137" s="332"/>
      <c r="AC137" s="332"/>
      <c r="AD137" s="332"/>
      <c r="AE137" s="332"/>
    </row>
    <row r="138" spans="1:31" x14ac:dyDescent="0.25">
      <c r="A138" s="527">
        <f>ROW()</f>
        <v>138</v>
      </c>
      <c r="B138" s="524"/>
      <c r="C138" s="524"/>
      <c r="D138" s="524"/>
      <c r="E138" s="524"/>
      <c r="F138" s="524"/>
      <c r="G138" s="651"/>
      <c r="H138" s="524"/>
      <c r="I138" s="524"/>
      <c r="J138" s="524"/>
      <c r="K138" s="524"/>
      <c r="L138" s="524"/>
      <c r="M138" s="652"/>
      <c r="N138" s="115"/>
      <c r="O138" s="104"/>
      <c r="Q138" s="332"/>
      <c r="R138" s="332"/>
      <c r="S138" s="332"/>
      <c r="T138" s="332"/>
      <c r="U138" s="332"/>
      <c r="V138" s="332"/>
      <c r="W138" s="332"/>
      <c r="X138" s="332"/>
      <c r="Y138" s="332"/>
      <c r="Z138" s="332"/>
      <c r="AA138" s="332"/>
      <c r="AB138" s="332"/>
      <c r="AC138" s="332"/>
      <c r="AD138" s="332"/>
      <c r="AE138" s="332"/>
    </row>
    <row r="139" spans="1:31" ht="15.75" x14ac:dyDescent="0.25">
      <c r="A139" s="527">
        <f>ROW()</f>
        <v>139</v>
      </c>
      <c r="B139" s="653" t="s">
        <v>561</v>
      </c>
      <c r="C139" s="29"/>
      <c r="D139" s="29"/>
      <c r="E139" s="29"/>
      <c r="F139" s="29"/>
      <c r="G139" s="28"/>
      <c r="H139" s="29"/>
      <c r="I139" s="29"/>
      <c r="J139" s="29"/>
      <c r="K139" s="29"/>
      <c r="L139" s="29"/>
      <c r="M139" s="654"/>
      <c r="N139" s="115"/>
      <c r="O139" s="104"/>
      <c r="Q139" s="332"/>
      <c r="R139" s="332"/>
      <c r="S139" s="332"/>
      <c r="T139" s="332"/>
      <c r="U139" s="332"/>
      <c r="V139" s="332"/>
      <c r="W139" s="332"/>
      <c r="X139" s="332"/>
      <c r="Y139" s="332"/>
      <c r="Z139" s="332"/>
      <c r="AA139" s="332"/>
      <c r="AB139" s="332"/>
      <c r="AC139" s="332"/>
      <c r="AD139" s="332"/>
      <c r="AE139" s="332"/>
    </row>
    <row r="140" spans="1:31" ht="30" x14ac:dyDescent="0.25">
      <c r="A140" s="527">
        <f>ROW()</f>
        <v>140</v>
      </c>
      <c r="B140" s="160" t="s">
        <v>562</v>
      </c>
      <c r="C140" s="84" t="s">
        <v>563</v>
      </c>
      <c r="D140" s="84" t="s">
        <v>564</v>
      </c>
      <c r="E140" s="84" t="s">
        <v>511</v>
      </c>
      <c r="F140" s="160" t="s">
        <v>565</v>
      </c>
      <c r="G140" s="160" t="s">
        <v>566</v>
      </c>
      <c r="H140" s="597" t="s">
        <v>513</v>
      </c>
      <c r="I140" s="160"/>
      <c r="J140" s="160"/>
      <c r="L140" s="115"/>
      <c r="N140" s="115"/>
      <c r="O140" s="104"/>
      <c r="Q140" s="332"/>
      <c r="R140" s="332"/>
      <c r="S140" s="332"/>
      <c r="T140" s="332"/>
      <c r="U140" s="332"/>
      <c r="V140" s="332"/>
      <c r="W140" s="332"/>
      <c r="X140" s="332"/>
      <c r="Y140" s="332"/>
      <c r="Z140" s="332"/>
      <c r="AA140" s="332"/>
      <c r="AB140" s="332"/>
      <c r="AC140" s="332"/>
      <c r="AD140" s="332"/>
      <c r="AE140" s="332"/>
    </row>
    <row r="141" spans="1:31" x14ac:dyDescent="0.25">
      <c r="A141" s="527">
        <f>ROW()</f>
        <v>141</v>
      </c>
      <c r="B141" s="595" t="s">
        <v>512</v>
      </c>
      <c r="C141" s="35"/>
      <c r="D141" s="35">
        <f>' Enrol &amp; Rev'!$G$10</f>
        <v>2025</v>
      </c>
      <c r="E141" s="28"/>
      <c r="F141" s="28"/>
      <c r="G141" s="29"/>
      <c r="H141" s="29"/>
      <c r="I141" s="596"/>
      <c r="J141" s="596"/>
      <c r="K141" s="596"/>
      <c r="L141" s="654"/>
      <c r="M141" s="29"/>
      <c r="N141" s="115"/>
      <c r="O141" s="104"/>
      <c r="Q141" s="332"/>
      <c r="R141" s="332"/>
      <c r="S141" s="332"/>
      <c r="T141" s="332"/>
      <c r="U141" s="332"/>
      <c r="V141" s="332"/>
      <c r="W141" s="332"/>
      <c r="X141" s="332"/>
      <c r="Y141" s="332"/>
      <c r="Z141" s="332"/>
      <c r="AA141" s="332"/>
      <c r="AB141" s="332"/>
      <c r="AC141" s="332"/>
      <c r="AD141" s="332"/>
      <c r="AE141" s="332"/>
    </row>
    <row r="142" spans="1:31" x14ac:dyDescent="0.25">
      <c r="A142" s="527">
        <f>ROW()</f>
        <v>142</v>
      </c>
      <c r="C142" s="41"/>
      <c r="D142" s="41"/>
      <c r="E142" s="38"/>
      <c r="F142" s="38"/>
      <c r="G142" s="42" t="s">
        <v>567</v>
      </c>
      <c r="L142" s="115"/>
      <c r="N142" s="115"/>
      <c r="O142" s="104"/>
      <c r="Q142" s="332"/>
      <c r="R142" s="332"/>
      <c r="S142" s="332"/>
      <c r="T142" s="332"/>
      <c r="U142" s="332"/>
      <c r="V142" s="332"/>
      <c r="W142" s="332"/>
      <c r="X142" s="332"/>
      <c r="Y142" s="332"/>
      <c r="Z142" s="332"/>
      <c r="AA142" s="332"/>
      <c r="AB142" s="332"/>
      <c r="AC142" s="332"/>
      <c r="AD142" s="332"/>
      <c r="AE142" s="332"/>
    </row>
    <row r="143" spans="1:31" x14ac:dyDescent="0.25">
      <c r="A143" s="527">
        <f>ROW()</f>
        <v>143</v>
      </c>
      <c r="B143" s="655" t="s">
        <v>568</v>
      </c>
      <c r="C143" s="612" t="s">
        <v>569</v>
      </c>
      <c r="D143" s="612">
        <v>2025</v>
      </c>
      <c r="E143" s="656">
        <v>102898.33333333333</v>
      </c>
      <c r="F143" s="657" t="s">
        <v>570</v>
      </c>
      <c r="G143" s="615">
        <v>12</v>
      </c>
      <c r="H143" s="615">
        <v>12</v>
      </c>
      <c r="I143" s="615">
        <v>12</v>
      </c>
      <c r="J143" s="615">
        <v>12</v>
      </c>
      <c r="K143" s="615">
        <v>12</v>
      </c>
      <c r="L143" s="615">
        <v>12</v>
      </c>
      <c r="M143" s="615">
        <v>12</v>
      </c>
      <c r="O143" s="104"/>
      <c r="Q143" s="332"/>
      <c r="R143" s="332"/>
      <c r="S143" s="332"/>
      <c r="T143" s="332"/>
      <c r="U143" s="332"/>
      <c r="V143" s="332"/>
      <c r="W143" s="332"/>
      <c r="X143" s="332"/>
      <c r="Y143" s="332"/>
      <c r="Z143" s="332"/>
      <c r="AA143" s="332"/>
      <c r="AB143" s="332"/>
      <c r="AC143" s="332"/>
      <c r="AD143" s="332"/>
      <c r="AE143" s="332"/>
    </row>
    <row r="144" spans="1:31" x14ac:dyDescent="0.25">
      <c r="A144" s="527">
        <f>ROW()</f>
        <v>144</v>
      </c>
      <c r="B144" s="655" t="s">
        <v>571</v>
      </c>
      <c r="C144" s="612" t="s">
        <v>538</v>
      </c>
      <c r="D144" s="612" t="s">
        <v>572</v>
      </c>
      <c r="E144" s="613">
        <v>0</v>
      </c>
      <c r="F144" s="657" t="s">
        <v>570</v>
      </c>
      <c r="G144" s="615">
        <f>IF($D144&lt;=G$10,1,0)</f>
        <v>0</v>
      </c>
      <c r="H144" s="615">
        <f t="shared" ref="H144:M145" si="29">IF($D144&lt;=H$10,1,0)</f>
        <v>0</v>
      </c>
      <c r="I144" s="615">
        <f t="shared" si="29"/>
        <v>0</v>
      </c>
      <c r="J144" s="615">
        <f t="shared" si="29"/>
        <v>0</v>
      </c>
      <c r="K144" s="615">
        <f t="shared" si="29"/>
        <v>0</v>
      </c>
      <c r="L144" s="615">
        <f t="shared" si="29"/>
        <v>0</v>
      </c>
      <c r="M144" s="615">
        <f t="shared" si="29"/>
        <v>0</v>
      </c>
      <c r="O144" s="104"/>
      <c r="Q144" s="332"/>
      <c r="R144" s="332"/>
      <c r="S144" s="332"/>
      <c r="T144" s="332"/>
      <c r="U144" s="332"/>
      <c r="V144" s="332"/>
      <c r="W144" s="332"/>
      <c r="X144" s="332"/>
      <c r="Y144" s="332"/>
      <c r="Z144" s="332"/>
      <c r="AA144" s="332"/>
      <c r="AB144" s="332"/>
      <c r="AC144" s="332"/>
      <c r="AD144" s="332"/>
      <c r="AE144" s="332"/>
    </row>
    <row r="145" spans="1:31" x14ac:dyDescent="0.25">
      <c r="A145" s="527">
        <f>ROW()</f>
        <v>145</v>
      </c>
      <c r="B145" s="655" t="s">
        <v>571</v>
      </c>
      <c r="C145" s="612" t="s">
        <v>538</v>
      </c>
      <c r="D145" s="612" t="s">
        <v>572</v>
      </c>
      <c r="E145" s="613">
        <v>0</v>
      </c>
      <c r="F145" s="657" t="s">
        <v>570</v>
      </c>
      <c r="G145" s="615">
        <f>IF($D145&lt;=G$10,1,0)</f>
        <v>0</v>
      </c>
      <c r="H145" s="615">
        <f t="shared" si="29"/>
        <v>0</v>
      </c>
      <c r="I145" s="615">
        <f t="shared" si="29"/>
        <v>0</v>
      </c>
      <c r="J145" s="615">
        <f t="shared" si="29"/>
        <v>0</v>
      </c>
      <c r="K145" s="615">
        <f t="shared" si="29"/>
        <v>0</v>
      </c>
      <c r="L145" s="615">
        <f t="shared" si="29"/>
        <v>0</v>
      </c>
      <c r="M145" s="615">
        <f t="shared" si="29"/>
        <v>0</v>
      </c>
      <c r="O145" s="104"/>
      <c r="Q145" s="332"/>
      <c r="R145" s="332"/>
      <c r="S145" s="332"/>
      <c r="T145" s="332"/>
      <c r="U145" s="332"/>
      <c r="V145" s="332"/>
      <c r="W145" s="332"/>
      <c r="X145" s="332"/>
      <c r="Y145" s="332"/>
      <c r="Z145" s="332"/>
      <c r="AA145" s="332"/>
      <c r="AB145" s="332"/>
      <c r="AC145" s="332"/>
      <c r="AD145" s="332"/>
      <c r="AE145" s="332"/>
    </row>
    <row r="146" spans="1:31" x14ac:dyDescent="0.25">
      <c r="A146" s="527">
        <f>ROW()</f>
        <v>146</v>
      </c>
      <c r="B146" s="658"/>
      <c r="C146" s="659"/>
      <c r="D146" s="659"/>
      <c r="E146" s="660"/>
      <c r="F146" s="661"/>
      <c r="G146" s="618"/>
      <c r="H146" s="618"/>
      <c r="I146" s="618"/>
      <c r="J146" s="618"/>
      <c r="K146" s="618"/>
      <c r="L146" s="618"/>
      <c r="M146" s="618"/>
      <c r="O146" s="104"/>
      <c r="Q146" s="332"/>
      <c r="R146" s="332"/>
      <c r="S146" s="332"/>
      <c r="T146" s="332"/>
      <c r="U146" s="332"/>
      <c r="V146" s="332"/>
      <c r="W146" s="332"/>
      <c r="X146" s="332"/>
      <c r="Y146" s="332"/>
      <c r="Z146" s="332"/>
      <c r="AA146" s="332"/>
      <c r="AB146" s="332"/>
      <c r="AC146" s="332"/>
      <c r="AD146" s="332"/>
      <c r="AE146" s="332"/>
    </row>
    <row r="147" spans="1:31" x14ac:dyDescent="0.25">
      <c r="A147" s="527">
        <f>ROW()</f>
        <v>147</v>
      </c>
      <c r="B147" s="655" t="s">
        <v>573</v>
      </c>
      <c r="C147" s="612" t="s">
        <v>574</v>
      </c>
      <c r="D147" s="612">
        <v>2025</v>
      </c>
      <c r="E147" s="656">
        <v>77948.5</v>
      </c>
      <c r="F147" s="657" t="s">
        <v>575</v>
      </c>
      <c r="G147" s="615">
        <v>2</v>
      </c>
      <c r="H147" s="615">
        <v>2</v>
      </c>
      <c r="I147" s="615">
        <v>2</v>
      </c>
      <c r="J147" s="615">
        <v>2</v>
      </c>
      <c r="K147" s="615">
        <v>2</v>
      </c>
      <c r="L147" s="615">
        <v>2</v>
      </c>
      <c r="M147" s="615">
        <v>2</v>
      </c>
      <c r="O147" s="104"/>
      <c r="Q147" s="332"/>
      <c r="R147" s="332"/>
      <c r="S147" s="332"/>
      <c r="T147" s="332"/>
      <c r="U147" s="332"/>
      <c r="V147" s="332"/>
      <c r="W147" s="332"/>
      <c r="X147" s="332"/>
      <c r="Y147" s="332"/>
      <c r="Z147" s="332"/>
      <c r="AA147" s="332"/>
      <c r="AB147" s="332"/>
      <c r="AC147" s="332"/>
      <c r="AD147" s="332"/>
      <c r="AE147" s="332"/>
    </row>
    <row r="148" spans="1:31" x14ac:dyDescent="0.25">
      <c r="A148" s="527">
        <f>ROW()</f>
        <v>148</v>
      </c>
      <c r="B148" s="655" t="s">
        <v>576</v>
      </c>
      <c r="C148" s="612" t="s">
        <v>574</v>
      </c>
      <c r="D148" s="612">
        <v>2025</v>
      </c>
      <c r="E148" s="613">
        <v>73596</v>
      </c>
      <c r="F148" s="657" t="s">
        <v>577</v>
      </c>
      <c r="G148" s="615">
        <v>2</v>
      </c>
      <c r="H148" s="615">
        <v>2</v>
      </c>
      <c r="I148" s="615">
        <v>2</v>
      </c>
      <c r="J148" s="615">
        <v>2</v>
      </c>
      <c r="K148" s="615">
        <v>2</v>
      </c>
      <c r="L148" s="615">
        <v>2</v>
      </c>
      <c r="M148" s="615">
        <v>2</v>
      </c>
      <c r="O148" s="104"/>
      <c r="Q148" s="332"/>
      <c r="R148" s="332"/>
      <c r="S148" s="332"/>
      <c r="T148" s="332"/>
      <c r="U148" s="332"/>
      <c r="V148" s="332"/>
      <c r="W148" s="332"/>
      <c r="X148" s="332"/>
      <c r="Y148" s="332"/>
      <c r="Z148" s="332"/>
      <c r="AA148" s="332"/>
      <c r="AB148" s="332"/>
      <c r="AC148" s="332"/>
      <c r="AD148" s="332"/>
      <c r="AE148" s="332"/>
    </row>
    <row r="149" spans="1:31" x14ac:dyDescent="0.25">
      <c r="A149" s="527">
        <f>ROW()</f>
        <v>149</v>
      </c>
      <c r="B149" s="655" t="s">
        <v>578</v>
      </c>
      <c r="C149" s="612" t="s">
        <v>574</v>
      </c>
      <c r="D149" s="612">
        <v>2025</v>
      </c>
      <c r="E149" s="613">
        <v>103623.25</v>
      </c>
      <c r="F149" s="657" t="s">
        <v>579</v>
      </c>
      <c r="G149" s="615">
        <v>4</v>
      </c>
      <c r="H149" s="615">
        <v>4</v>
      </c>
      <c r="I149" s="615">
        <v>4</v>
      </c>
      <c r="J149" s="615">
        <v>4</v>
      </c>
      <c r="K149" s="615">
        <v>4</v>
      </c>
      <c r="L149" s="615">
        <v>4</v>
      </c>
      <c r="M149" s="615">
        <v>4</v>
      </c>
      <c r="O149" s="104"/>
      <c r="Q149" s="332"/>
      <c r="R149" s="332"/>
      <c r="S149" s="332"/>
      <c r="T149" s="332"/>
      <c r="U149" s="332"/>
      <c r="V149" s="332"/>
      <c r="W149" s="332"/>
      <c r="X149" s="332"/>
      <c r="Y149" s="332"/>
      <c r="Z149" s="332"/>
      <c r="AA149" s="332"/>
      <c r="AB149" s="332"/>
      <c r="AC149" s="332"/>
      <c r="AD149" s="332"/>
      <c r="AE149" s="332"/>
    </row>
    <row r="150" spans="1:31" x14ac:dyDescent="0.25">
      <c r="A150" s="527">
        <f>ROW()</f>
        <v>150</v>
      </c>
      <c r="B150" s="655" t="s">
        <v>580</v>
      </c>
      <c r="C150" s="612" t="s">
        <v>574</v>
      </c>
      <c r="D150" s="612">
        <v>2025</v>
      </c>
      <c r="E150" s="613">
        <v>81816.509999999995</v>
      </c>
      <c r="F150" s="657" t="s">
        <v>581</v>
      </c>
      <c r="G150" s="615">
        <f t="shared" ref="G150:M150" si="30">IF($D150&lt;=G$10,1,0)</f>
        <v>1</v>
      </c>
      <c r="H150" s="615">
        <f t="shared" si="30"/>
        <v>1</v>
      </c>
      <c r="I150" s="615">
        <f t="shared" si="30"/>
        <v>1</v>
      </c>
      <c r="J150" s="615">
        <f t="shared" si="30"/>
        <v>1</v>
      </c>
      <c r="K150" s="615">
        <f t="shared" si="30"/>
        <v>1</v>
      </c>
      <c r="L150" s="615">
        <f t="shared" si="30"/>
        <v>1</v>
      </c>
      <c r="M150" s="615">
        <f t="shared" si="30"/>
        <v>1</v>
      </c>
      <c r="O150" s="104"/>
      <c r="Q150" s="332"/>
      <c r="R150" s="332"/>
      <c r="S150" s="332"/>
      <c r="T150" s="332"/>
      <c r="U150" s="332"/>
      <c r="V150" s="332"/>
      <c r="W150" s="332"/>
      <c r="X150" s="332"/>
      <c r="Y150" s="332"/>
      <c r="Z150" s="332"/>
      <c r="AA150" s="332"/>
      <c r="AB150" s="332"/>
      <c r="AC150" s="332"/>
      <c r="AD150" s="332"/>
      <c r="AE150" s="332"/>
    </row>
    <row r="151" spans="1:31" x14ac:dyDescent="0.25">
      <c r="A151" s="527">
        <f>ROW()</f>
        <v>151</v>
      </c>
      <c r="B151" s="655" t="s">
        <v>582</v>
      </c>
      <c r="C151" s="612" t="s">
        <v>574</v>
      </c>
      <c r="D151" s="612">
        <v>2025</v>
      </c>
      <c r="E151" s="613">
        <v>94485</v>
      </c>
      <c r="F151" s="657" t="s">
        <v>582</v>
      </c>
      <c r="G151" s="615">
        <v>2</v>
      </c>
      <c r="H151" s="615">
        <v>2</v>
      </c>
      <c r="I151" s="615">
        <v>2</v>
      </c>
      <c r="J151" s="615">
        <v>2</v>
      </c>
      <c r="K151" s="615">
        <v>2</v>
      </c>
      <c r="L151" s="615">
        <v>2</v>
      </c>
      <c r="M151" s="615">
        <v>2</v>
      </c>
      <c r="O151" s="104"/>
      <c r="Q151" s="332"/>
      <c r="R151" s="332"/>
      <c r="S151" s="332"/>
      <c r="T151" s="332"/>
      <c r="U151" s="332"/>
      <c r="V151" s="332"/>
      <c r="W151" s="332"/>
      <c r="X151" s="332"/>
      <c r="Y151" s="332"/>
      <c r="Z151" s="332"/>
      <c r="AA151" s="332"/>
      <c r="AB151" s="332"/>
      <c r="AC151" s="332"/>
      <c r="AD151" s="332"/>
      <c r="AE151" s="332"/>
    </row>
    <row r="152" spans="1:31" x14ac:dyDescent="0.25">
      <c r="A152" s="527">
        <f>ROW()</f>
        <v>152</v>
      </c>
      <c r="B152" s="658"/>
      <c r="C152" s="659"/>
      <c r="D152" s="659"/>
      <c r="E152" s="662"/>
      <c r="F152" s="662"/>
      <c r="G152" s="618"/>
      <c r="H152" s="618"/>
      <c r="I152" s="618"/>
      <c r="J152" s="618"/>
      <c r="K152" s="618"/>
      <c r="L152" s="618"/>
      <c r="M152" s="618"/>
      <c r="O152" s="104"/>
      <c r="Q152" s="332"/>
      <c r="R152" s="332"/>
      <c r="S152" s="332"/>
      <c r="T152" s="332"/>
      <c r="U152" s="332"/>
      <c r="V152" s="332"/>
      <c r="W152" s="332"/>
      <c r="X152" s="332"/>
      <c r="Y152" s="332"/>
      <c r="Z152" s="332"/>
      <c r="AA152" s="332"/>
      <c r="AB152" s="332"/>
      <c r="AC152" s="332"/>
      <c r="AD152" s="332"/>
      <c r="AE152" s="332"/>
    </row>
    <row r="153" spans="1:31" x14ac:dyDescent="0.25">
      <c r="A153" s="527">
        <f>ROW()</f>
        <v>153</v>
      </c>
      <c r="B153" s="655" t="s">
        <v>583</v>
      </c>
      <c r="C153" s="612" t="s">
        <v>574</v>
      </c>
      <c r="D153" s="612">
        <v>2025</v>
      </c>
      <c r="E153" s="656">
        <v>102028</v>
      </c>
      <c r="F153" s="657" t="s">
        <v>584</v>
      </c>
      <c r="G153" s="615">
        <v>3</v>
      </c>
      <c r="H153" s="615">
        <v>3</v>
      </c>
      <c r="I153" s="615">
        <v>3</v>
      </c>
      <c r="J153" s="615">
        <v>3</v>
      </c>
      <c r="K153" s="615">
        <v>3</v>
      </c>
      <c r="L153" s="615">
        <v>3</v>
      </c>
      <c r="M153" s="615">
        <v>3</v>
      </c>
      <c r="O153" s="104"/>
      <c r="Q153" s="332"/>
      <c r="R153" s="332"/>
      <c r="S153" s="332"/>
      <c r="T153" s="332"/>
      <c r="U153" s="332"/>
      <c r="V153" s="332"/>
      <c r="W153" s="332"/>
      <c r="X153" s="332"/>
      <c r="Y153" s="332"/>
      <c r="Z153" s="332"/>
      <c r="AA153" s="332"/>
      <c r="AB153" s="332"/>
      <c r="AC153" s="332"/>
      <c r="AD153" s="332"/>
      <c r="AE153" s="332"/>
    </row>
    <row r="154" spans="1:31" x14ac:dyDescent="0.25">
      <c r="A154" s="527">
        <f>ROW()</f>
        <v>154</v>
      </c>
      <c r="B154" s="655" t="s">
        <v>585</v>
      </c>
      <c r="C154" s="612" t="s">
        <v>574</v>
      </c>
      <c r="D154" s="612">
        <v>2025</v>
      </c>
      <c r="E154" s="613">
        <v>68376</v>
      </c>
      <c r="F154" s="657" t="s">
        <v>586</v>
      </c>
      <c r="G154" s="615">
        <f t="shared" ref="G154:M156" si="31">IF($D154&lt;=G$10,1,0)</f>
        <v>1</v>
      </c>
      <c r="H154" s="615">
        <f t="shared" si="31"/>
        <v>1</v>
      </c>
      <c r="I154" s="615">
        <f t="shared" si="31"/>
        <v>1</v>
      </c>
      <c r="J154" s="615">
        <f t="shared" si="31"/>
        <v>1</v>
      </c>
      <c r="K154" s="615">
        <f t="shared" si="31"/>
        <v>1</v>
      </c>
      <c r="L154" s="615">
        <f t="shared" si="31"/>
        <v>1</v>
      </c>
      <c r="M154" s="615">
        <f t="shared" si="31"/>
        <v>1</v>
      </c>
      <c r="O154" s="104"/>
      <c r="Q154" s="332"/>
      <c r="R154" s="332"/>
      <c r="S154" s="332"/>
      <c r="T154" s="332"/>
      <c r="U154" s="332"/>
      <c r="V154" s="332"/>
      <c r="W154" s="332"/>
      <c r="X154" s="332"/>
      <c r="Y154" s="332"/>
      <c r="Z154" s="332"/>
      <c r="AA154" s="332"/>
      <c r="AB154" s="332"/>
      <c r="AC154" s="332"/>
      <c r="AD154" s="332"/>
      <c r="AE154" s="332"/>
    </row>
    <row r="155" spans="1:31" x14ac:dyDescent="0.25">
      <c r="A155" s="527">
        <f>ROW()</f>
        <v>155</v>
      </c>
      <c r="B155" s="655" t="s">
        <v>587</v>
      </c>
      <c r="C155" s="612" t="s">
        <v>588</v>
      </c>
      <c r="D155" s="612">
        <v>2025</v>
      </c>
      <c r="E155" s="613">
        <v>79979.166666666672</v>
      </c>
      <c r="F155" s="657" t="s">
        <v>575</v>
      </c>
      <c r="G155" s="615">
        <v>6</v>
      </c>
      <c r="H155" s="615">
        <v>6</v>
      </c>
      <c r="I155" s="615">
        <v>6</v>
      </c>
      <c r="J155" s="615">
        <v>6</v>
      </c>
      <c r="K155" s="615">
        <v>6</v>
      </c>
      <c r="L155" s="615">
        <v>6</v>
      </c>
      <c r="M155" s="615">
        <v>6</v>
      </c>
      <c r="O155" s="104"/>
      <c r="Q155" s="332"/>
      <c r="R155" s="332"/>
      <c r="S155" s="332"/>
      <c r="T155" s="332"/>
      <c r="U155" s="332"/>
      <c r="V155" s="332"/>
      <c r="W155" s="332"/>
      <c r="X155" s="332"/>
      <c r="Y155" s="332"/>
      <c r="Z155" s="332"/>
      <c r="AA155" s="332"/>
      <c r="AB155" s="332"/>
      <c r="AC155" s="332"/>
      <c r="AD155" s="332"/>
      <c r="AE155" s="332"/>
    </row>
    <row r="156" spans="1:31" x14ac:dyDescent="0.25">
      <c r="A156" s="527">
        <f>ROW()</f>
        <v>156</v>
      </c>
      <c r="B156" s="655" t="s">
        <v>589</v>
      </c>
      <c r="C156" s="612" t="s">
        <v>588</v>
      </c>
      <c r="D156" s="612">
        <v>2025</v>
      </c>
      <c r="E156" s="613">
        <v>84039</v>
      </c>
      <c r="F156" s="657" t="s">
        <v>590</v>
      </c>
      <c r="G156" s="615">
        <f t="shared" si="31"/>
        <v>1</v>
      </c>
      <c r="H156" s="615">
        <f t="shared" si="31"/>
        <v>1</v>
      </c>
      <c r="I156" s="615">
        <f t="shared" si="31"/>
        <v>1</v>
      </c>
      <c r="J156" s="615">
        <f t="shared" si="31"/>
        <v>1</v>
      </c>
      <c r="K156" s="615">
        <f t="shared" si="31"/>
        <v>1</v>
      </c>
      <c r="L156" s="615">
        <f t="shared" si="31"/>
        <v>1</v>
      </c>
      <c r="M156" s="615">
        <f t="shared" si="31"/>
        <v>1</v>
      </c>
      <c r="O156" s="104"/>
      <c r="Q156" s="332"/>
      <c r="R156" s="332"/>
      <c r="S156" s="332"/>
      <c r="T156" s="332"/>
      <c r="U156" s="332"/>
      <c r="V156" s="332"/>
      <c r="W156" s="332"/>
      <c r="X156" s="332"/>
      <c r="Y156" s="332"/>
      <c r="Z156" s="332"/>
      <c r="AA156" s="332"/>
      <c r="AB156" s="332"/>
      <c r="AC156" s="332"/>
      <c r="AD156" s="332"/>
      <c r="AE156" s="332"/>
    </row>
    <row r="157" spans="1:31" x14ac:dyDescent="0.25">
      <c r="A157" s="527">
        <f>ROW()</f>
        <v>157</v>
      </c>
      <c r="B157" s="655" t="s">
        <v>591</v>
      </c>
      <c r="C157" s="612" t="s">
        <v>588</v>
      </c>
      <c r="D157" s="612">
        <v>2025</v>
      </c>
      <c r="E157" s="613">
        <v>83170</v>
      </c>
      <c r="F157" s="657" t="s">
        <v>579</v>
      </c>
      <c r="G157" s="615">
        <v>6</v>
      </c>
      <c r="H157" s="615">
        <v>6</v>
      </c>
      <c r="I157" s="615">
        <v>6</v>
      </c>
      <c r="J157" s="615">
        <v>6</v>
      </c>
      <c r="K157" s="615">
        <v>6</v>
      </c>
      <c r="L157" s="615">
        <v>6</v>
      </c>
      <c r="M157" s="615">
        <v>6</v>
      </c>
      <c r="O157" s="104"/>
      <c r="Q157" s="332"/>
      <c r="R157" s="332"/>
      <c r="S157" s="332"/>
      <c r="T157" s="332"/>
      <c r="U157" s="332"/>
      <c r="V157" s="332"/>
      <c r="W157" s="332"/>
      <c r="X157" s="332"/>
      <c r="Y157" s="332"/>
      <c r="Z157" s="332"/>
      <c r="AA157" s="332"/>
      <c r="AB157" s="332"/>
      <c r="AC157" s="332"/>
      <c r="AD157" s="332"/>
      <c r="AE157" s="332"/>
    </row>
    <row r="158" spans="1:31" x14ac:dyDescent="0.25">
      <c r="A158" s="527">
        <f>ROW()</f>
        <v>158</v>
      </c>
      <c r="B158" s="658"/>
      <c r="C158" s="659"/>
      <c r="D158" s="661"/>
      <c r="E158" s="662"/>
      <c r="F158" s="662"/>
      <c r="G158" s="618"/>
      <c r="H158" s="618"/>
      <c r="I158" s="618"/>
      <c r="J158" s="618"/>
      <c r="K158" s="618"/>
      <c r="L158" s="618"/>
      <c r="M158" s="618"/>
      <c r="O158" s="104"/>
      <c r="Q158" s="332"/>
      <c r="R158" s="332"/>
      <c r="S158" s="332"/>
      <c r="T158" s="332"/>
      <c r="U158" s="332"/>
      <c r="V158" s="332"/>
      <c r="W158" s="332"/>
      <c r="X158" s="332"/>
      <c r="Y158" s="332"/>
      <c r="Z158" s="332"/>
      <c r="AA158" s="332"/>
      <c r="AB158" s="332"/>
      <c r="AC158" s="332"/>
      <c r="AD158" s="332"/>
      <c r="AE158" s="332"/>
    </row>
    <row r="159" spans="1:31" x14ac:dyDescent="0.25">
      <c r="A159" s="527">
        <f>ROW()</f>
        <v>159</v>
      </c>
      <c r="B159" s="655" t="s">
        <v>592</v>
      </c>
      <c r="C159" s="612" t="s">
        <v>588</v>
      </c>
      <c r="D159" s="612">
        <v>2025</v>
      </c>
      <c r="E159" s="656">
        <v>105799.5</v>
      </c>
      <c r="F159" s="657" t="s">
        <v>593</v>
      </c>
      <c r="G159" s="615">
        <v>2</v>
      </c>
      <c r="H159" s="615">
        <v>2</v>
      </c>
      <c r="I159" s="615">
        <v>2</v>
      </c>
      <c r="J159" s="615">
        <v>2</v>
      </c>
      <c r="K159" s="615">
        <v>2</v>
      </c>
      <c r="L159" s="615">
        <v>2</v>
      </c>
      <c r="M159" s="615">
        <v>2</v>
      </c>
      <c r="O159" s="104"/>
      <c r="Q159" s="332"/>
      <c r="R159" s="332"/>
      <c r="S159" s="332"/>
      <c r="T159" s="332"/>
      <c r="U159" s="332"/>
      <c r="V159" s="332"/>
      <c r="W159" s="332"/>
      <c r="X159" s="332"/>
      <c r="Y159" s="332"/>
      <c r="Z159" s="332"/>
      <c r="AA159" s="332"/>
      <c r="AB159" s="332"/>
      <c r="AC159" s="332"/>
      <c r="AD159" s="332"/>
      <c r="AE159" s="332"/>
    </row>
    <row r="160" spans="1:31" x14ac:dyDescent="0.25">
      <c r="A160" s="527">
        <f>ROW()</f>
        <v>160</v>
      </c>
      <c r="B160" s="655" t="s">
        <v>594</v>
      </c>
      <c r="C160" s="612" t="s">
        <v>588</v>
      </c>
      <c r="D160" s="612">
        <v>2025</v>
      </c>
      <c r="E160" s="613">
        <v>95529.2</v>
      </c>
      <c r="F160" s="657" t="s">
        <v>584</v>
      </c>
      <c r="G160" s="615">
        <v>5</v>
      </c>
      <c r="H160" s="615">
        <v>5</v>
      </c>
      <c r="I160" s="615">
        <v>5</v>
      </c>
      <c r="J160" s="615">
        <v>5</v>
      </c>
      <c r="K160" s="615">
        <v>5</v>
      </c>
      <c r="L160" s="615">
        <v>5</v>
      </c>
      <c r="M160" s="615">
        <v>5</v>
      </c>
      <c r="O160" s="104"/>
      <c r="Q160" s="332"/>
      <c r="R160" s="332"/>
      <c r="S160" s="332"/>
      <c r="T160" s="332"/>
      <c r="U160" s="332"/>
      <c r="V160" s="332"/>
      <c r="W160" s="332"/>
      <c r="X160" s="332"/>
      <c r="Y160" s="332"/>
      <c r="Z160" s="332"/>
      <c r="AA160" s="332"/>
      <c r="AB160" s="332"/>
      <c r="AC160" s="332"/>
      <c r="AD160" s="332"/>
      <c r="AE160" s="332"/>
    </row>
    <row r="161" spans="1:31" x14ac:dyDescent="0.25">
      <c r="A161" s="527">
        <f>ROW()</f>
        <v>161</v>
      </c>
      <c r="B161" s="655" t="s">
        <v>595</v>
      </c>
      <c r="C161" s="612" t="s">
        <v>588</v>
      </c>
      <c r="D161" s="612">
        <v>2025</v>
      </c>
      <c r="E161" s="613">
        <v>84041.5</v>
      </c>
      <c r="F161" s="657" t="s">
        <v>596</v>
      </c>
      <c r="G161" s="615">
        <v>2</v>
      </c>
      <c r="H161" s="615">
        <v>2</v>
      </c>
      <c r="I161" s="615">
        <v>2</v>
      </c>
      <c r="J161" s="615">
        <v>2</v>
      </c>
      <c r="K161" s="615">
        <v>2</v>
      </c>
      <c r="L161" s="615">
        <v>2</v>
      </c>
      <c r="M161" s="615">
        <v>2</v>
      </c>
      <c r="O161" s="104"/>
      <c r="Q161" s="332"/>
      <c r="R161" s="332"/>
      <c r="S161" s="332"/>
      <c r="T161" s="332"/>
      <c r="U161" s="332"/>
      <c r="V161" s="332"/>
      <c r="W161" s="332"/>
      <c r="X161" s="332"/>
      <c r="Y161" s="332"/>
      <c r="Z161" s="332"/>
      <c r="AA161" s="332"/>
      <c r="AB161" s="332"/>
      <c r="AC161" s="332"/>
      <c r="AD161" s="332"/>
      <c r="AE161" s="332"/>
    </row>
    <row r="162" spans="1:31" x14ac:dyDescent="0.25">
      <c r="A162" s="527">
        <f>ROW()</f>
        <v>162</v>
      </c>
      <c r="B162" s="655" t="s">
        <v>597</v>
      </c>
      <c r="C162" s="612" t="s">
        <v>588</v>
      </c>
      <c r="D162" s="612">
        <v>2025</v>
      </c>
      <c r="E162" s="613">
        <v>117114</v>
      </c>
      <c r="F162" s="657" t="s">
        <v>577</v>
      </c>
      <c r="G162" s="615">
        <f t="shared" ref="G162:M163" si="32">IF($D162&lt;=G$10,1,0)</f>
        <v>1</v>
      </c>
      <c r="H162" s="615">
        <f t="shared" si="32"/>
        <v>1</v>
      </c>
      <c r="I162" s="615">
        <f t="shared" si="32"/>
        <v>1</v>
      </c>
      <c r="J162" s="615">
        <f t="shared" si="32"/>
        <v>1</v>
      </c>
      <c r="K162" s="615">
        <f t="shared" si="32"/>
        <v>1</v>
      </c>
      <c r="L162" s="615">
        <f t="shared" si="32"/>
        <v>1</v>
      </c>
      <c r="M162" s="615">
        <f t="shared" si="32"/>
        <v>1</v>
      </c>
      <c r="O162" s="104"/>
      <c r="Q162" s="332"/>
      <c r="R162" s="332"/>
      <c r="S162" s="332"/>
      <c r="T162" s="332"/>
      <c r="U162" s="332"/>
      <c r="V162" s="332"/>
      <c r="W162" s="332"/>
      <c r="X162" s="332"/>
      <c r="Y162" s="332"/>
      <c r="Z162" s="332"/>
      <c r="AA162" s="332"/>
      <c r="AB162" s="332"/>
      <c r="AC162" s="332"/>
      <c r="AD162" s="332"/>
      <c r="AE162" s="332"/>
    </row>
    <row r="163" spans="1:31" x14ac:dyDescent="0.25">
      <c r="A163" s="527">
        <f>ROW()</f>
        <v>163</v>
      </c>
      <c r="B163" s="655" t="s">
        <v>598</v>
      </c>
      <c r="C163" s="612" t="s">
        <v>588</v>
      </c>
      <c r="D163" s="612">
        <v>2025</v>
      </c>
      <c r="E163" s="613">
        <v>64893</v>
      </c>
      <c r="F163" s="657" t="s">
        <v>599</v>
      </c>
      <c r="G163" s="615">
        <f t="shared" si="32"/>
        <v>1</v>
      </c>
      <c r="H163" s="615">
        <f t="shared" si="32"/>
        <v>1</v>
      </c>
      <c r="I163" s="615">
        <f t="shared" si="32"/>
        <v>1</v>
      </c>
      <c r="J163" s="615">
        <f t="shared" si="32"/>
        <v>1</v>
      </c>
      <c r="K163" s="615">
        <f t="shared" si="32"/>
        <v>1</v>
      </c>
      <c r="L163" s="615">
        <f t="shared" si="32"/>
        <v>1</v>
      </c>
      <c r="M163" s="615">
        <f t="shared" si="32"/>
        <v>1</v>
      </c>
      <c r="O163" s="104"/>
      <c r="Q163" s="332"/>
      <c r="R163" s="332"/>
      <c r="S163" s="332"/>
      <c r="T163" s="332"/>
      <c r="U163" s="332"/>
      <c r="V163" s="332"/>
      <c r="W163" s="332"/>
      <c r="X163" s="332"/>
      <c r="Y163" s="332"/>
      <c r="Z163" s="332"/>
      <c r="AA163" s="332"/>
      <c r="AB163" s="332"/>
      <c r="AC163" s="332"/>
      <c r="AD163" s="332"/>
      <c r="AE163" s="332"/>
    </row>
    <row r="164" spans="1:31" x14ac:dyDescent="0.25">
      <c r="A164" s="527">
        <f>ROW()</f>
        <v>164</v>
      </c>
      <c r="B164" s="658"/>
      <c r="C164" s="659"/>
      <c r="D164" s="659"/>
      <c r="E164" s="663"/>
      <c r="F164" s="663"/>
      <c r="G164" s="618"/>
      <c r="H164" s="618"/>
      <c r="I164" s="618"/>
      <c r="J164" s="618"/>
      <c r="K164" s="618"/>
      <c r="L164" s="618"/>
      <c r="M164" s="618"/>
      <c r="O164" s="104"/>
      <c r="Q164" s="332"/>
      <c r="R164" s="332"/>
      <c r="S164" s="332"/>
      <c r="T164" s="332"/>
      <c r="U164" s="332"/>
      <c r="V164" s="332"/>
      <c r="W164" s="332"/>
      <c r="X164" s="332"/>
      <c r="Y164" s="332"/>
      <c r="Z164" s="332"/>
      <c r="AA164" s="332"/>
      <c r="AB164" s="332"/>
      <c r="AC164" s="332"/>
      <c r="AD164" s="332"/>
      <c r="AE164" s="332"/>
    </row>
    <row r="165" spans="1:31" x14ac:dyDescent="0.25">
      <c r="A165" s="527">
        <f>ROW()</f>
        <v>165</v>
      </c>
      <c r="B165" s="655" t="s">
        <v>1394</v>
      </c>
      <c r="C165" s="612" t="s">
        <v>538</v>
      </c>
      <c r="D165" s="612">
        <v>2025</v>
      </c>
      <c r="E165" s="656">
        <v>100000</v>
      </c>
      <c r="F165" s="657" t="s">
        <v>570</v>
      </c>
      <c r="G165" s="615">
        <f t="shared" ref="G165:M169" si="33">IF($D165&lt;=G$10,1,0)</f>
        <v>1</v>
      </c>
      <c r="H165" s="615">
        <f t="shared" si="33"/>
        <v>1</v>
      </c>
      <c r="I165" s="615">
        <f t="shared" si="33"/>
        <v>1</v>
      </c>
      <c r="J165" s="615">
        <f t="shared" si="33"/>
        <v>1</v>
      </c>
      <c r="K165" s="615">
        <f t="shared" si="33"/>
        <v>1</v>
      </c>
      <c r="L165" s="615">
        <f t="shared" si="33"/>
        <v>1</v>
      </c>
      <c r="M165" s="615">
        <f t="shared" si="33"/>
        <v>1</v>
      </c>
      <c r="O165" s="104"/>
      <c r="Q165" s="332"/>
      <c r="R165" s="332"/>
      <c r="S165" s="332"/>
      <c r="T165" s="332"/>
      <c r="U165" s="332"/>
      <c r="V165" s="332"/>
      <c r="W165" s="332"/>
      <c r="X165" s="332"/>
      <c r="Y165" s="332"/>
      <c r="Z165" s="332"/>
      <c r="AA165" s="332"/>
      <c r="AB165" s="332"/>
      <c r="AC165" s="332"/>
      <c r="AD165" s="332"/>
      <c r="AE165" s="332"/>
    </row>
    <row r="166" spans="1:31" hidden="1" x14ac:dyDescent="0.25">
      <c r="A166" s="527">
        <f>ROW()</f>
        <v>166</v>
      </c>
      <c r="B166" s="655"/>
      <c r="C166" s="612" t="s">
        <v>538</v>
      </c>
      <c r="D166" s="612" t="s">
        <v>572</v>
      </c>
      <c r="E166" s="613">
        <v>0</v>
      </c>
      <c r="F166" s="657" t="s">
        <v>570</v>
      </c>
      <c r="G166" s="615">
        <f t="shared" si="33"/>
        <v>0</v>
      </c>
      <c r="H166" s="615">
        <f t="shared" si="33"/>
        <v>0</v>
      </c>
      <c r="I166" s="615">
        <f t="shared" si="33"/>
        <v>0</v>
      </c>
      <c r="J166" s="615">
        <f t="shared" si="33"/>
        <v>0</v>
      </c>
      <c r="K166" s="615">
        <f t="shared" si="33"/>
        <v>0</v>
      </c>
      <c r="L166" s="615">
        <f t="shared" si="33"/>
        <v>0</v>
      </c>
      <c r="M166" s="615">
        <f t="shared" si="33"/>
        <v>0</v>
      </c>
      <c r="O166" s="104"/>
      <c r="Q166" s="332"/>
      <c r="R166" s="332"/>
      <c r="S166" s="332"/>
      <c r="T166" s="332"/>
      <c r="U166" s="332"/>
      <c r="V166" s="332"/>
      <c r="W166" s="332"/>
      <c r="X166" s="332"/>
      <c r="Y166" s="332"/>
      <c r="Z166" s="332"/>
      <c r="AA166" s="332"/>
      <c r="AB166" s="332"/>
      <c r="AC166" s="332"/>
      <c r="AD166" s="332"/>
      <c r="AE166" s="332"/>
    </row>
    <row r="167" spans="1:31" hidden="1" x14ac:dyDescent="0.25">
      <c r="A167" s="527">
        <f>ROW()</f>
        <v>167</v>
      </c>
      <c r="B167" s="655"/>
      <c r="C167" s="612" t="s">
        <v>538</v>
      </c>
      <c r="D167" s="612" t="s">
        <v>572</v>
      </c>
      <c r="E167" s="613">
        <v>0</v>
      </c>
      <c r="F167" s="657" t="s">
        <v>570</v>
      </c>
      <c r="G167" s="615">
        <f t="shared" si="33"/>
        <v>0</v>
      </c>
      <c r="H167" s="615">
        <f t="shared" si="33"/>
        <v>0</v>
      </c>
      <c r="I167" s="615">
        <f t="shared" si="33"/>
        <v>0</v>
      </c>
      <c r="J167" s="615">
        <f t="shared" si="33"/>
        <v>0</v>
      </c>
      <c r="K167" s="615">
        <f t="shared" si="33"/>
        <v>0</v>
      </c>
      <c r="L167" s="615">
        <f t="shared" si="33"/>
        <v>0</v>
      </c>
      <c r="M167" s="615">
        <f t="shared" si="33"/>
        <v>0</v>
      </c>
      <c r="O167" s="104"/>
      <c r="Q167" s="332"/>
      <c r="R167" s="332"/>
      <c r="S167" s="332"/>
      <c r="T167" s="332"/>
      <c r="U167" s="332"/>
      <c r="V167" s="332"/>
      <c r="W167" s="332"/>
      <c r="X167" s="332"/>
      <c r="Y167" s="332"/>
      <c r="Z167" s="332"/>
      <c r="AA167" s="332"/>
      <c r="AB167" s="332"/>
      <c r="AC167" s="332"/>
      <c r="AD167" s="332"/>
      <c r="AE167" s="332"/>
    </row>
    <row r="168" spans="1:31" hidden="1" x14ac:dyDescent="0.25">
      <c r="A168" s="527">
        <f>ROW()</f>
        <v>168</v>
      </c>
      <c r="B168" s="655"/>
      <c r="C168" s="612" t="s">
        <v>538</v>
      </c>
      <c r="D168" s="612" t="s">
        <v>572</v>
      </c>
      <c r="E168" s="613">
        <v>0</v>
      </c>
      <c r="F168" s="657" t="s">
        <v>570</v>
      </c>
      <c r="G168" s="615">
        <f t="shared" si="33"/>
        <v>0</v>
      </c>
      <c r="H168" s="615">
        <f t="shared" si="33"/>
        <v>0</v>
      </c>
      <c r="I168" s="615">
        <f t="shared" si="33"/>
        <v>0</v>
      </c>
      <c r="J168" s="615">
        <f t="shared" si="33"/>
        <v>0</v>
      </c>
      <c r="K168" s="615">
        <f t="shared" si="33"/>
        <v>0</v>
      </c>
      <c r="L168" s="615">
        <f t="shared" si="33"/>
        <v>0</v>
      </c>
      <c r="M168" s="615">
        <f t="shared" si="33"/>
        <v>0</v>
      </c>
      <c r="O168" s="104"/>
      <c r="Q168" s="332"/>
      <c r="R168" s="332"/>
      <c r="S168" s="332"/>
      <c r="T168" s="332"/>
      <c r="U168" s="332"/>
      <c r="V168" s="332"/>
      <c r="W168" s="332"/>
      <c r="X168" s="332"/>
      <c r="Y168" s="332"/>
      <c r="Z168" s="332"/>
      <c r="AA168" s="332"/>
      <c r="AB168" s="332"/>
      <c r="AC168" s="332"/>
      <c r="AD168" s="332"/>
      <c r="AE168" s="332"/>
    </row>
    <row r="169" spans="1:31" hidden="1" x14ac:dyDescent="0.25">
      <c r="A169" s="527">
        <f>ROW()</f>
        <v>169</v>
      </c>
      <c r="B169" s="655"/>
      <c r="C169" s="612" t="s">
        <v>538</v>
      </c>
      <c r="D169" s="612" t="s">
        <v>572</v>
      </c>
      <c r="E169" s="613">
        <v>0</v>
      </c>
      <c r="F169" s="657"/>
      <c r="G169" s="615">
        <f t="shared" si="33"/>
        <v>0</v>
      </c>
      <c r="H169" s="615">
        <f t="shared" si="33"/>
        <v>0</v>
      </c>
      <c r="I169" s="615">
        <f t="shared" si="33"/>
        <v>0</v>
      </c>
      <c r="J169" s="615">
        <f t="shared" si="33"/>
        <v>0</v>
      </c>
      <c r="K169" s="615">
        <f t="shared" si="33"/>
        <v>0</v>
      </c>
      <c r="L169" s="615">
        <f t="shared" si="33"/>
        <v>0</v>
      </c>
      <c r="M169" s="615">
        <f t="shared" si="33"/>
        <v>0</v>
      </c>
      <c r="O169" s="104"/>
      <c r="Q169" s="332"/>
      <c r="R169" s="332"/>
      <c r="S169" s="332"/>
      <c r="T169" s="332"/>
      <c r="U169" s="332"/>
      <c r="V169" s="332"/>
      <c r="W169" s="332"/>
      <c r="X169" s="332"/>
      <c r="Y169" s="332"/>
      <c r="Z169" s="332"/>
      <c r="AA169" s="332"/>
      <c r="AB169" s="332"/>
      <c r="AC169" s="332"/>
      <c r="AD169" s="332"/>
      <c r="AE169" s="332"/>
    </row>
    <row r="170" spans="1:31" hidden="1" x14ac:dyDescent="0.25">
      <c r="A170" s="527">
        <f>ROW()</f>
        <v>170</v>
      </c>
      <c r="B170" s="658"/>
      <c r="C170" s="659"/>
      <c r="D170" s="661"/>
      <c r="E170" s="662"/>
      <c r="F170" s="663"/>
      <c r="G170" s="618"/>
      <c r="H170" s="618"/>
      <c r="I170" s="618"/>
      <c r="J170" s="618"/>
      <c r="K170" s="618"/>
      <c r="L170" s="618"/>
      <c r="M170" s="618"/>
      <c r="O170" s="104"/>
      <c r="Q170" s="332"/>
      <c r="R170" s="332"/>
      <c r="S170" s="332"/>
      <c r="T170" s="332"/>
      <c r="U170" s="332"/>
      <c r="V170" s="332"/>
      <c r="W170" s="332"/>
      <c r="X170" s="332"/>
      <c r="Y170" s="332"/>
      <c r="Z170" s="332"/>
      <c r="AA170" s="332"/>
      <c r="AB170" s="332"/>
      <c r="AC170" s="332"/>
      <c r="AD170" s="332"/>
      <c r="AE170" s="332"/>
    </row>
    <row r="171" spans="1:31" hidden="1" x14ac:dyDescent="0.25">
      <c r="A171" s="527">
        <f>ROW()</f>
        <v>171</v>
      </c>
      <c r="B171" s="655"/>
      <c r="C171" s="612" t="s">
        <v>538</v>
      </c>
      <c r="D171" s="612" t="s">
        <v>572</v>
      </c>
      <c r="E171" s="656">
        <v>0</v>
      </c>
      <c r="F171" s="657" t="s">
        <v>570</v>
      </c>
      <c r="G171" s="615">
        <f t="shared" ref="G171:M175" si="34">IF($D171&lt;=G$10,1,0)</f>
        <v>0</v>
      </c>
      <c r="H171" s="615">
        <f t="shared" si="34"/>
        <v>0</v>
      </c>
      <c r="I171" s="615">
        <f t="shared" si="34"/>
        <v>0</v>
      </c>
      <c r="J171" s="615">
        <f t="shared" si="34"/>
        <v>0</v>
      </c>
      <c r="K171" s="615">
        <f t="shared" si="34"/>
        <v>0</v>
      </c>
      <c r="L171" s="615">
        <f t="shared" si="34"/>
        <v>0</v>
      </c>
      <c r="M171" s="615">
        <f t="shared" si="34"/>
        <v>0</v>
      </c>
      <c r="O171" s="104"/>
      <c r="Q171" s="332"/>
      <c r="R171" s="332"/>
      <c r="S171" s="332"/>
      <c r="T171" s="332"/>
      <c r="U171" s="332"/>
      <c r="V171" s="332"/>
      <c r="W171" s="332"/>
      <c r="X171" s="332"/>
      <c r="Y171" s="332"/>
      <c r="Z171" s="332"/>
      <c r="AA171" s="332"/>
      <c r="AB171" s="332"/>
      <c r="AC171" s="332"/>
      <c r="AD171" s="332"/>
      <c r="AE171" s="332"/>
    </row>
    <row r="172" spans="1:31" hidden="1" x14ac:dyDescent="0.25">
      <c r="A172" s="527">
        <f>ROW()</f>
        <v>172</v>
      </c>
      <c r="B172" s="655"/>
      <c r="C172" s="612" t="s">
        <v>538</v>
      </c>
      <c r="D172" s="612" t="s">
        <v>572</v>
      </c>
      <c r="E172" s="613">
        <v>0</v>
      </c>
      <c r="F172" s="657" t="s">
        <v>570</v>
      </c>
      <c r="G172" s="615">
        <f t="shared" si="34"/>
        <v>0</v>
      </c>
      <c r="H172" s="615">
        <f t="shared" si="34"/>
        <v>0</v>
      </c>
      <c r="I172" s="615">
        <f t="shared" si="34"/>
        <v>0</v>
      </c>
      <c r="J172" s="615">
        <f t="shared" si="34"/>
        <v>0</v>
      </c>
      <c r="K172" s="615">
        <f t="shared" si="34"/>
        <v>0</v>
      </c>
      <c r="L172" s="615">
        <f t="shared" si="34"/>
        <v>0</v>
      </c>
      <c r="M172" s="615">
        <f t="shared" si="34"/>
        <v>0</v>
      </c>
      <c r="O172" s="104"/>
      <c r="Q172" s="332"/>
      <c r="R172" s="332"/>
      <c r="S172" s="332"/>
      <c r="T172" s="332"/>
      <c r="U172" s="332"/>
      <c r="V172" s="332"/>
      <c r="W172" s="332"/>
      <c r="X172" s="332"/>
      <c r="Y172" s="332"/>
      <c r="Z172" s="332"/>
      <c r="AA172" s="332"/>
      <c r="AB172" s="332"/>
      <c r="AC172" s="332"/>
      <c r="AD172" s="332"/>
      <c r="AE172" s="332"/>
    </row>
    <row r="173" spans="1:31" hidden="1" x14ac:dyDescent="0.25">
      <c r="A173" s="527">
        <f>ROW()</f>
        <v>173</v>
      </c>
      <c r="B173" s="655"/>
      <c r="C173" s="612" t="s">
        <v>538</v>
      </c>
      <c r="D173" s="612" t="s">
        <v>572</v>
      </c>
      <c r="E173" s="613">
        <v>0</v>
      </c>
      <c r="F173" s="657" t="s">
        <v>570</v>
      </c>
      <c r="G173" s="615">
        <f t="shared" si="34"/>
        <v>0</v>
      </c>
      <c r="H173" s="615">
        <f t="shared" si="34"/>
        <v>0</v>
      </c>
      <c r="I173" s="615">
        <f t="shared" si="34"/>
        <v>0</v>
      </c>
      <c r="J173" s="615">
        <f t="shared" si="34"/>
        <v>0</v>
      </c>
      <c r="K173" s="615">
        <f t="shared" si="34"/>
        <v>0</v>
      </c>
      <c r="L173" s="615">
        <f t="shared" si="34"/>
        <v>0</v>
      </c>
      <c r="M173" s="615">
        <f t="shared" si="34"/>
        <v>0</v>
      </c>
      <c r="O173" s="104"/>
      <c r="Q173" s="332"/>
      <c r="R173" s="332"/>
      <c r="S173" s="332"/>
      <c r="T173" s="332"/>
      <c r="U173" s="332"/>
      <c r="V173" s="332"/>
      <c r="W173" s="332"/>
      <c r="X173" s="332"/>
      <c r="Y173" s="332"/>
      <c r="Z173" s="332"/>
      <c r="AA173" s="332"/>
      <c r="AB173" s="332"/>
      <c r="AC173" s="332"/>
      <c r="AD173" s="332"/>
      <c r="AE173" s="332"/>
    </row>
    <row r="174" spans="1:31" hidden="1" x14ac:dyDescent="0.25">
      <c r="A174" s="527">
        <f>ROW()</f>
        <v>174</v>
      </c>
      <c r="B174" s="655"/>
      <c r="C174" s="612" t="s">
        <v>538</v>
      </c>
      <c r="D174" s="612" t="s">
        <v>572</v>
      </c>
      <c r="E174" s="613">
        <v>0</v>
      </c>
      <c r="F174" s="657" t="s">
        <v>570</v>
      </c>
      <c r="G174" s="615">
        <f t="shared" si="34"/>
        <v>0</v>
      </c>
      <c r="H174" s="615">
        <f t="shared" si="34"/>
        <v>0</v>
      </c>
      <c r="I174" s="615">
        <f t="shared" si="34"/>
        <v>0</v>
      </c>
      <c r="J174" s="615">
        <f t="shared" si="34"/>
        <v>0</v>
      </c>
      <c r="K174" s="615">
        <f t="shared" si="34"/>
        <v>0</v>
      </c>
      <c r="L174" s="615">
        <f t="shared" si="34"/>
        <v>0</v>
      </c>
      <c r="M174" s="615">
        <f t="shared" si="34"/>
        <v>0</v>
      </c>
      <c r="O174" s="104"/>
      <c r="Q174" s="332"/>
      <c r="R174" s="332"/>
      <c r="S174" s="332"/>
      <c r="T174" s="332"/>
      <c r="U174" s="332"/>
      <c r="V174" s="332"/>
      <c r="W174" s="332"/>
      <c r="X174" s="332"/>
      <c r="Y174" s="332"/>
      <c r="Z174" s="332"/>
      <c r="AA174" s="332"/>
      <c r="AB174" s="332"/>
      <c r="AC174" s="332"/>
      <c r="AD174" s="332"/>
      <c r="AE174" s="332"/>
    </row>
    <row r="175" spans="1:31" hidden="1" x14ac:dyDescent="0.25">
      <c r="A175" s="527">
        <f>ROW()</f>
        <v>175</v>
      </c>
      <c r="B175" s="655"/>
      <c r="C175" s="612" t="s">
        <v>538</v>
      </c>
      <c r="D175" s="612" t="s">
        <v>572</v>
      </c>
      <c r="E175" s="613">
        <v>0</v>
      </c>
      <c r="F175" s="657"/>
      <c r="G175" s="615">
        <f t="shared" si="34"/>
        <v>0</v>
      </c>
      <c r="H175" s="615">
        <f t="shared" si="34"/>
        <v>0</v>
      </c>
      <c r="I175" s="615">
        <f t="shared" si="34"/>
        <v>0</v>
      </c>
      <c r="J175" s="615">
        <f t="shared" si="34"/>
        <v>0</v>
      </c>
      <c r="K175" s="615">
        <f t="shared" si="34"/>
        <v>0</v>
      </c>
      <c r="L175" s="615">
        <f t="shared" si="34"/>
        <v>0</v>
      </c>
      <c r="M175" s="615">
        <f t="shared" si="34"/>
        <v>0</v>
      </c>
      <c r="O175" s="104"/>
      <c r="Q175" s="332"/>
      <c r="R175" s="332"/>
      <c r="S175" s="332"/>
      <c r="T175" s="332"/>
      <c r="U175" s="332"/>
      <c r="V175" s="332"/>
      <c r="W175" s="332"/>
      <c r="X175" s="332"/>
      <c r="Y175" s="332"/>
      <c r="Z175" s="332"/>
      <c r="AA175" s="332"/>
      <c r="AB175" s="332"/>
      <c r="AC175" s="332"/>
      <c r="AD175" s="332"/>
      <c r="AE175" s="332"/>
    </row>
    <row r="176" spans="1:31" hidden="1" x14ac:dyDescent="0.25">
      <c r="A176" s="527">
        <f>ROW()</f>
        <v>176</v>
      </c>
      <c r="B176" s="658"/>
      <c r="C176" s="659"/>
      <c r="D176" s="659"/>
      <c r="E176" s="662"/>
      <c r="F176" s="663"/>
      <c r="G176" s="618"/>
      <c r="H176" s="618"/>
      <c r="I176" s="618"/>
      <c r="J176" s="618"/>
      <c r="K176" s="618"/>
      <c r="L176" s="618"/>
      <c r="M176" s="618"/>
      <c r="O176" s="104"/>
      <c r="Q176" s="332"/>
      <c r="R176" s="332"/>
      <c r="S176" s="332"/>
      <c r="T176" s="332"/>
      <c r="U176" s="332"/>
      <c r="V176" s="332"/>
      <c r="W176" s="332"/>
      <c r="X176" s="332"/>
      <c r="Y176" s="332"/>
      <c r="Z176" s="332"/>
      <c r="AA176" s="332"/>
      <c r="AB176" s="332"/>
      <c r="AC176" s="332"/>
      <c r="AD176" s="332"/>
      <c r="AE176" s="332"/>
    </row>
    <row r="177" spans="1:31" hidden="1" x14ac:dyDescent="0.25">
      <c r="A177" s="527">
        <f>ROW()</f>
        <v>177</v>
      </c>
      <c r="B177" s="655"/>
      <c r="C177" s="612" t="s">
        <v>538</v>
      </c>
      <c r="D177" s="612" t="s">
        <v>572</v>
      </c>
      <c r="E177" s="656">
        <v>0</v>
      </c>
      <c r="F177" s="657" t="s">
        <v>570</v>
      </c>
      <c r="G177" s="615">
        <f t="shared" ref="G177:M181" si="35">IF($D177&lt;=G$10,1,0)</f>
        <v>0</v>
      </c>
      <c r="H177" s="615">
        <f t="shared" si="35"/>
        <v>0</v>
      </c>
      <c r="I177" s="615">
        <f t="shared" si="35"/>
        <v>0</v>
      </c>
      <c r="J177" s="615">
        <f t="shared" si="35"/>
        <v>0</v>
      </c>
      <c r="K177" s="615">
        <f t="shared" si="35"/>
        <v>0</v>
      </c>
      <c r="L177" s="615">
        <f t="shared" si="35"/>
        <v>0</v>
      </c>
      <c r="M177" s="615">
        <f t="shared" si="35"/>
        <v>0</v>
      </c>
      <c r="O177" s="104"/>
      <c r="Q177" s="332"/>
      <c r="R177" s="332"/>
      <c r="S177" s="332"/>
      <c r="T177" s="332"/>
      <c r="U177" s="332"/>
      <c r="V177" s="332"/>
      <c r="W177" s="332"/>
      <c r="X177" s="332"/>
      <c r="Y177" s="332"/>
      <c r="Z177" s="332"/>
      <c r="AA177" s="332"/>
      <c r="AB177" s="332"/>
      <c r="AC177" s="332"/>
      <c r="AD177" s="332"/>
      <c r="AE177" s="332"/>
    </row>
    <row r="178" spans="1:31" hidden="1" x14ac:dyDescent="0.25">
      <c r="A178" s="527">
        <f>ROW()</f>
        <v>178</v>
      </c>
      <c r="B178" s="655"/>
      <c r="C178" s="612" t="s">
        <v>538</v>
      </c>
      <c r="D178" s="612" t="s">
        <v>572</v>
      </c>
      <c r="E178" s="613">
        <v>0</v>
      </c>
      <c r="F178" s="657" t="s">
        <v>570</v>
      </c>
      <c r="G178" s="615">
        <f t="shared" si="35"/>
        <v>0</v>
      </c>
      <c r="H178" s="615">
        <f t="shared" si="35"/>
        <v>0</v>
      </c>
      <c r="I178" s="615">
        <f t="shared" si="35"/>
        <v>0</v>
      </c>
      <c r="J178" s="615">
        <f t="shared" si="35"/>
        <v>0</v>
      </c>
      <c r="K178" s="615">
        <f t="shared" si="35"/>
        <v>0</v>
      </c>
      <c r="L178" s="615">
        <f t="shared" si="35"/>
        <v>0</v>
      </c>
      <c r="M178" s="615">
        <f t="shared" si="35"/>
        <v>0</v>
      </c>
      <c r="O178" s="104"/>
      <c r="Q178" s="332"/>
      <c r="R178" s="332"/>
      <c r="S178" s="332"/>
      <c r="T178" s="332"/>
      <c r="U178" s="332"/>
      <c r="V178" s="332"/>
      <c r="W178" s="332"/>
      <c r="X178" s="332"/>
      <c r="Y178" s="332"/>
      <c r="Z178" s="332"/>
      <c r="AA178" s="332"/>
      <c r="AB178" s="332"/>
      <c r="AC178" s="332"/>
      <c r="AD178" s="332"/>
      <c r="AE178" s="332"/>
    </row>
    <row r="179" spans="1:31" hidden="1" x14ac:dyDescent="0.25">
      <c r="A179" s="527">
        <f>ROW()</f>
        <v>179</v>
      </c>
      <c r="B179" s="655"/>
      <c r="C179" s="612" t="s">
        <v>538</v>
      </c>
      <c r="D179" s="612" t="s">
        <v>572</v>
      </c>
      <c r="E179" s="613">
        <v>0</v>
      </c>
      <c r="F179" s="657" t="s">
        <v>570</v>
      </c>
      <c r="G179" s="615">
        <f t="shared" si="35"/>
        <v>0</v>
      </c>
      <c r="H179" s="615">
        <f t="shared" si="35"/>
        <v>0</v>
      </c>
      <c r="I179" s="615">
        <f t="shared" si="35"/>
        <v>0</v>
      </c>
      <c r="J179" s="615">
        <f t="shared" si="35"/>
        <v>0</v>
      </c>
      <c r="K179" s="615">
        <f t="shared" si="35"/>
        <v>0</v>
      </c>
      <c r="L179" s="615">
        <f t="shared" si="35"/>
        <v>0</v>
      </c>
      <c r="M179" s="615">
        <f t="shared" si="35"/>
        <v>0</v>
      </c>
      <c r="O179" s="104"/>
      <c r="Q179" s="332"/>
      <c r="R179" s="332"/>
      <c r="S179" s="332"/>
      <c r="T179" s="332"/>
      <c r="U179" s="332"/>
      <c r="V179" s="332"/>
      <c r="W179" s="332"/>
      <c r="X179" s="332"/>
      <c r="Y179" s="332"/>
      <c r="Z179" s="332"/>
      <c r="AA179" s="332"/>
      <c r="AB179" s="332"/>
      <c r="AC179" s="332"/>
      <c r="AD179" s="332"/>
      <c r="AE179" s="332"/>
    </row>
    <row r="180" spans="1:31" hidden="1" x14ac:dyDescent="0.25">
      <c r="A180" s="527">
        <f>ROW()</f>
        <v>180</v>
      </c>
      <c r="B180" s="655"/>
      <c r="C180" s="612" t="s">
        <v>538</v>
      </c>
      <c r="D180" s="612" t="s">
        <v>572</v>
      </c>
      <c r="E180" s="613">
        <v>0</v>
      </c>
      <c r="F180" s="657" t="s">
        <v>570</v>
      </c>
      <c r="G180" s="615">
        <f t="shared" si="35"/>
        <v>0</v>
      </c>
      <c r="H180" s="615">
        <f t="shared" si="35"/>
        <v>0</v>
      </c>
      <c r="I180" s="615">
        <f t="shared" si="35"/>
        <v>0</v>
      </c>
      <c r="J180" s="615">
        <f t="shared" si="35"/>
        <v>0</v>
      </c>
      <c r="K180" s="615">
        <f t="shared" si="35"/>
        <v>0</v>
      </c>
      <c r="L180" s="615">
        <f t="shared" si="35"/>
        <v>0</v>
      </c>
      <c r="M180" s="615">
        <f t="shared" si="35"/>
        <v>0</v>
      </c>
      <c r="O180" s="104"/>
      <c r="Q180" s="332"/>
      <c r="R180" s="332"/>
      <c r="S180" s="332"/>
      <c r="T180" s="332"/>
      <c r="U180" s="332"/>
      <c r="V180" s="332"/>
      <c r="W180" s="332"/>
      <c r="X180" s="332"/>
      <c r="Y180" s="332"/>
      <c r="Z180" s="332"/>
      <c r="AA180" s="332"/>
      <c r="AB180" s="332"/>
      <c r="AC180" s="332"/>
      <c r="AD180" s="332"/>
      <c r="AE180" s="332"/>
    </row>
    <row r="181" spans="1:31" hidden="1" x14ac:dyDescent="0.25">
      <c r="A181" s="527">
        <f>ROW()</f>
        <v>181</v>
      </c>
      <c r="B181" s="655"/>
      <c r="C181" s="612" t="s">
        <v>538</v>
      </c>
      <c r="D181" s="612" t="s">
        <v>572</v>
      </c>
      <c r="E181" s="613">
        <v>0</v>
      </c>
      <c r="F181" s="657"/>
      <c r="G181" s="615">
        <f t="shared" si="35"/>
        <v>0</v>
      </c>
      <c r="H181" s="615">
        <f t="shared" si="35"/>
        <v>0</v>
      </c>
      <c r="I181" s="615">
        <f t="shared" si="35"/>
        <v>0</v>
      </c>
      <c r="J181" s="615">
        <f t="shared" si="35"/>
        <v>0</v>
      </c>
      <c r="K181" s="615">
        <f t="shared" si="35"/>
        <v>0</v>
      </c>
      <c r="L181" s="615">
        <f t="shared" si="35"/>
        <v>0</v>
      </c>
      <c r="M181" s="615">
        <f t="shared" si="35"/>
        <v>0</v>
      </c>
      <c r="O181" s="104"/>
      <c r="Q181" s="332"/>
      <c r="R181" s="332"/>
      <c r="S181" s="332"/>
      <c r="T181" s="332"/>
      <c r="U181" s="332"/>
      <c r="V181" s="332"/>
      <c r="W181" s="332"/>
      <c r="X181" s="332"/>
      <c r="Y181" s="332"/>
      <c r="Z181" s="332"/>
      <c r="AA181" s="332"/>
      <c r="AB181" s="332"/>
      <c r="AC181" s="332"/>
      <c r="AD181" s="332"/>
      <c r="AE181" s="332"/>
    </row>
    <row r="182" spans="1:31" hidden="1" x14ac:dyDescent="0.25">
      <c r="A182" s="527">
        <f>ROW()</f>
        <v>182</v>
      </c>
      <c r="B182" s="658"/>
      <c r="C182" s="663"/>
      <c r="D182" s="661"/>
      <c r="E182" s="662"/>
      <c r="F182" s="663"/>
      <c r="G182" s="618"/>
      <c r="H182" s="618"/>
      <c r="I182" s="618"/>
      <c r="J182" s="618"/>
      <c r="K182" s="618"/>
      <c r="L182" s="618"/>
      <c r="M182" s="618"/>
      <c r="O182" s="104"/>
      <c r="Q182" s="332"/>
      <c r="R182" s="332"/>
      <c r="S182" s="332"/>
      <c r="T182" s="332"/>
      <c r="U182" s="332"/>
      <c r="V182" s="332"/>
      <c r="W182" s="332"/>
      <c r="X182" s="332"/>
      <c r="Y182" s="332"/>
      <c r="Z182" s="332"/>
      <c r="AA182" s="332"/>
      <c r="AB182" s="332"/>
      <c r="AC182" s="332"/>
      <c r="AD182" s="332"/>
      <c r="AE182" s="332"/>
    </row>
    <row r="183" spans="1:31" hidden="1" x14ac:dyDescent="0.25">
      <c r="A183" s="527">
        <f>ROW()</f>
        <v>183</v>
      </c>
      <c r="B183" s="655"/>
      <c r="C183" s="612" t="s">
        <v>538</v>
      </c>
      <c r="D183" s="612" t="s">
        <v>572</v>
      </c>
      <c r="E183" s="656">
        <v>0</v>
      </c>
      <c r="F183" s="657" t="s">
        <v>570</v>
      </c>
      <c r="G183" s="615">
        <f t="shared" ref="G183:M187" si="36">IF($D183&lt;=G$10,1,0)</f>
        <v>0</v>
      </c>
      <c r="H183" s="615">
        <f t="shared" si="36"/>
        <v>0</v>
      </c>
      <c r="I183" s="615">
        <f t="shared" si="36"/>
        <v>0</v>
      </c>
      <c r="J183" s="615">
        <f t="shared" si="36"/>
        <v>0</v>
      </c>
      <c r="K183" s="615">
        <f t="shared" si="36"/>
        <v>0</v>
      </c>
      <c r="L183" s="615">
        <f t="shared" si="36"/>
        <v>0</v>
      </c>
      <c r="M183" s="615">
        <f t="shared" si="36"/>
        <v>0</v>
      </c>
      <c r="O183" s="104"/>
      <c r="Q183" s="332"/>
      <c r="R183" s="332"/>
      <c r="S183" s="332"/>
      <c r="T183" s="332"/>
      <c r="U183" s="332"/>
      <c r="V183" s="332"/>
      <c r="W183" s="332"/>
      <c r="X183" s="332"/>
      <c r="Y183" s="332"/>
      <c r="Z183" s="332"/>
      <c r="AA183" s="332"/>
      <c r="AB183" s="332"/>
      <c r="AC183" s="332"/>
      <c r="AD183" s="332"/>
      <c r="AE183" s="332"/>
    </row>
    <row r="184" spans="1:31" hidden="1" x14ac:dyDescent="0.25">
      <c r="A184" s="527">
        <f>ROW()</f>
        <v>184</v>
      </c>
      <c r="B184" s="655"/>
      <c r="C184" s="612" t="s">
        <v>538</v>
      </c>
      <c r="D184" s="612" t="s">
        <v>572</v>
      </c>
      <c r="E184" s="613">
        <v>0</v>
      </c>
      <c r="F184" s="657" t="s">
        <v>570</v>
      </c>
      <c r="G184" s="615">
        <f t="shared" si="36"/>
        <v>0</v>
      </c>
      <c r="H184" s="615">
        <f t="shared" si="36"/>
        <v>0</v>
      </c>
      <c r="I184" s="615">
        <f t="shared" si="36"/>
        <v>0</v>
      </c>
      <c r="J184" s="615">
        <f t="shared" si="36"/>
        <v>0</v>
      </c>
      <c r="K184" s="615">
        <f t="shared" si="36"/>
        <v>0</v>
      </c>
      <c r="L184" s="615">
        <f t="shared" si="36"/>
        <v>0</v>
      </c>
      <c r="M184" s="615">
        <f t="shared" si="36"/>
        <v>0</v>
      </c>
      <c r="O184" s="104"/>
      <c r="Q184" s="332"/>
      <c r="R184" s="332"/>
      <c r="S184" s="332"/>
      <c r="T184" s="332"/>
      <c r="U184" s="332"/>
      <c r="V184" s="332"/>
      <c r="W184" s="332"/>
      <c r="X184" s="332"/>
      <c r="Y184" s="332"/>
      <c r="Z184" s="332"/>
      <c r="AA184" s="332"/>
      <c r="AB184" s="332"/>
      <c r="AC184" s="332"/>
      <c r="AD184" s="332"/>
      <c r="AE184" s="332"/>
    </row>
    <row r="185" spans="1:31" hidden="1" x14ac:dyDescent="0.25">
      <c r="A185" s="527">
        <f>ROW()</f>
        <v>185</v>
      </c>
      <c r="B185" s="655"/>
      <c r="C185" s="612" t="s">
        <v>538</v>
      </c>
      <c r="D185" s="612" t="s">
        <v>572</v>
      </c>
      <c r="E185" s="613">
        <v>0</v>
      </c>
      <c r="F185" s="657" t="s">
        <v>570</v>
      </c>
      <c r="G185" s="615">
        <f t="shared" si="36"/>
        <v>0</v>
      </c>
      <c r="H185" s="615">
        <f t="shared" si="36"/>
        <v>0</v>
      </c>
      <c r="I185" s="615">
        <f t="shared" si="36"/>
        <v>0</v>
      </c>
      <c r="J185" s="615">
        <f t="shared" si="36"/>
        <v>0</v>
      </c>
      <c r="K185" s="615">
        <f t="shared" si="36"/>
        <v>0</v>
      </c>
      <c r="L185" s="615">
        <f t="shared" si="36"/>
        <v>0</v>
      </c>
      <c r="M185" s="615">
        <f t="shared" si="36"/>
        <v>0</v>
      </c>
      <c r="O185" s="104"/>
      <c r="Q185" s="332"/>
      <c r="R185" s="332"/>
      <c r="S185" s="332"/>
      <c r="T185" s="332"/>
      <c r="U185" s="332"/>
      <c r="V185" s="332"/>
      <c r="W185" s="332"/>
      <c r="X185" s="332"/>
      <c r="Y185" s="332"/>
      <c r="Z185" s="332"/>
      <c r="AA185" s="332"/>
      <c r="AB185" s="332"/>
      <c r="AC185" s="332"/>
      <c r="AD185" s="332"/>
      <c r="AE185" s="332"/>
    </row>
    <row r="186" spans="1:31" hidden="1" x14ac:dyDescent="0.25">
      <c r="A186" s="527">
        <f>ROW()</f>
        <v>186</v>
      </c>
      <c r="B186" s="655"/>
      <c r="C186" s="612" t="s">
        <v>538</v>
      </c>
      <c r="D186" s="612" t="s">
        <v>572</v>
      </c>
      <c r="E186" s="613">
        <v>0</v>
      </c>
      <c r="F186" s="657" t="s">
        <v>570</v>
      </c>
      <c r="G186" s="615">
        <f t="shared" si="36"/>
        <v>0</v>
      </c>
      <c r="H186" s="615">
        <f t="shared" si="36"/>
        <v>0</v>
      </c>
      <c r="I186" s="615">
        <f t="shared" si="36"/>
        <v>0</v>
      </c>
      <c r="J186" s="615">
        <f t="shared" si="36"/>
        <v>0</v>
      </c>
      <c r="K186" s="615">
        <f t="shared" si="36"/>
        <v>0</v>
      </c>
      <c r="L186" s="615">
        <f t="shared" si="36"/>
        <v>0</v>
      </c>
      <c r="M186" s="615">
        <f t="shared" si="36"/>
        <v>0</v>
      </c>
      <c r="O186" s="104"/>
      <c r="Q186" s="332"/>
      <c r="R186" s="332"/>
      <c r="S186" s="332"/>
      <c r="T186" s="332"/>
      <c r="U186" s="332"/>
      <c r="V186" s="332"/>
      <c r="W186" s="332"/>
      <c r="X186" s="332"/>
      <c r="Y186" s="332"/>
      <c r="Z186" s="332"/>
      <c r="AA186" s="332"/>
      <c r="AB186" s="332"/>
      <c r="AC186" s="332"/>
      <c r="AD186" s="332"/>
      <c r="AE186" s="332"/>
    </row>
    <row r="187" spans="1:31" hidden="1" x14ac:dyDescent="0.25">
      <c r="A187" s="527">
        <f>ROW()</f>
        <v>187</v>
      </c>
      <c r="B187" s="655"/>
      <c r="C187" s="612" t="s">
        <v>538</v>
      </c>
      <c r="D187" s="612" t="s">
        <v>572</v>
      </c>
      <c r="E187" s="613">
        <v>0</v>
      </c>
      <c r="F187" s="657" t="s">
        <v>570</v>
      </c>
      <c r="G187" s="615">
        <f t="shared" si="36"/>
        <v>0</v>
      </c>
      <c r="H187" s="615">
        <f t="shared" si="36"/>
        <v>0</v>
      </c>
      <c r="I187" s="615">
        <f t="shared" si="36"/>
        <v>0</v>
      </c>
      <c r="J187" s="615">
        <f t="shared" si="36"/>
        <v>0</v>
      </c>
      <c r="K187" s="615">
        <f t="shared" si="36"/>
        <v>0</v>
      </c>
      <c r="L187" s="615">
        <f t="shared" si="36"/>
        <v>0</v>
      </c>
      <c r="M187" s="615">
        <f t="shared" si="36"/>
        <v>0</v>
      </c>
      <c r="O187" s="104"/>
      <c r="Q187" s="332"/>
      <c r="R187" s="332"/>
      <c r="S187" s="332"/>
      <c r="T187" s="332"/>
      <c r="U187" s="332"/>
      <c r="V187" s="332"/>
      <c r="W187" s="332"/>
      <c r="X187" s="332"/>
      <c r="Y187" s="332"/>
      <c r="Z187" s="332"/>
      <c r="AA187" s="332"/>
      <c r="AB187" s="332"/>
      <c r="AC187" s="332"/>
      <c r="AD187" s="332"/>
      <c r="AE187" s="332"/>
    </row>
    <row r="188" spans="1:31" hidden="1" x14ac:dyDescent="0.25">
      <c r="A188" s="527">
        <f>ROW()</f>
        <v>188</v>
      </c>
      <c r="B188" s="658"/>
      <c r="C188" s="659"/>
      <c r="D188" s="659"/>
      <c r="E188" s="662"/>
      <c r="F188" s="663"/>
      <c r="G188" s="618"/>
      <c r="H188" s="618"/>
      <c r="I188" s="618"/>
      <c r="J188" s="618"/>
      <c r="K188" s="618"/>
      <c r="L188" s="618"/>
      <c r="M188" s="618"/>
      <c r="O188" s="104"/>
      <c r="Q188" s="332"/>
      <c r="R188" s="332"/>
      <c r="S188" s="332"/>
      <c r="T188" s="332"/>
      <c r="U188" s="332"/>
      <c r="V188" s="332"/>
      <c r="W188" s="332"/>
      <c r="X188" s="332"/>
      <c r="Y188" s="332"/>
      <c r="Z188" s="332"/>
      <c r="AA188" s="332"/>
      <c r="AB188" s="332"/>
      <c r="AC188" s="332"/>
      <c r="AD188" s="332"/>
      <c r="AE188" s="332"/>
    </row>
    <row r="189" spans="1:31" hidden="1" x14ac:dyDescent="0.25">
      <c r="A189" s="527">
        <f>ROW()</f>
        <v>189</v>
      </c>
      <c r="B189" s="655"/>
      <c r="C189" s="612" t="s">
        <v>538</v>
      </c>
      <c r="D189" s="612" t="s">
        <v>572</v>
      </c>
      <c r="E189" s="656">
        <v>0</v>
      </c>
      <c r="F189" s="657" t="s">
        <v>570</v>
      </c>
      <c r="G189" s="615">
        <f t="shared" ref="G189:M194" si="37">IF($D189&lt;=G$10,1,0)</f>
        <v>0</v>
      </c>
      <c r="H189" s="615">
        <f t="shared" si="37"/>
        <v>0</v>
      </c>
      <c r="I189" s="615">
        <f t="shared" si="37"/>
        <v>0</v>
      </c>
      <c r="J189" s="615">
        <f t="shared" si="37"/>
        <v>0</v>
      </c>
      <c r="K189" s="615">
        <f t="shared" si="37"/>
        <v>0</v>
      </c>
      <c r="L189" s="615">
        <f t="shared" si="37"/>
        <v>0</v>
      </c>
      <c r="M189" s="615">
        <f t="shared" si="37"/>
        <v>0</v>
      </c>
      <c r="O189" s="104"/>
      <c r="Q189" s="332"/>
      <c r="R189" s="332"/>
      <c r="S189" s="332"/>
      <c r="T189" s="332"/>
      <c r="U189" s="332"/>
      <c r="V189" s="332"/>
      <c r="W189" s="332"/>
      <c r="X189" s="332"/>
      <c r="Y189" s="332"/>
      <c r="Z189" s="332"/>
      <c r="AA189" s="332"/>
      <c r="AB189" s="332"/>
      <c r="AC189" s="332"/>
      <c r="AD189" s="332"/>
      <c r="AE189" s="332"/>
    </row>
    <row r="190" spans="1:31" hidden="1" x14ac:dyDescent="0.25">
      <c r="A190" s="527">
        <f>ROW()</f>
        <v>190</v>
      </c>
      <c r="B190" s="655"/>
      <c r="C190" s="612" t="s">
        <v>538</v>
      </c>
      <c r="D190" s="612" t="s">
        <v>572</v>
      </c>
      <c r="E190" s="613">
        <v>0</v>
      </c>
      <c r="F190" s="657" t="s">
        <v>570</v>
      </c>
      <c r="G190" s="615">
        <f t="shared" si="37"/>
        <v>0</v>
      </c>
      <c r="H190" s="615">
        <f t="shared" si="37"/>
        <v>0</v>
      </c>
      <c r="I190" s="615">
        <f t="shared" si="37"/>
        <v>0</v>
      </c>
      <c r="J190" s="615">
        <f t="shared" si="37"/>
        <v>0</v>
      </c>
      <c r="K190" s="615">
        <f t="shared" si="37"/>
        <v>0</v>
      </c>
      <c r="L190" s="615">
        <f t="shared" si="37"/>
        <v>0</v>
      </c>
      <c r="M190" s="615">
        <f t="shared" si="37"/>
        <v>0</v>
      </c>
      <c r="O190" s="104"/>
      <c r="Q190" s="332"/>
      <c r="R190" s="332"/>
      <c r="S190" s="332"/>
      <c r="T190" s="332"/>
      <c r="U190" s="332"/>
      <c r="V190" s="332"/>
      <c r="W190" s="332"/>
      <c r="X190" s="332"/>
      <c r="Y190" s="332"/>
      <c r="Z190" s="332"/>
      <c r="AA190" s="332"/>
      <c r="AB190" s="332"/>
      <c r="AC190" s="332"/>
      <c r="AD190" s="332"/>
      <c r="AE190" s="332"/>
    </row>
    <row r="191" spans="1:31" hidden="1" x14ac:dyDescent="0.25">
      <c r="A191" s="527">
        <f>ROW()</f>
        <v>191</v>
      </c>
      <c r="B191" s="655"/>
      <c r="C191" s="612" t="s">
        <v>538</v>
      </c>
      <c r="D191" s="612" t="s">
        <v>572</v>
      </c>
      <c r="E191" s="613">
        <v>0</v>
      </c>
      <c r="F191" s="657" t="s">
        <v>570</v>
      </c>
      <c r="G191" s="615">
        <f t="shared" si="37"/>
        <v>0</v>
      </c>
      <c r="H191" s="615">
        <f t="shared" si="37"/>
        <v>0</v>
      </c>
      <c r="I191" s="615">
        <f t="shared" si="37"/>
        <v>0</v>
      </c>
      <c r="J191" s="615">
        <f t="shared" si="37"/>
        <v>0</v>
      </c>
      <c r="K191" s="615">
        <f t="shared" si="37"/>
        <v>0</v>
      </c>
      <c r="L191" s="615">
        <f t="shared" si="37"/>
        <v>0</v>
      </c>
      <c r="M191" s="615">
        <f t="shared" si="37"/>
        <v>0</v>
      </c>
      <c r="O191" s="104"/>
      <c r="Q191" s="332"/>
      <c r="R191" s="332"/>
      <c r="S191" s="332"/>
      <c r="T191" s="332"/>
      <c r="U191" s="332"/>
      <c r="V191" s="332"/>
      <c r="W191" s="332"/>
      <c r="X191" s="332"/>
      <c r="Y191" s="332"/>
      <c r="Z191" s="332"/>
      <c r="AA191" s="332"/>
      <c r="AB191" s="332"/>
      <c r="AC191" s="332"/>
      <c r="AD191" s="332"/>
      <c r="AE191" s="332"/>
    </row>
    <row r="192" spans="1:31" hidden="1" x14ac:dyDescent="0.25">
      <c r="A192" s="527">
        <f>ROW()</f>
        <v>192</v>
      </c>
      <c r="B192" s="655"/>
      <c r="C192" s="612" t="s">
        <v>538</v>
      </c>
      <c r="D192" s="612" t="s">
        <v>572</v>
      </c>
      <c r="E192" s="613">
        <v>0</v>
      </c>
      <c r="F192" s="657" t="s">
        <v>570</v>
      </c>
      <c r="G192" s="615">
        <f t="shared" si="37"/>
        <v>0</v>
      </c>
      <c r="H192" s="615">
        <f t="shared" si="37"/>
        <v>0</v>
      </c>
      <c r="I192" s="615">
        <f t="shared" si="37"/>
        <v>0</v>
      </c>
      <c r="J192" s="615">
        <f t="shared" si="37"/>
        <v>0</v>
      </c>
      <c r="K192" s="615">
        <f t="shared" si="37"/>
        <v>0</v>
      </c>
      <c r="L192" s="615">
        <f t="shared" si="37"/>
        <v>0</v>
      </c>
      <c r="M192" s="615">
        <f t="shared" si="37"/>
        <v>0</v>
      </c>
      <c r="O192" s="104"/>
      <c r="Q192" s="332"/>
      <c r="R192" s="332"/>
      <c r="S192" s="332"/>
      <c r="T192" s="332"/>
      <c r="U192" s="332"/>
      <c r="V192" s="332"/>
      <c r="W192" s="332"/>
      <c r="X192" s="332"/>
      <c r="Y192" s="332"/>
      <c r="Z192" s="332"/>
      <c r="AA192" s="332"/>
      <c r="AB192" s="332"/>
      <c r="AC192" s="332"/>
      <c r="AD192" s="332"/>
      <c r="AE192" s="332"/>
    </row>
    <row r="193" spans="1:31" hidden="1" x14ac:dyDescent="0.25">
      <c r="A193" s="527">
        <f>ROW()</f>
        <v>193</v>
      </c>
      <c r="B193" s="655"/>
      <c r="C193" s="612" t="s">
        <v>538</v>
      </c>
      <c r="D193" s="612" t="s">
        <v>572</v>
      </c>
      <c r="E193" s="613">
        <v>0</v>
      </c>
      <c r="F193" s="657" t="s">
        <v>570</v>
      </c>
      <c r="G193" s="615">
        <f t="shared" si="37"/>
        <v>0</v>
      </c>
      <c r="H193" s="615">
        <f t="shared" si="37"/>
        <v>0</v>
      </c>
      <c r="I193" s="615">
        <f t="shared" si="37"/>
        <v>0</v>
      </c>
      <c r="J193" s="615">
        <f t="shared" si="37"/>
        <v>0</v>
      </c>
      <c r="K193" s="615">
        <f t="shared" si="37"/>
        <v>0</v>
      </c>
      <c r="L193" s="615">
        <f t="shared" si="37"/>
        <v>0</v>
      </c>
      <c r="M193" s="615">
        <f t="shared" si="37"/>
        <v>0</v>
      </c>
      <c r="O193" s="104"/>
      <c r="Q193" s="332"/>
      <c r="R193" s="332"/>
      <c r="S193" s="332"/>
      <c r="T193" s="332"/>
      <c r="U193" s="332"/>
      <c r="V193" s="332"/>
      <c r="W193" s="332"/>
      <c r="X193" s="332"/>
      <c r="Y193" s="332"/>
      <c r="Z193" s="332"/>
      <c r="AA193" s="332"/>
      <c r="AB193" s="332"/>
      <c r="AC193" s="332"/>
      <c r="AD193" s="332"/>
      <c r="AE193" s="332"/>
    </row>
    <row r="194" spans="1:31" hidden="1" x14ac:dyDescent="0.25">
      <c r="A194" s="527">
        <f>ROW()</f>
        <v>194</v>
      </c>
      <c r="B194" s="655"/>
      <c r="C194" s="612" t="s">
        <v>538</v>
      </c>
      <c r="D194" s="612" t="s">
        <v>572</v>
      </c>
      <c r="E194" s="657"/>
      <c r="F194" s="657" t="s">
        <v>570</v>
      </c>
      <c r="G194" s="615">
        <f t="shared" si="37"/>
        <v>0</v>
      </c>
      <c r="H194" s="615">
        <f t="shared" si="37"/>
        <v>0</v>
      </c>
      <c r="I194" s="615">
        <f t="shared" si="37"/>
        <v>0</v>
      </c>
      <c r="J194" s="615">
        <f t="shared" si="37"/>
        <v>0</v>
      </c>
      <c r="K194" s="615">
        <f t="shared" si="37"/>
        <v>0</v>
      </c>
      <c r="L194" s="615">
        <f t="shared" si="37"/>
        <v>0</v>
      </c>
      <c r="M194" s="615">
        <f t="shared" si="37"/>
        <v>0</v>
      </c>
      <c r="O194" s="104"/>
      <c r="Q194" s="332"/>
      <c r="R194" s="332"/>
      <c r="S194" s="332"/>
      <c r="T194" s="332"/>
      <c r="U194" s="332"/>
      <c r="V194" s="332"/>
      <c r="W194" s="332"/>
      <c r="X194" s="332"/>
      <c r="Y194" s="332"/>
      <c r="Z194" s="332"/>
      <c r="AA194" s="332"/>
      <c r="AB194" s="332"/>
      <c r="AC194" s="332"/>
      <c r="AD194" s="332"/>
      <c r="AE194" s="332"/>
    </row>
    <row r="195" spans="1:31" hidden="1" x14ac:dyDescent="0.25">
      <c r="A195" s="527">
        <f>ROW()</f>
        <v>195</v>
      </c>
      <c r="B195" s="326"/>
      <c r="C195" s="664"/>
      <c r="D195" s="664"/>
      <c r="E195" s="665"/>
      <c r="F195" s="663"/>
      <c r="G195" s="618"/>
      <c r="H195" s="618"/>
      <c r="I195" s="618"/>
      <c r="J195" s="618"/>
      <c r="K195" s="618"/>
      <c r="L195" s="618"/>
      <c r="M195" s="618"/>
      <c r="O195" s="104"/>
      <c r="Q195" s="332"/>
      <c r="R195" s="332"/>
      <c r="S195" s="332"/>
      <c r="T195" s="332"/>
      <c r="U195" s="332"/>
      <c r="V195" s="332"/>
      <c r="W195" s="332"/>
      <c r="X195" s="332"/>
      <c r="Y195" s="332"/>
      <c r="Z195" s="332"/>
      <c r="AA195" s="332"/>
      <c r="AB195" s="332"/>
      <c r="AC195" s="332"/>
      <c r="AD195" s="332"/>
      <c r="AE195" s="332"/>
    </row>
    <row r="196" spans="1:31" hidden="1" x14ac:dyDescent="0.25">
      <c r="A196" s="527">
        <f>ROW()</f>
        <v>196</v>
      </c>
      <c r="B196" s="655"/>
      <c r="C196" s="612" t="s">
        <v>538</v>
      </c>
      <c r="D196" s="612" t="s">
        <v>572</v>
      </c>
      <c r="E196" s="656">
        <v>0</v>
      </c>
      <c r="F196" s="657" t="s">
        <v>570</v>
      </c>
      <c r="G196" s="615">
        <f t="shared" ref="G196:M200" si="38">IF($D196&lt;=G$10,1,0)</f>
        <v>0</v>
      </c>
      <c r="H196" s="615">
        <f t="shared" si="38"/>
        <v>0</v>
      </c>
      <c r="I196" s="615">
        <f t="shared" si="38"/>
        <v>0</v>
      </c>
      <c r="J196" s="615">
        <f t="shared" si="38"/>
        <v>0</v>
      </c>
      <c r="K196" s="615">
        <f t="shared" si="38"/>
        <v>0</v>
      </c>
      <c r="L196" s="615">
        <f t="shared" si="38"/>
        <v>0</v>
      </c>
      <c r="M196" s="615">
        <f t="shared" si="38"/>
        <v>0</v>
      </c>
      <c r="O196" s="104"/>
      <c r="Q196" s="332"/>
      <c r="R196" s="332"/>
      <c r="S196" s="332"/>
      <c r="T196" s="332"/>
      <c r="U196" s="332"/>
      <c r="V196" s="332"/>
      <c r="W196" s="332"/>
      <c r="X196" s="332"/>
      <c r="Y196" s="332"/>
      <c r="Z196" s="332"/>
      <c r="AA196" s="332"/>
      <c r="AB196" s="332"/>
      <c r="AC196" s="332"/>
      <c r="AD196" s="332"/>
      <c r="AE196" s="332"/>
    </row>
    <row r="197" spans="1:31" hidden="1" x14ac:dyDescent="0.25">
      <c r="A197" s="527">
        <f>ROW()</f>
        <v>197</v>
      </c>
      <c r="B197" s="655"/>
      <c r="C197" s="612" t="s">
        <v>538</v>
      </c>
      <c r="D197" s="612" t="s">
        <v>572</v>
      </c>
      <c r="E197" s="613">
        <v>0</v>
      </c>
      <c r="F197" s="657" t="s">
        <v>570</v>
      </c>
      <c r="G197" s="615">
        <f t="shared" si="38"/>
        <v>0</v>
      </c>
      <c r="H197" s="615">
        <f t="shared" si="38"/>
        <v>0</v>
      </c>
      <c r="I197" s="615">
        <f t="shared" si="38"/>
        <v>0</v>
      </c>
      <c r="J197" s="615">
        <f t="shared" si="38"/>
        <v>0</v>
      </c>
      <c r="K197" s="615">
        <f t="shared" si="38"/>
        <v>0</v>
      </c>
      <c r="L197" s="615">
        <f t="shared" si="38"/>
        <v>0</v>
      </c>
      <c r="M197" s="615">
        <f t="shared" si="38"/>
        <v>0</v>
      </c>
      <c r="O197" s="104"/>
      <c r="Q197" s="332"/>
      <c r="R197" s="332"/>
      <c r="S197" s="332"/>
      <c r="T197" s="332"/>
      <c r="U197" s="332"/>
      <c r="V197" s="332"/>
      <c r="W197" s="332"/>
      <c r="X197" s="332"/>
      <c r="Y197" s="332"/>
      <c r="Z197" s="332"/>
      <c r="AA197" s="332"/>
      <c r="AB197" s="332"/>
      <c r="AC197" s="332"/>
      <c r="AD197" s="332"/>
      <c r="AE197" s="332"/>
    </row>
    <row r="198" spans="1:31" hidden="1" x14ac:dyDescent="0.25">
      <c r="A198" s="527">
        <f>ROW()</f>
        <v>198</v>
      </c>
      <c r="B198" s="655"/>
      <c r="C198" s="612" t="s">
        <v>538</v>
      </c>
      <c r="D198" s="612" t="s">
        <v>572</v>
      </c>
      <c r="E198" s="613">
        <v>0</v>
      </c>
      <c r="F198" s="657" t="s">
        <v>570</v>
      </c>
      <c r="G198" s="615">
        <f t="shared" si="38"/>
        <v>0</v>
      </c>
      <c r="H198" s="615">
        <f t="shared" si="38"/>
        <v>0</v>
      </c>
      <c r="I198" s="615">
        <f t="shared" si="38"/>
        <v>0</v>
      </c>
      <c r="J198" s="615">
        <f t="shared" si="38"/>
        <v>0</v>
      </c>
      <c r="K198" s="615">
        <f t="shared" si="38"/>
        <v>0</v>
      </c>
      <c r="L198" s="615">
        <f t="shared" si="38"/>
        <v>0</v>
      </c>
      <c r="M198" s="615">
        <f t="shared" si="38"/>
        <v>0</v>
      </c>
      <c r="O198" s="104"/>
      <c r="Q198" s="332"/>
      <c r="R198" s="332"/>
      <c r="S198" s="332"/>
      <c r="T198" s="332"/>
      <c r="U198" s="332"/>
      <c r="V198" s="332"/>
      <c r="W198" s="332"/>
      <c r="X198" s="332"/>
      <c r="Y198" s="332"/>
      <c r="Z198" s="332"/>
      <c r="AA198" s="332"/>
      <c r="AB198" s="332"/>
      <c r="AC198" s="332"/>
      <c r="AD198" s="332"/>
      <c r="AE198" s="332"/>
    </row>
    <row r="199" spans="1:31" hidden="1" x14ac:dyDescent="0.25">
      <c r="A199" s="527">
        <f>ROW()</f>
        <v>199</v>
      </c>
      <c r="B199" s="655"/>
      <c r="C199" s="612" t="s">
        <v>538</v>
      </c>
      <c r="D199" s="612" t="s">
        <v>572</v>
      </c>
      <c r="E199" s="613">
        <v>0</v>
      </c>
      <c r="F199" s="657" t="s">
        <v>570</v>
      </c>
      <c r="G199" s="615">
        <f t="shared" si="38"/>
        <v>0</v>
      </c>
      <c r="H199" s="615">
        <f t="shared" si="38"/>
        <v>0</v>
      </c>
      <c r="I199" s="615">
        <f t="shared" si="38"/>
        <v>0</v>
      </c>
      <c r="J199" s="615">
        <f t="shared" si="38"/>
        <v>0</v>
      </c>
      <c r="K199" s="615">
        <f t="shared" si="38"/>
        <v>0</v>
      </c>
      <c r="L199" s="615">
        <f t="shared" si="38"/>
        <v>0</v>
      </c>
      <c r="M199" s="615">
        <f t="shared" si="38"/>
        <v>0</v>
      </c>
      <c r="O199" s="104"/>
      <c r="Q199" s="332"/>
      <c r="R199" s="332"/>
      <c r="S199" s="332"/>
      <c r="T199" s="332"/>
      <c r="U199" s="332"/>
      <c r="V199" s="332"/>
      <c r="W199" s="332"/>
      <c r="X199" s="332"/>
      <c r="Y199" s="332"/>
      <c r="Z199" s="332"/>
      <c r="AA199" s="332"/>
      <c r="AB199" s="332"/>
      <c r="AC199" s="332"/>
      <c r="AD199" s="332"/>
      <c r="AE199" s="332"/>
    </row>
    <row r="200" spans="1:31" hidden="1" x14ac:dyDescent="0.25">
      <c r="A200" s="527">
        <f>ROW()</f>
        <v>200</v>
      </c>
      <c r="B200" s="655"/>
      <c r="C200" s="612" t="s">
        <v>538</v>
      </c>
      <c r="D200" s="612" t="s">
        <v>572</v>
      </c>
      <c r="E200" s="613">
        <v>0</v>
      </c>
      <c r="F200" s="657" t="s">
        <v>570</v>
      </c>
      <c r="G200" s="615">
        <f t="shared" si="38"/>
        <v>0</v>
      </c>
      <c r="H200" s="615">
        <f t="shared" si="38"/>
        <v>0</v>
      </c>
      <c r="I200" s="615">
        <f t="shared" si="38"/>
        <v>0</v>
      </c>
      <c r="J200" s="615">
        <f t="shared" si="38"/>
        <v>0</v>
      </c>
      <c r="K200" s="615">
        <f t="shared" si="38"/>
        <v>0</v>
      </c>
      <c r="L200" s="615">
        <f t="shared" si="38"/>
        <v>0</v>
      </c>
      <c r="M200" s="615">
        <f t="shared" si="38"/>
        <v>0</v>
      </c>
      <c r="O200" s="104"/>
      <c r="Q200" s="332"/>
      <c r="R200" s="332"/>
      <c r="S200" s="332"/>
      <c r="T200" s="332"/>
      <c r="U200" s="332"/>
      <c r="V200" s="332"/>
      <c r="W200" s="332"/>
      <c r="X200" s="332"/>
      <c r="Y200" s="332"/>
      <c r="Z200" s="332"/>
      <c r="AA200" s="332"/>
      <c r="AB200" s="332"/>
      <c r="AC200" s="332"/>
      <c r="AD200" s="332"/>
      <c r="AE200" s="332"/>
    </row>
    <row r="201" spans="1:31" hidden="1" x14ac:dyDescent="0.25">
      <c r="A201" s="527">
        <f>ROW()</f>
        <v>201</v>
      </c>
      <c r="B201" s="78"/>
      <c r="C201" s="661"/>
      <c r="D201" s="661"/>
      <c r="E201" s="662"/>
      <c r="F201" s="663"/>
      <c r="G201" s="618"/>
      <c r="H201" s="618"/>
      <c r="I201" s="618"/>
      <c r="J201" s="618"/>
      <c r="K201" s="618"/>
      <c r="L201" s="618"/>
      <c r="M201" s="618"/>
      <c r="O201" s="104"/>
      <c r="Q201" s="332"/>
      <c r="R201" s="332"/>
      <c r="S201" s="332"/>
      <c r="T201" s="332"/>
      <c r="U201" s="332"/>
      <c r="V201" s="332"/>
      <c r="W201" s="332"/>
      <c r="X201" s="332"/>
      <c r="Y201" s="332"/>
      <c r="Z201" s="332"/>
      <c r="AA201" s="332"/>
      <c r="AB201" s="332"/>
      <c r="AC201" s="332"/>
      <c r="AD201" s="332"/>
      <c r="AE201" s="332"/>
    </row>
    <row r="202" spans="1:31" hidden="1" x14ac:dyDescent="0.25">
      <c r="A202" s="527">
        <f>ROW()</f>
        <v>202</v>
      </c>
      <c r="B202" s="655"/>
      <c r="C202" s="612" t="s">
        <v>538</v>
      </c>
      <c r="D202" s="612" t="s">
        <v>572</v>
      </c>
      <c r="E202" s="656">
        <v>0</v>
      </c>
      <c r="F202" s="657" t="s">
        <v>570</v>
      </c>
      <c r="G202" s="615">
        <f t="shared" ref="G202:M206" si="39">IF($D202&lt;=G$10,1,0)</f>
        <v>0</v>
      </c>
      <c r="H202" s="615">
        <f t="shared" si="39"/>
        <v>0</v>
      </c>
      <c r="I202" s="615">
        <f t="shared" si="39"/>
        <v>0</v>
      </c>
      <c r="J202" s="615">
        <f t="shared" si="39"/>
        <v>0</v>
      </c>
      <c r="K202" s="615">
        <f t="shared" si="39"/>
        <v>0</v>
      </c>
      <c r="L202" s="615">
        <f t="shared" si="39"/>
        <v>0</v>
      </c>
      <c r="M202" s="615">
        <f t="shared" si="39"/>
        <v>0</v>
      </c>
      <c r="O202" s="104"/>
      <c r="Q202" s="332"/>
      <c r="R202" s="332"/>
      <c r="S202" s="332"/>
      <c r="T202" s="332"/>
      <c r="U202" s="332"/>
      <c r="V202" s="332"/>
      <c r="W202" s="332"/>
      <c r="X202" s="332"/>
      <c r="Y202" s="332"/>
      <c r="Z202" s="332"/>
      <c r="AA202" s="332"/>
      <c r="AB202" s="332"/>
      <c r="AC202" s="332"/>
      <c r="AD202" s="332"/>
      <c r="AE202" s="332"/>
    </row>
    <row r="203" spans="1:31" hidden="1" x14ac:dyDescent="0.25">
      <c r="A203" s="527">
        <f>ROW()</f>
        <v>203</v>
      </c>
      <c r="B203" s="655"/>
      <c r="C203" s="612" t="s">
        <v>538</v>
      </c>
      <c r="D203" s="612" t="s">
        <v>572</v>
      </c>
      <c r="E203" s="613">
        <v>0</v>
      </c>
      <c r="F203" s="657" t="s">
        <v>570</v>
      </c>
      <c r="G203" s="615">
        <f t="shared" si="39"/>
        <v>0</v>
      </c>
      <c r="H203" s="615">
        <f t="shared" si="39"/>
        <v>0</v>
      </c>
      <c r="I203" s="615">
        <f t="shared" si="39"/>
        <v>0</v>
      </c>
      <c r="J203" s="615">
        <f t="shared" si="39"/>
        <v>0</v>
      </c>
      <c r="K203" s="615">
        <f t="shared" si="39"/>
        <v>0</v>
      </c>
      <c r="L203" s="615">
        <f t="shared" si="39"/>
        <v>0</v>
      </c>
      <c r="M203" s="615">
        <f t="shared" si="39"/>
        <v>0</v>
      </c>
      <c r="O203" s="104"/>
      <c r="Q203" s="332"/>
      <c r="R203" s="332"/>
      <c r="S203" s="332"/>
      <c r="T203" s="332"/>
      <c r="U203" s="332"/>
      <c r="V203" s="332"/>
      <c r="W203" s="332"/>
      <c r="X203" s="332"/>
      <c r="Y203" s="332"/>
      <c r="Z203" s="332"/>
      <c r="AA203" s="332"/>
      <c r="AB203" s="332"/>
      <c r="AC203" s="332"/>
      <c r="AD203" s="332"/>
      <c r="AE203" s="332"/>
    </row>
    <row r="204" spans="1:31" hidden="1" x14ac:dyDescent="0.25">
      <c r="A204" s="527">
        <f>ROW()</f>
        <v>204</v>
      </c>
      <c r="B204" s="655"/>
      <c r="C204" s="612" t="s">
        <v>538</v>
      </c>
      <c r="D204" s="612" t="s">
        <v>572</v>
      </c>
      <c r="E204" s="613">
        <v>0</v>
      </c>
      <c r="F204" s="657" t="s">
        <v>570</v>
      </c>
      <c r="G204" s="615">
        <f t="shared" si="39"/>
        <v>0</v>
      </c>
      <c r="H204" s="615">
        <f t="shared" si="39"/>
        <v>0</v>
      </c>
      <c r="I204" s="615">
        <f t="shared" si="39"/>
        <v>0</v>
      </c>
      <c r="J204" s="615">
        <f t="shared" si="39"/>
        <v>0</v>
      </c>
      <c r="K204" s="615">
        <f t="shared" si="39"/>
        <v>0</v>
      </c>
      <c r="L204" s="615">
        <f t="shared" si="39"/>
        <v>0</v>
      </c>
      <c r="M204" s="615">
        <f t="shared" si="39"/>
        <v>0</v>
      </c>
      <c r="O204" s="104"/>
      <c r="Q204" s="332"/>
      <c r="R204" s="332"/>
      <c r="S204" s="332"/>
      <c r="T204" s="332"/>
      <c r="U204" s="332"/>
      <c r="V204" s="332"/>
      <c r="W204" s="332"/>
      <c r="X204" s="332"/>
      <c r="Y204" s="332"/>
      <c r="Z204" s="332"/>
      <c r="AA204" s="332"/>
      <c r="AB204" s="332"/>
      <c r="AC204" s="332"/>
      <c r="AD204" s="332"/>
      <c r="AE204" s="332"/>
    </row>
    <row r="205" spans="1:31" hidden="1" x14ac:dyDescent="0.25">
      <c r="A205" s="527">
        <f>ROW()</f>
        <v>205</v>
      </c>
      <c r="B205" s="655"/>
      <c r="C205" s="612" t="s">
        <v>538</v>
      </c>
      <c r="D205" s="612" t="s">
        <v>572</v>
      </c>
      <c r="E205" s="613">
        <v>0</v>
      </c>
      <c r="F205" s="657" t="s">
        <v>570</v>
      </c>
      <c r="G205" s="615">
        <f t="shared" si="39"/>
        <v>0</v>
      </c>
      <c r="H205" s="615">
        <f t="shared" si="39"/>
        <v>0</v>
      </c>
      <c r="I205" s="615">
        <f t="shared" si="39"/>
        <v>0</v>
      </c>
      <c r="J205" s="615">
        <f t="shared" si="39"/>
        <v>0</v>
      </c>
      <c r="K205" s="615">
        <f t="shared" si="39"/>
        <v>0</v>
      </c>
      <c r="L205" s="615">
        <f t="shared" si="39"/>
        <v>0</v>
      </c>
      <c r="M205" s="615">
        <f t="shared" si="39"/>
        <v>0</v>
      </c>
      <c r="O205" s="104"/>
      <c r="Q205" s="332"/>
      <c r="R205" s="332"/>
      <c r="S205" s="332"/>
      <c r="T205" s="332"/>
      <c r="U205" s="332"/>
      <c r="V205" s="332"/>
      <c r="W205" s="332"/>
      <c r="X205" s="332"/>
      <c r="Y205" s="332"/>
      <c r="Z205" s="332"/>
      <c r="AA205" s="332"/>
      <c r="AB205" s="332"/>
      <c r="AC205" s="332"/>
      <c r="AD205" s="332"/>
      <c r="AE205" s="332"/>
    </row>
    <row r="206" spans="1:31" hidden="1" x14ac:dyDescent="0.25">
      <c r="A206" s="527">
        <f>ROW()</f>
        <v>206</v>
      </c>
      <c r="B206" s="655"/>
      <c r="C206" s="612" t="s">
        <v>538</v>
      </c>
      <c r="D206" s="612" t="s">
        <v>572</v>
      </c>
      <c r="E206" s="613">
        <v>0</v>
      </c>
      <c r="F206" s="657" t="s">
        <v>570</v>
      </c>
      <c r="G206" s="615">
        <f t="shared" si="39"/>
        <v>0</v>
      </c>
      <c r="H206" s="615">
        <f t="shared" si="39"/>
        <v>0</v>
      </c>
      <c r="I206" s="615">
        <f t="shared" si="39"/>
        <v>0</v>
      </c>
      <c r="J206" s="615">
        <f t="shared" si="39"/>
        <v>0</v>
      </c>
      <c r="K206" s="615">
        <f t="shared" si="39"/>
        <v>0</v>
      </c>
      <c r="L206" s="615">
        <f t="shared" si="39"/>
        <v>0</v>
      </c>
      <c r="M206" s="615">
        <f t="shared" si="39"/>
        <v>0</v>
      </c>
      <c r="O206" s="104"/>
      <c r="Q206" s="332"/>
      <c r="R206" s="332"/>
      <c r="S206" s="332"/>
      <c r="T206" s="332"/>
      <c r="U206" s="332"/>
      <c r="V206" s="332"/>
      <c r="W206" s="332"/>
      <c r="X206" s="332"/>
      <c r="Y206" s="332"/>
      <c r="Z206" s="332"/>
      <c r="AA206" s="332"/>
      <c r="AB206" s="332"/>
      <c r="AC206" s="332"/>
      <c r="AD206" s="332"/>
      <c r="AE206" s="332"/>
    </row>
    <row r="207" spans="1:31" hidden="1" x14ac:dyDescent="0.25">
      <c r="A207" s="527">
        <f>ROW()</f>
        <v>207</v>
      </c>
      <c r="B207" s="78"/>
      <c r="C207" s="661"/>
      <c r="D207" s="661"/>
      <c r="E207" s="662"/>
      <c r="F207" s="663"/>
      <c r="G207" s="618"/>
      <c r="H207" s="618"/>
      <c r="I207" s="618"/>
      <c r="J207" s="618"/>
      <c r="K207" s="618"/>
      <c r="L207" s="618"/>
      <c r="M207" s="618"/>
      <c r="O207" s="104"/>
      <c r="Q207" s="332"/>
      <c r="R207" s="332"/>
      <c r="S207" s="332"/>
      <c r="T207" s="332"/>
      <c r="U207" s="332"/>
      <c r="V207" s="332"/>
      <c r="W207" s="332"/>
      <c r="X207" s="332"/>
      <c r="Y207" s="332"/>
      <c r="Z207" s="332"/>
      <c r="AA207" s="332"/>
      <c r="AB207" s="332"/>
      <c r="AC207" s="332"/>
      <c r="AD207" s="332"/>
      <c r="AE207" s="332"/>
    </row>
    <row r="208" spans="1:31" hidden="1" x14ac:dyDescent="0.25">
      <c r="A208" s="527">
        <f>ROW()</f>
        <v>208</v>
      </c>
      <c r="B208" s="655"/>
      <c r="C208" s="612" t="s">
        <v>538</v>
      </c>
      <c r="D208" s="612" t="s">
        <v>572</v>
      </c>
      <c r="E208" s="656">
        <v>0</v>
      </c>
      <c r="F208" s="657" t="s">
        <v>570</v>
      </c>
      <c r="G208" s="615">
        <f t="shared" ref="G208:M212" si="40">IF($D208&lt;=G$10,1,0)</f>
        <v>0</v>
      </c>
      <c r="H208" s="615">
        <f t="shared" si="40"/>
        <v>0</v>
      </c>
      <c r="I208" s="615">
        <f t="shared" si="40"/>
        <v>0</v>
      </c>
      <c r="J208" s="615">
        <f t="shared" si="40"/>
        <v>0</v>
      </c>
      <c r="K208" s="615">
        <f t="shared" si="40"/>
        <v>0</v>
      </c>
      <c r="L208" s="615">
        <f t="shared" si="40"/>
        <v>0</v>
      </c>
      <c r="M208" s="615">
        <f t="shared" si="40"/>
        <v>0</v>
      </c>
      <c r="O208" s="104"/>
      <c r="Q208" s="332"/>
      <c r="R208" s="332"/>
      <c r="S208" s="332"/>
      <c r="T208" s="332"/>
      <c r="U208" s="332"/>
      <c r="V208" s="332"/>
      <c r="W208" s="332"/>
      <c r="X208" s="332"/>
      <c r="Y208" s="332"/>
      <c r="Z208" s="332"/>
      <c r="AA208" s="332"/>
      <c r="AB208" s="332"/>
      <c r="AC208" s="332"/>
      <c r="AD208" s="332"/>
      <c r="AE208" s="332"/>
    </row>
    <row r="209" spans="1:31" hidden="1" x14ac:dyDescent="0.25">
      <c r="A209" s="527">
        <f>ROW()</f>
        <v>209</v>
      </c>
      <c r="B209" s="655"/>
      <c r="C209" s="612" t="s">
        <v>538</v>
      </c>
      <c r="D209" s="612" t="s">
        <v>572</v>
      </c>
      <c r="E209" s="613">
        <v>0</v>
      </c>
      <c r="F209" s="657" t="s">
        <v>570</v>
      </c>
      <c r="G209" s="615">
        <f t="shared" si="40"/>
        <v>0</v>
      </c>
      <c r="H209" s="615">
        <f t="shared" si="40"/>
        <v>0</v>
      </c>
      <c r="I209" s="615">
        <f t="shared" si="40"/>
        <v>0</v>
      </c>
      <c r="J209" s="615">
        <f t="shared" si="40"/>
        <v>0</v>
      </c>
      <c r="K209" s="615">
        <f t="shared" si="40"/>
        <v>0</v>
      </c>
      <c r="L209" s="615">
        <f t="shared" si="40"/>
        <v>0</v>
      </c>
      <c r="M209" s="615">
        <f t="shared" si="40"/>
        <v>0</v>
      </c>
      <c r="O209" s="104"/>
      <c r="Q209" s="332"/>
      <c r="R209" s="332"/>
      <c r="S209" s="332"/>
      <c r="T209" s="332"/>
      <c r="U209" s="332"/>
      <c r="V209" s="332"/>
      <c r="W209" s="332"/>
      <c r="X209" s="332"/>
      <c r="Y209" s="332"/>
      <c r="Z209" s="332"/>
      <c r="AA209" s="332"/>
      <c r="AB209" s="332"/>
      <c r="AC209" s="332"/>
      <c r="AD209" s="332"/>
      <c r="AE209" s="332"/>
    </row>
    <row r="210" spans="1:31" hidden="1" x14ac:dyDescent="0.25">
      <c r="A210" s="527">
        <f>ROW()</f>
        <v>210</v>
      </c>
      <c r="B210" s="655"/>
      <c r="C210" s="612" t="s">
        <v>538</v>
      </c>
      <c r="D210" s="612" t="s">
        <v>572</v>
      </c>
      <c r="E210" s="613">
        <v>0</v>
      </c>
      <c r="F210" s="657" t="s">
        <v>570</v>
      </c>
      <c r="G210" s="615">
        <f t="shared" si="40"/>
        <v>0</v>
      </c>
      <c r="H210" s="615">
        <f t="shared" si="40"/>
        <v>0</v>
      </c>
      <c r="I210" s="615">
        <f t="shared" si="40"/>
        <v>0</v>
      </c>
      <c r="J210" s="615">
        <f t="shared" si="40"/>
        <v>0</v>
      </c>
      <c r="K210" s="615">
        <f t="shared" si="40"/>
        <v>0</v>
      </c>
      <c r="L210" s="615">
        <f t="shared" si="40"/>
        <v>0</v>
      </c>
      <c r="M210" s="615">
        <f t="shared" si="40"/>
        <v>0</v>
      </c>
      <c r="O210" s="104"/>
      <c r="Q210" s="332"/>
      <c r="R210" s="332"/>
      <c r="S210" s="332"/>
      <c r="T210" s="332"/>
      <c r="U210" s="332"/>
      <c r="V210" s="332"/>
      <c r="W210" s="332"/>
      <c r="X210" s="332"/>
      <c r="Y210" s="332"/>
      <c r="Z210" s="332"/>
      <c r="AA210" s="332"/>
      <c r="AB210" s="332"/>
      <c r="AC210" s="332"/>
      <c r="AD210" s="332"/>
      <c r="AE210" s="332"/>
    </row>
    <row r="211" spans="1:31" hidden="1" x14ac:dyDescent="0.25">
      <c r="A211" s="527">
        <f>ROW()</f>
        <v>211</v>
      </c>
      <c r="B211" s="655"/>
      <c r="C211" s="612" t="s">
        <v>538</v>
      </c>
      <c r="D211" s="612" t="s">
        <v>572</v>
      </c>
      <c r="E211" s="613">
        <v>0</v>
      </c>
      <c r="F211" s="657" t="s">
        <v>570</v>
      </c>
      <c r="G211" s="615">
        <f t="shared" si="40"/>
        <v>0</v>
      </c>
      <c r="H211" s="615">
        <f t="shared" si="40"/>
        <v>0</v>
      </c>
      <c r="I211" s="615">
        <f t="shared" si="40"/>
        <v>0</v>
      </c>
      <c r="J211" s="615">
        <f t="shared" si="40"/>
        <v>0</v>
      </c>
      <c r="K211" s="615">
        <f t="shared" si="40"/>
        <v>0</v>
      </c>
      <c r="L211" s="615">
        <f t="shared" si="40"/>
        <v>0</v>
      </c>
      <c r="M211" s="615">
        <f t="shared" si="40"/>
        <v>0</v>
      </c>
      <c r="O211" s="104"/>
      <c r="Q211" s="332"/>
      <c r="R211" s="332"/>
      <c r="S211" s="332"/>
      <c r="T211" s="332"/>
      <c r="U211" s="332"/>
      <c r="V211" s="332"/>
      <c r="W211" s="332"/>
      <c r="X211" s="332"/>
      <c r="Y211" s="332"/>
      <c r="Z211" s="332"/>
      <c r="AA211" s="332"/>
      <c r="AB211" s="332"/>
      <c r="AC211" s="332"/>
      <c r="AD211" s="332"/>
      <c r="AE211" s="332"/>
    </row>
    <row r="212" spans="1:31" hidden="1" x14ac:dyDescent="0.25">
      <c r="A212" s="527">
        <f>ROW()</f>
        <v>212</v>
      </c>
      <c r="B212" s="655"/>
      <c r="C212" s="612" t="s">
        <v>538</v>
      </c>
      <c r="D212" s="612" t="s">
        <v>572</v>
      </c>
      <c r="E212" s="613">
        <v>0</v>
      </c>
      <c r="F212" s="657" t="s">
        <v>570</v>
      </c>
      <c r="G212" s="615">
        <f t="shared" si="40"/>
        <v>0</v>
      </c>
      <c r="H212" s="615">
        <f t="shared" si="40"/>
        <v>0</v>
      </c>
      <c r="I212" s="615">
        <f t="shared" si="40"/>
        <v>0</v>
      </c>
      <c r="J212" s="615">
        <f t="shared" si="40"/>
        <v>0</v>
      </c>
      <c r="K212" s="615">
        <f t="shared" si="40"/>
        <v>0</v>
      </c>
      <c r="L212" s="615">
        <f t="shared" si="40"/>
        <v>0</v>
      </c>
      <c r="M212" s="615">
        <f t="shared" si="40"/>
        <v>0</v>
      </c>
      <c r="O212" s="104"/>
      <c r="Q212" s="332"/>
      <c r="R212" s="332"/>
      <c r="S212" s="332"/>
      <c r="T212" s="332"/>
      <c r="U212" s="332"/>
      <c r="V212" s="332"/>
      <c r="W212" s="332"/>
      <c r="X212" s="332"/>
      <c r="Y212" s="332"/>
      <c r="Z212" s="332"/>
      <c r="AA212" s="332"/>
      <c r="AB212" s="332"/>
      <c r="AC212" s="332"/>
      <c r="AD212" s="332"/>
      <c r="AE212" s="332"/>
    </row>
    <row r="213" spans="1:31" hidden="1" x14ac:dyDescent="0.25">
      <c r="A213" s="527">
        <f>ROW()</f>
        <v>213</v>
      </c>
      <c r="B213" s="78"/>
      <c r="C213" s="663"/>
      <c r="D213" s="663"/>
      <c r="E213" s="666"/>
      <c r="F213" s="663"/>
      <c r="G213" s="618"/>
      <c r="H213" s="618"/>
      <c r="I213" s="618"/>
      <c r="J213" s="618"/>
      <c r="K213" s="618"/>
      <c r="L213" s="618"/>
      <c r="M213" s="618"/>
      <c r="O213" s="104"/>
      <c r="Q213" s="332"/>
      <c r="R213" s="332"/>
      <c r="S213" s="332"/>
      <c r="T213" s="332"/>
      <c r="U213" s="332"/>
      <c r="V213" s="332"/>
      <c r="W213" s="332"/>
      <c r="X213" s="332"/>
      <c r="Y213" s="332"/>
      <c r="Z213" s="332"/>
      <c r="AA213" s="332"/>
      <c r="AB213" s="332"/>
      <c r="AC213" s="332"/>
      <c r="AD213" s="332"/>
      <c r="AE213" s="332"/>
    </row>
    <row r="214" spans="1:31" hidden="1" x14ac:dyDescent="0.25">
      <c r="A214" s="527">
        <f>ROW()</f>
        <v>214</v>
      </c>
      <c r="B214" s="655"/>
      <c r="C214" s="612" t="s">
        <v>538</v>
      </c>
      <c r="D214" s="612" t="s">
        <v>572</v>
      </c>
      <c r="E214" s="656">
        <v>0</v>
      </c>
      <c r="F214" s="657" t="s">
        <v>570</v>
      </c>
      <c r="G214" s="615">
        <f t="shared" ref="G214:M218" si="41">IF($D214&lt;=G$10,1,0)</f>
        <v>0</v>
      </c>
      <c r="H214" s="615">
        <f t="shared" si="41"/>
        <v>0</v>
      </c>
      <c r="I214" s="615">
        <f t="shared" si="41"/>
        <v>0</v>
      </c>
      <c r="J214" s="615">
        <f t="shared" si="41"/>
        <v>0</v>
      </c>
      <c r="K214" s="615">
        <f t="shared" si="41"/>
        <v>0</v>
      </c>
      <c r="L214" s="615">
        <f t="shared" si="41"/>
        <v>0</v>
      </c>
      <c r="M214" s="615">
        <f t="shared" si="41"/>
        <v>0</v>
      </c>
      <c r="O214" s="104"/>
      <c r="Q214" s="332"/>
      <c r="R214" s="332"/>
      <c r="S214" s="332"/>
      <c r="T214" s="332"/>
      <c r="U214" s="332"/>
      <c r="V214" s="332"/>
      <c r="W214" s="332"/>
      <c r="X214" s="332"/>
      <c r="Y214" s="332"/>
      <c r="Z214" s="332"/>
      <c r="AA214" s="332"/>
      <c r="AB214" s="332"/>
      <c r="AC214" s="332"/>
      <c r="AD214" s="332"/>
      <c r="AE214" s="332"/>
    </row>
    <row r="215" spans="1:31" hidden="1" x14ac:dyDescent="0.25">
      <c r="A215" s="527">
        <f>ROW()</f>
        <v>215</v>
      </c>
      <c r="B215" s="655"/>
      <c r="C215" s="612" t="s">
        <v>538</v>
      </c>
      <c r="D215" s="612" t="s">
        <v>572</v>
      </c>
      <c r="E215" s="613">
        <v>0</v>
      </c>
      <c r="F215" s="657" t="s">
        <v>570</v>
      </c>
      <c r="G215" s="615">
        <f t="shared" si="41"/>
        <v>0</v>
      </c>
      <c r="H215" s="615">
        <f t="shared" si="41"/>
        <v>0</v>
      </c>
      <c r="I215" s="615">
        <f t="shared" si="41"/>
        <v>0</v>
      </c>
      <c r="J215" s="615">
        <f t="shared" si="41"/>
        <v>0</v>
      </c>
      <c r="K215" s="615">
        <f t="shared" si="41"/>
        <v>0</v>
      </c>
      <c r="L215" s="615">
        <f t="shared" si="41"/>
        <v>0</v>
      </c>
      <c r="M215" s="615">
        <f t="shared" si="41"/>
        <v>0</v>
      </c>
      <c r="O215" s="104"/>
      <c r="Q215" s="332"/>
      <c r="R215" s="332"/>
      <c r="S215" s="332"/>
      <c r="T215" s="332"/>
      <c r="U215" s="332"/>
      <c r="V215" s="332"/>
      <c r="W215" s="332"/>
      <c r="X215" s="332"/>
      <c r="Y215" s="332"/>
      <c r="Z215" s="332"/>
      <c r="AA215" s="332"/>
      <c r="AB215" s="332"/>
      <c r="AC215" s="332"/>
      <c r="AD215" s="332"/>
      <c r="AE215" s="332"/>
    </row>
    <row r="216" spans="1:31" hidden="1" x14ac:dyDescent="0.25">
      <c r="A216" s="527">
        <f>ROW()</f>
        <v>216</v>
      </c>
      <c r="B216" s="655"/>
      <c r="C216" s="612" t="s">
        <v>538</v>
      </c>
      <c r="D216" s="612" t="s">
        <v>572</v>
      </c>
      <c r="E216" s="613">
        <v>0</v>
      </c>
      <c r="F216" s="657" t="s">
        <v>570</v>
      </c>
      <c r="G216" s="615">
        <f t="shared" si="41"/>
        <v>0</v>
      </c>
      <c r="H216" s="615">
        <f t="shared" si="41"/>
        <v>0</v>
      </c>
      <c r="I216" s="615">
        <f t="shared" si="41"/>
        <v>0</v>
      </c>
      <c r="J216" s="615">
        <f t="shared" si="41"/>
        <v>0</v>
      </c>
      <c r="K216" s="615">
        <f t="shared" si="41"/>
        <v>0</v>
      </c>
      <c r="L216" s="615">
        <f t="shared" si="41"/>
        <v>0</v>
      </c>
      <c r="M216" s="615">
        <f t="shared" si="41"/>
        <v>0</v>
      </c>
      <c r="O216" s="104"/>
      <c r="Q216" s="332"/>
      <c r="R216" s="332"/>
      <c r="S216" s="332"/>
      <c r="T216" s="332"/>
      <c r="U216" s="332"/>
      <c r="V216" s="332"/>
      <c r="W216" s="332"/>
      <c r="X216" s="332"/>
      <c r="Y216" s="332"/>
      <c r="Z216" s="332"/>
      <c r="AA216" s="332"/>
      <c r="AB216" s="332"/>
      <c r="AC216" s="332"/>
      <c r="AD216" s="332"/>
      <c r="AE216" s="332"/>
    </row>
    <row r="217" spans="1:31" hidden="1" x14ac:dyDescent="0.25">
      <c r="A217" s="527">
        <f>ROW()</f>
        <v>217</v>
      </c>
      <c r="B217" s="655"/>
      <c r="C217" s="612" t="s">
        <v>538</v>
      </c>
      <c r="D217" s="612" t="s">
        <v>572</v>
      </c>
      <c r="E217" s="613">
        <v>0</v>
      </c>
      <c r="F217" s="657" t="s">
        <v>570</v>
      </c>
      <c r="G217" s="615">
        <f t="shared" si="41"/>
        <v>0</v>
      </c>
      <c r="H217" s="615">
        <f t="shared" si="41"/>
        <v>0</v>
      </c>
      <c r="I217" s="615">
        <f t="shared" si="41"/>
        <v>0</v>
      </c>
      <c r="J217" s="615">
        <f t="shared" si="41"/>
        <v>0</v>
      </c>
      <c r="K217" s="615">
        <f t="shared" si="41"/>
        <v>0</v>
      </c>
      <c r="L217" s="615">
        <f t="shared" si="41"/>
        <v>0</v>
      </c>
      <c r="M217" s="615">
        <f t="shared" si="41"/>
        <v>0</v>
      </c>
      <c r="O217" s="104"/>
      <c r="Q217" s="332"/>
      <c r="R217" s="332"/>
      <c r="S217" s="332"/>
      <c r="T217" s="332"/>
      <c r="U217" s="332"/>
      <c r="V217" s="332"/>
      <c r="W217" s="332"/>
      <c r="X217" s="332"/>
      <c r="Y217" s="332"/>
      <c r="Z217" s="332"/>
      <c r="AA217" s="332"/>
      <c r="AB217" s="332"/>
      <c r="AC217" s="332"/>
      <c r="AD217" s="332"/>
      <c r="AE217" s="332"/>
    </row>
    <row r="218" spans="1:31" hidden="1" x14ac:dyDescent="0.25">
      <c r="A218" s="527">
        <f>ROW()</f>
        <v>218</v>
      </c>
      <c r="B218" s="655"/>
      <c r="C218" s="612" t="s">
        <v>538</v>
      </c>
      <c r="D218" s="612" t="s">
        <v>572</v>
      </c>
      <c r="E218" s="613">
        <v>0</v>
      </c>
      <c r="F218" s="657" t="s">
        <v>570</v>
      </c>
      <c r="G218" s="615">
        <f t="shared" si="41"/>
        <v>0</v>
      </c>
      <c r="H218" s="615">
        <f t="shared" si="41"/>
        <v>0</v>
      </c>
      <c r="I218" s="615">
        <f t="shared" si="41"/>
        <v>0</v>
      </c>
      <c r="J218" s="615">
        <f t="shared" si="41"/>
        <v>0</v>
      </c>
      <c r="K218" s="615">
        <f t="shared" si="41"/>
        <v>0</v>
      </c>
      <c r="L218" s="615">
        <f t="shared" si="41"/>
        <v>0</v>
      </c>
      <c r="M218" s="615">
        <f t="shared" si="41"/>
        <v>0</v>
      </c>
      <c r="O218" s="104"/>
      <c r="Q218" s="332"/>
      <c r="R218" s="332"/>
      <c r="S218" s="332"/>
      <c r="T218" s="332"/>
      <c r="U218" s="332"/>
      <c r="V218" s="332"/>
      <c r="W218" s="332"/>
      <c r="X218" s="332"/>
      <c r="Y218" s="332"/>
      <c r="Z218" s="332"/>
      <c r="AA218" s="332"/>
      <c r="AB218" s="332"/>
      <c r="AC218" s="332"/>
      <c r="AD218" s="332"/>
      <c r="AE218" s="332"/>
    </row>
    <row r="219" spans="1:31" hidden="1" x14ac:dyDescent="0.25">
      <c r="A219" s="527">
        <f>ROW()</f>
        <v>219</v>
      </c>
      <c r="B219" s="78"/>
      <c r="C219" s="663"/>
      <c r="D219" s="663"/>
      <c r="E219" s="662"/>
      <c r="F219" s="663"/>
      <c r="G219" s="618"/>
      <c r="H219" s="618"/>
      <c r="I219" s="618"/>
      <c r="J219" s="618"/>
      <c r="K219" s="618"/>
      <c r="L219" s="618"/>
      <c r="M219" s="618"/>
      <c r="O219" s="104"/>
      <c r="Q219" s="332"/>
      <c r="R219" s="332"/>
      <c r="S219" s="332"/>
      <c r="T219" s="332"/>
      <c r="U219" s="332"/>
      <c r="V219" s="332"/>
      <c r="W219" s="332"/>
      <c r="X219" s="332"/>
      <c r="Y219" s="332"/>
      <c r="Z219" s="332"/>
      <c r="AA219" s="332"/>
      <c r="AB219" s="332"/>
      <c r="AC219" s="332"/>
      <c r="AD219" s="332"/>
      <c r="AE219" s="332"/>
    </row>
    <row r="220" spans="1:31" hidden="1" x14ac:dyDescent="0.25">
      <c r="A220" s="527">
        <f>ROW()</f>
        <v>220</v>
      </c>
      <c r="B220" s="655"/>
      <c r="C220" s="612" t="s">
        <v>538</v>
      </c>
      <c r="D220" s="612" t="s">
        <v>572</v>
      </c>
      <c r="E220" s="656">
        <v>0</v>
      </c>
      <c r="F220" s="657" t="s">
        <v>570</v>
      </c>
      <c r="G220" s="615">
        <f t="shared" ref="G220:M224" si="42">IF($D220&lt;=G$10,1,0)</f>
        <v>0</v>
      </c>
      <c r="H220" s="615">
        <f t="shared" si="42"/>
        <v>0</v>
      </c>
      <c r="I220" s="615">
        <f t="shared" si="42"/>
        <v>0</v>
      </c>
      <c r="J220" s="615">
        <f t="shared" si="42"/>
        <v>0</v>
      </c>
      <c r="K220" s="615">
        <f t="shared" si="42"/>
        <v>0</v>
      </c>
      <c r="L220" s="615">
        <f t="shared" si="42"/>
        <v>0</v>
      </c>
      <c r="M220" s="615">
        <f t="shared" si="42"/>
        <v>0</v>
      </c>
      <c r="O220" s="104"/>
      <c r="Q220" s="332"/>
      <c r="R220" s="332"/>
      <c r="S220" s="332"/>
      <c r="T220" s="332"/>
      <c r="U220" s="332"/>
      <c r="V220" s="332"/>
      <c r="W220" s="332"/>
      <c r="X220" s="332"/>
      <c r="Y220" s="332"/>
      <c r="Z220" s="332"/>
      <c r="AA220" s="332"/>
      <c r="AB220" s="332"/>
      <c r="AC220" s="332"/>
      <c r="AD220" s="332"/>
      <c r="AE220" s="332"/>
    </row>
    <row r="221" spans="1:31" hidden="1" x14ac:dyDescent="0.25">
      <c r="A221" s="527">
        <f>ROW()</f>
        <v>221</v>
      </c>
      <c r="B221" s="655"/>
      <c r="C221" s="612" t="s">
        <v>538</v>
      </c>
      <c r="D221" s="612" t="s">
        <v>572</v>
      </c>
      <c r="E221" s="613">
        <v>0</v>
      </c>
      <c r="F221" s="657" t="s">
        <v>570</v>
      </c>
      <c r="G221" s="615">
        <f t="shared" si="42"/>
        <v>0</v>
      </c>
      <c r="H221" s="615">
        <f t="shared" si="42"/>
        <v>0</v>
      </c>
      <c r="I221" s="615">
        <f t="shared" si="42"/>
        <v>0</v>
      </c>
      <c r="J221" s="615">
        <f t="shared" si="42"/>
        <v>0</v>
      </c>
      <c r="K221" s="615">
        <f t="shared" si="42"/>
        <v>0</v>
      </c>
      <c r="L221" s="615">
        <f t="shared" si="42"/>
        <v>0</v>
      </c>
      <c r="M221" s="615">
        <f t="shared" si="42"/>
        <v>0</v>
      </c>
      <c r="O221" s="104"/>
      <c r="Q221" s="332"/>
      <c r="R221" s="332"/>
      <c r="S221" s="332"/>
      <c r="T221" s="332"/>
      <c r="U221" s="332"/>
      <c r="V221" s="332"/>
      <c r="W221" s="332"/>
      <c r="X221" s="332"/>
      <c r="Y221" s="332"/>
      <c r="Z221" s="332"/>
      <c r="AA221" s="332"/>
      <c r="AB221" s="332"/>
      <c r="AC221" s="332"/>
      <c r="AD221" s="332"/>
      <c r="AE221" s="332"/>
    </row>
    <row r="222" spans="1:31" hidden="1" x14ac:dyDescent="0.25">
      <c r="A222" s="527">
        <f>ROW()</f>
        <v>222</v>
      </c>
      <c r="B222" s="655"/>
      <c r="C222" s="612" t="s">
        <v>538</v>
      </c>
      <c r="D222" s="612" t="s">
        <v>572</v>
      </c>
      <c r="E222" s="613">
        <v>0</v>
      </c>
      <c r="F222" s="657" t="s">
        <v>570</v>
      </c>
      <c r="G222" s="615">
        <f t="shared" si="42"/>
        <v>0</v>
      </c>
      <c r="H222" s="615">
        <f t="shared" si="42"/>
        <v>0</v>
      </c>
      <c r="I222" s="615">
        <f t="shared" si="42"/>
        <v>0</v>
      </c>
      <c r="J222" s="615">
        <f t="shared" si="42"/>
        <v>0</v>
      </c>
      <c r="K222" s="615">
        <f t="shared" si="42"/>
        <v>0</v>
      </c>
      <c r="L222" s="615">
        <f t="shared" si="42"/>
        <v>0</v>
      </c>
      <c r="M222" s="615">
        <f t="shared" si="42"/>
        <v>0</v>
      </c>
      <c r="O222" s="104"/>
      <c r="Q222" s="332"/>
      <c r="R222" s="332"/>
      <c r="S222" s="332"/>
      <c r="T222" s="332"/>
      <c r="U222" s="332"/>
      <c r="V222" s="332"/>
      <c r="W222" s="332"/>
      <c r="X222" s="332"/>
      <c r="Y222" s="332"/>
      <c r="Z222" s="332"/>
      <c r="AA222" s="332"/>
      <c r="AB222" s="332"/>
      <c r="AC222" s="332"/>
      <c r="AD222" s="332"/>
      <c r="AE222" s="332"/>
    </row>
    <row r="223" spans="1:31" hidden="1" x14ac:dyDescent="0.25">
      <c r="A223" s="527">
        <f>ROW()</f>
        <v>223</v>
      </c>
      <c r="B223" s="655"/>
      <c r="C223" s="612" t="s">
        <v>538</v>
      </c>
      <c r="D223" s="612" t="s">
        <v>572</v>
      </c>
      <c r="E223" s="613">
        <v>0</v>
      </c>
      <c r="F223" s="657" t="s">
        <v>570</v>
      </c>
      <c r="G223" s="615">
        <f t="shared" si="42"/>
        <v>0</v>
      </c>
      <c r="H223" s="615">
        <f t="shared" si="42"/>
        <v>0</v>
      </c>
      <c r="I223" s="615">
        <f t="shared" si="42"/>
        <v>0</v>
      </c>
      <c r="J223" s="615">
        <f t="shared" si="42"/>
        <v>0</v>
      </c>
      <c r="K223" s="615">
        <f t="shared" si="42"/>
        <v>0</v>
      </c>
      <c r="L223" s="615">
        <f t="shared" si="42"/>
        <v>0</v>
      </c>
      <c r="M223" s="615">
        <f t="shared" si="42"/>
        <v>0</v>
      </c>
      <c r="O223" s="104"/>
      <c r="Q223" s="332"/>
      <c r="R223" s="332"/>
      <c r="S223" s="332"/>
      <c r="T223" s="332"/>
      <c r="U223" s="332"/>
      <c r="V223" s="332"/>
      <c r="W223" s="332"/>
      <c r="X223" s="332"/>
      <c r="Y223" s="332"/>
      <c r="Z223" s="332"/>
      <c r="AA223" s="332"/>
      <c r="AB223" s="332"/>
      <c r="AC223" s="332"/>
      <c r="AD223" s="332"/>
      <c r="AE223" s="332"/>
    </row>
    <row r="224" spans="1:31" hidden="1" x14ac:dyDescent="0.25">
      <c r="A224" s="527">
        <f>ROW()</f>
        <v>224</v>
      </c>
      <c r="B224" s="655"/>
      <c r="C224" s="612" t="s">
        <v>538</v>
      </c>
      <c r="D224" s="612" t="s">
        <v>572</v>
      </c>
      <c r="E224" s="613">
        <v>0</v>
      </c>
      <c r="F224" s="657" t="s">
        <v>570</v>
      </c>
      <c r="G224" s="615">
        <f t="shared" si="42"/>
        <v>0</v>
      </c>
      <c r="H224" s="615">
        <f t="shared" si="42"/>
        <v>0</v>
      </c>
      <c r="I224" s="615">
        <f t="shared" si="42"/>
        <v>0</v>
      </c>
      <c r="J224" s="615">
        <f t="shared" si="42"/>
        <v>0</v>
      </c>
      <c r="K224" s="615">
        <f t="shared" si="42"/>
        <v>0</v>
      </c>
      <c r="L224" s="615">
        <f t="shared" si="42"/>
        <v>0</v>
      </c>
      <c r="M224" s="615">
        <f t="shared" si="42"/>
        <v>0</v>
      </c>
      <c r="O224" s="104"/>
      <c r="Q224" s="332"/>
      <c r="R224" s="332"/>
      <c r="S224" s="332"/>
      <c r="T224" s="332"/>
      <c r="U224" s="332"/>
      <c r="V224" s="332"/>
      <c r="W224" s="332"/>
      <c r="X224" s="332"/>
      <c r="Y224" s="332"/>
      <c r="Z224" s="332"/>
      <c r="AA224" s="332"/>
      <c r="AB224" s="332"/>
      <c r="AC224" s="332"/>
      <c r="AD224" s="332"/>
      <c r="AE224" s="332"/>
    </row>
    <row r="225" spans="1:31" hidden="1" x14ac:dyDescent="0.25">
      <c r="A225" s="527">
        <f>ROW()</f>
        <v>225</v>
      </c>
      <c r="B225" s="78"/>
      <c r="C225" s="661"/>
      <c r="D225" s="661"/>
      <c r="E225" s="662"/>
      <c r="F225" s="663"/>
      <c r="G225" s="618"/>
      <c r="H225" s="618"/>
      <c r="I225" s="618"/>
      <c r="J225" s="618"/>
      <c r="K225" s="618"/>
      <c r="L225" s="618"/>
      <c r="M225" s="618"/>
      <c r="O225" s="104"/>
      <c r="Q225" s="332"/>
      <c r="R225" s="332"/>
      <c r="S225" s="332"/>
      <c r="T225" s="332"/>
      <c r="U225" s="332"/>
      <c r="V225" s="332"/>
      <c r="W225" s="332"/>
      <c r="X225" s="332"/>
      <c r="Y225" s="332"/>
      <c r="Z225" s="332"/>
      <c r="AA225" s="332"/>
      <c r="AB225" s="332"/>
      <c r="AC225" s="332"/>
      <c r="AD225" s="332"/>
      <c r="AE225" s="332"/>
    </row>
    <row r="226" spans="1:31" hidden="1" x14ac:dyDescent="0.25">
      <c r="A226" s="527">
        <f>ROW()</f>
        <v>226</v>
      </c>
      <c r="B226" s="655"/>
      <c r="C226" s="612" t="s">
        <v>538</v>
      </c>
      <c r="D226" s="612" t="s">
        <v>572</v>
      </c>
      <c r="E226" s="656">
        <v>0</v>
      </c>
      <c r="F226" s="657" t="s">
        <v>570</v>
      </c>
      <c r="G226" s="615">
        <f t="shared" ref="G226:M230" si="43">IF($D226&lt;=G$10,1,0)</f>
        <v>0</v>
      </c>
      <c r="H226" s="615">
        <f t="shared" si="43"/>
        <v>0</v>
      </c>
      <c r="I226" s="615">
        <f t="shared" si="43"/>
        <v>0</v>
      </c>
      <c r="J226" s="615">
        <f t="shared" si="43"/>
        <v>0</v>
      </c>
      <c r="K226" s="615">
        <f t="shared" si="43"/>
        <v>0</v>
      </c>
      <c r="L226" s="615">
        <f t="shared" si="43"/>
        <v>0</v>
      </c>
      <c r="M226" s="615">
        <f t="shared" si="43"/>
        <v>0</v>
      </c>
      <c r="O226" s="104"/>
      <c r="Q226" s="332"/>
      <c r="R226" s="332"/>
      <c r="S226" s="332"/>
      <c r="T226" s="332"/>
      <c r="U226" s="332"/>
      <c r="V226" s="332"/>
      <c r="W226" s="332"/>
      <c r="X226" s="332"/>
      <c r="Y226" s="332"/>
      <c r="Z226" s="332"/>
      <c r="AA226" s="332"/>
      <c r="AB226" s="332"/>
      <c r="AC226" s="332"/>
      <c r="AD226" s="332"/>
      <c r="AE226" s="332"/>
    </row>
    <row r="227" spans="1:31" hidden="1" x14ac:dyDescent="0.25">
      <c r="A227" s="527">
        <f>ROW()</f>
        <v>227</v>
      </c>
      <c r="B227" s="655"/>
      <c r="C227" s="612" t="s">
        <v>538</v>
      </c>
      <c r="D227" s="612" t="s">
        <v>572</v>
      </c>
      <c r="E227" s="613">
        <v>0</v>
      </c>
      <c r="F227" s="657" t="s">
        <v>570</v>
      </c>
      <c r="G227" s="615">
        <f t="shared" si="43"/>
        <v>0</v>
      </c>
      <c r="H227" s="615">
        <f t="shared" si="43"/>
        <v>0</v>
      </c>
      <c r="I227" s="615">
        <f t="shared" si="43"/>
        <v>0</v>
      </c>
      <c r="J227" s="615">
        <f t="shared" si="43"/>
        <v>0</v>
      </c>
      <c r="K227" s="615">
        <f t="shared" si="43"/>
        <v>0</v>
      </c>
      <c r="L227" s="615">
        <f t="shared" si="43"/>
        <v>0</v>
      </c>
      <c r="M227" s="615">
        <f t="shared" si="43"/>
        <v>0</v>
      </c>
      <c r="O227" s="104"/>
      <c r="Q227" s="332"/>
      <c r="R227" s="332"/>
      <c r="S227" s="332"/>
      <c r="T227" s="332"/>
      <c r="U227" s="332"/>
      <c r="V227" s="332"/>
      <c r="W227" s="332"/>
      <c r="X227" s="332"/>
      <c r="Y227" s="332"/>
      <c r="Z227" s="332"/>
      <c r="AA227" s="332"/>
      <c r="AB227" s="332"/>
      <c r="AC227" s="332"/>
      <c r="AD227" s="332"/>
      <c r="AE227" s="332"/>
    </row>
    <row r="228" spans="1:31" hidden="1" x14ac:dyDescent="0.25">
      <c r="A228" s="527">
        <f>ROW()</f>
        <v>228</v>
      </c>
      <c r="B228" s="655"/>
      <c r="C228" s="612" t="s">
        <v>538</v>
      </c>
      <c r="D228" s="612" t="s">
        <v>572</v>
      </c>
      <c r="E228" s="613">
        <v>0</v>
      </c>
      <c r="F228" s="657" t="s">
        <v>570</v>
      </c>
      <c r="G228" s="615">
        <f t="shared" si="43"/>
        <v>0</v>
      </c>
      <c r="H228" s="615">
        <f t="shared" si="43"/>
        <v>0</v>
      </c>
      <c r="I228" s="615">
        <f t="shared" si="43"/>
        <v>0</v>
      </c>
      <c r="J228" s="615">
        <f t="shared" si="43"/>
        <v>0</v>
      </c>
      <c r="K228" s="615">
        <f t="shared" si="43"/>
        <v>0</v>
      </c>
      <c r="L228" s="615">
        <f t="shared" si="43"/>
        <v>0</v>
      </c>
      <c r="M228" s="615">
        <f t="shared" si="43"/>
        <v>0</v>
      </c>
      <c r="O228" s="104"/>
      <c r="Q228" s="332"/>
      <c r="R228" s="332"/>
      <c r="S228" s="332"/>
      <c r="T228" s="332"/>
      <c r="U228" s="332"/>
      <c r="V228" s="332"/>
      <c r="W228" s="332"/>
      <c r="X228" s="332"/>
      <c r="Y228" s="332"/>
      <c r="Z228" s="332"/>
      <c r="AA228" s="332"/>
      <c r="AB228" s="332"/>
      <c r="AC228" s="332"/>
      <c r="AD228" s="332"/>
      <c r="AE228" s="332"/>
    </row>
    <row r="229" spans="1:31" hidden="1" x14ac:dyDescent="0.25">
      <c r="A229" s="527">
        <f>ROW()</f>
        <v>229</v>
      </c>
      <c r="B229" s="655"/>
      <c r="C229" s="612" t="s">
        <v>538</v>
      </c>
      <c r="D229" s="612" t="s">
        <v>572</v>
      </c>
      <c r="E229" s="613">
        <v>0</v>
      </c>
      <c r="F229" s="657" t="s">
        <v>570</v>
      </c>
      <c r="G229" s="615">
        <f t="shared" si="43"/>
        <v>0</v>
      </c>
      <c r="H229" s="615">
        <f t="shared" si="43"/>
        <v>0</v>
      </c>
      <c r="I229" s="615">
        <f t="shared" si="43"/>
        <v>0</v>
      </c>
      <c r="J229" s="615">
        <f t="shared" si="43"/>
        <v>0</v>
      </c>
      <c r="K229" s="615">
        <f t="shared" si="43"/>
        <v>0</v>
      </c>
      <c r="L229" s="615">
        <f t="shared" si="43"/>
        <v>0</v>
      </c>
      <c r="M229" s="615">
        <f t="shared" si="43"/>
        <v>0</v>
      </c>
      <c r="O229" s="104"/>
      <c r="Q229" s="332"/>
      <c r="R229" s="332"/>
      <c r="S229" s="332"/>
      <c r="T229" s="332"/>
      <c r="U229" s="332"/>
      <c r="V229" s="332"/>
      <c r="W229" s="332"/>
      <c r="X229" s="332"/>
      <c r="Y229" s="332"/>
      <c r="Z229" s="332"/>
      <c r="AA229" s="332"/>
      <c r="AB229" s="332"/>
      <c r="AC229" s="332"/>
      <c r="AD229" s="332"/>
      <c r="AE229" s="332"/>
    </row>
    <row r="230" spans="1:31" hidden="1" x14ac:dyDescent="0.25">
      <c r="A230" s="527">
        <f>ROW()</f>
        <v>230</v>
      </c>
      <c r="B230" s="655"/>
      <c r="C230" s="612" t="s">
        <v>538</v>
      </c>
      <c r="D230" s="612" t="s">
        <v>572</v>
      </c>
      <c r="E230" s="613">
        <v>0</v>
      </c>
      <c r="F230" s="657" t="s">
        <v>570</v>
      </c>
      <c r="G230" s="615">
        <f t="shared" si="43"/>
        <v>0</v>
      </c>
      <c r="H230" s="615">
        <f t="shared" si="43"/>
        <v>0</v>
      </c>
      <c r="I230" s="615">
        <f t="shared" si="43"/>
        <v>0</v>
      </c>
      <c r="J230" s="615">
        <f t="shared" si="43"/>
        <v>0</v>
      </c>
      <c r="K230" s="615">
        <f t="shared" si="43"/>
        <v>0</v>
      </c>
      <c r="L230" s="615">
        <f t="shared" si="43"/>
        <v>0</v>
      </c>
      <c r="M230" s="615">
        <f t="shared" si="43"/>
        <v>0</v>
      </c>
      <c r="O230" s="104"/>
      <c r="Q230" s="332"/>
      <c r="R230" s="332"/>
      <c r="S230" s="332"/>
      <c r="T230" s="332"/>
      <c r="U230" s="332"/>
      <c r="V230" s="332"/>
      <c r="W230" s="332"/>
      <c r="X230" s="332"/>
      <c r="Y230" s="332"/>
      <c r="Z230" s="332"/>
      <c r="AA230" s="332"/>
      <c r="AB230" s="332"/>
      <c r="AC230" s="332"/>
      <c r="AD230" s="332"/>
      <c r="AE230" s="332"/>
    </row>
    <row r="231" spans="1:31" hidden="1" x14ac:dyDescent="0.25">
      <c r="A231" s="527">
        <f>ROW()</f>
        <v>231</v>
      </c>
      <c r="B231" s="78"/>
      <c r="C231" s="661"/>
      <c r="D231" s="661"/>
      <c r="E231" s="662"/>
      <c r="F231" s="663"/>
      <c r="G231" s="618"/>
      <c r="H231" s="618"/>
      <c r="I231" s="618"/>
      <c r="J231" s="618"/>
      <c r="K231" s="618"/>
      <c r="L231" s="618"/>
      <c r="M231" s="618"/>
      <c r="O231" s="104"/>
      <c r="Q231" s="332"/>
      <c r="R231" s="332"/>
      <c r="S231" s="332"/>
      <c r="T231" s="332"/>
      <c r="U231" s="332"/>
      <c r="V231" s="332"/>
      <c r="W231" s="332"/>
      <c r="X231" s="332"/>
      <c r="Y231" s="332"/>
      <c r="Z231" s="332"/>
      <c r="AA231" s="332"/>
      <c r="AB231" s="332"/>
      <c r="AC231" s="332"/>
      <c r="AD231" s="332"/>
      <c r="AE231" s="332"/>
    </row>
    <row r="232" spans="1:31" hidden="1" x14ac:dyDescent="0.25">
      <c r="A232" s="527">
        <f>ROW()</f>
        <v>232</v>
      </c>
      <c r="B232" s="655"/>
      <c r="C232" s="612" t="s">
        <v>538</v>
      </c>
      <c r="D232" s="612" t="s">
        <v>572</v>
      </c>
      <c r="E232" s="656">
        <v>0</v>
      </c>
      <c r="F232" s="657" t="s">
        <v>570</v>
      </c>
      <c r="G232" s="615">
        <f t="shared" ref="G232:M236" si="44">IF($D232&lt;=G$10,1,0)</f>
        <v>0</v>
      </c>
      <c r="H232" s="615">
        <f t="shared" si="44"/>
        <v>0</v>
      </c>
      <c r="I232" s="615">
        <f t="shared" si="44"/>
        <v>0</v>
      </c>
      <c r="J232" s="615">
        <f t="shared" si="44"/>
        <v>0</v>
      </c>
      <c r="K232" s="615">
        <f t="shared" si="44"/>
        <v>0</v>
      </c>
      <c r="L232" s="615">
        <f t="shared" si="44"/>
        <v>0</v>
      </c>
      <c r="M232" s="615">
        <f t="shared" si="44"/>
        <v>0</v>
      </c>
      <c r="O232" s="104"/>
      <c r="Q232" s="332"/>
      <c r="R232" s="332"/>
      <c r="S232" s="332"/>
      <c r="T232" s="332"/>
      <c r="U232" s="332"/>
      <c r="V232" s="332"/>
      <c r="W232" s="332"/>
      <c r="X232" s="332"/>
      <c r="Y232" s="332"/>
      <c r="Z232" s="332"/>
      <c r="AA232" s="332"/>
      <c r="AB232" s="332"/>
      <c r="AC232" s="332"/>
      <c r="AD232" s="332"/>
      <c r="AE232" s="332"/>
    </row>
    <row r="233" spans="1:31" hidden="1" x14ac:dyDescent="0.25">
      <c r="A233" s="527">
        <f>ROW()</f>
        <v>233</v>
      </c>
      <c r="B233" s="655"/>
      <c r="C233" s="612" t="s">
        <v>538</v>
      </c>
      <c r="D233" s="612" t="s">
        <v>572</v>
      </c>
      <c r="E233" s="613">
        <v>0</v>
      </c>
      <c r="F233" s="657" t="s">
        <v>570</v>
      </c>
      <c r="G233" s="615">
        <f t="shared" si="44"/>
        <v>0</v>
      </c>
      <c r="H233" s="615">
        <f t="shared" si="44"/>
        <v>0</v>
      </c>
      <c r="I233" s="615">
        <f t="shared" si="44"/>
        <v>0</v>
      </c>
      <c r="J233" s="615">
        <f t="shared" si="44"/>
        <v>0</v>
      </c>
      <c r="K233" s="615">
        <f t="shared" si="44"/>
        <v>0</v>
      </c>
      <c r="L233" s="615">
        <f t="shared" si="44"/>
        <v>0</v>
      </c>
      <c r="M233" s="615">
        <f t="shared" si="44"/>
        <v>0</v>
      </c>
      <c r="O233" s="104"/>
      <c r="Q233" s="332"/>
      <c r="R233" s="332"/>
      <c r="S233" s="332"/>
      <c r="T233" s="332"/>
      <c r="U233" s="332"/>
      <c r="V233" s="332"/>
      <c r="W233" s="332"/>
      <c r="X233" s="332"/>
      <c r="Y233" s="332"/>
      <c r="Z233" s="332"/>
      <c r="AA233" s="332"/>
      <c r="AB233" s="332"/>
      <c r="AC233" s="332"/>
      <c r="AD233" s="332"/>
      <c r="AE233" s="332"/>
    </row>
    <row r="234" spans="1:31" hidden="1" x14ac:dyDescent="0.25">
      <c r="A234" s="527">
        <f>ROW()</f>
        <v>234</v>
      </c>
      <c r="B234" s="655"/>
      <c r="C234" s="612" t="s">
        <v>538</v>
      </c>
      <c r="D234" s="612" t="s">
        <v>572</v>
      </c>
      <c r="E234" s="613">
        <v>0</v>
      </c>
      <c r="F234" s="657" t="s">
        <v>570</v>
      </c>
      <c r="G234" s="615">
        <f t="shared" si="44"/>
        <v>0</v>
      </c>
      <c r="H234" s="615">
        <f t="shared" si="44"/>
        <v>0</v>
      </c>
      <c r="I234" s="615">
        <f t="shared" si="44"/>
        <v>0</v>
      </c>
      <c r="J234" s="615">
        <f t="shared" si="44"/>
        <v>0</v>
      </c>
      <c r="K234" s="615">
        <f t="shared" si="44"/>
        <v>0</v>
      </c>
      <c r="L234" s="615">
        <f t="shared" si="44"/>
        <v>0</v>
      </c>
      <c r="M234" s="615">
        <f t="shared" si="44"/>
        <v>0</v>
      </c>
      <c r="O234" s="104"/>
      <c r="Q234" s="332"/>
      <c r="R234" s="332"/>
      <c r="S234" s="332"/>
      <c r="T234" s="332"/>
      <c r="U234" s="332"/>
      <c r="V234" s="332"/>
      <c r="W234" s="332"/>
      <c r="X234" s="332"/>
      <c r="Y234" s="332"/>
      <c r="Z234" s="332"/>
      <c r="AA234" s="332"/>
      <c r="AB234" s="332"/>
      <c r="AC234" s="332"/>
      <c r="AD234" s="332"/>
      <c r="AE234" s="332"/>
    </row>
    <row r="235" spans="1:31" hidden="1" x14ac:dyDescent="0.25">
      <c r="A235" s="527">
        <f>ROW()</f>
        <v>235</v>
      </c>
      <c r="B235" s="655"/>
      <c r="C235" s="612" t="s">
        <v>538</v>
      </c>
      <c r="D235" s="612" t="s">
        <v>572</v>
      </c>
      <c r="E235" s="613">
        <v>0</v>
      </c>
      <c r="F235" s="657" t="s">
        <v>570</v>
      </c>
      <c r="G235" s="615">
        <f t="shared" si="44"/>
        <v>0</v>
      </c>
      <c r="H235" s="615">
        <f t="shared" si="44"/>
        <v>0</v>
      </c>
      <c r="I235" s="615">
        <f t="shared" si="44"/>
        <v>0</v>
      </c>
      <c r="J235" s="615">
        <f t="shared" si="44"/>
        <v>0</v>
      </c>
      <c r="K235" s="615">
        <f t="shared" si="44"/>
        <v>0</v>
      </c>
      <c r="L235" s="615">
        <f t="shared" si="44"/>
        <v>0</v>
      </c>
      <c r="M235" s="615">
        <f t="shared" si="44"/>
        <v>0</v>
      </c>
      <c r="O235" s="104"/>
      <c r="Q235" s="332"/>
      <c r="R235" s="332"/>
      <c r="S235" s="332"/>
      <c r="T235" s="332"/>
      <c r="U235" s="332"/>
      <c r="V235" s="332"/>
      <c r="W235" s="332"/>
      <c r="X235" s="332"/>
      <c r="Y235" s="332"/>
      <c r="Z235" s="332"/>
      <c r="AA235" s="332"/>
      <c r="AB235" s="332"/>
      <c r="AC235" s="332"/>
      <c r="AD235" s="332"/>
      <c r="AE235" s="332"/>
    </row>
    <row r="236" spans="1:31" x14ac:dyDescent="0.25">
      <c r="A236" s="527">
        <f>ROW()</f>
        <v>236</v>
      </c>
      <c r="B236" s="655"/>
      <c r="C236" s="612" t="s">
        <v>538</v>
      </c>
      <c r="D236" s="612" t="s">
        <v>572</v>
      </c>
      <c r="E236" s="613">
        <v>0</v>
      </c>
      <c r="F236" s="657" t="s">
        <v>570</v>
      </c>
      <c r="G236" s="615">
        <f t="shared" si="44"/>
        <v>0</v>
      </c>
      <c r="H236" s="615">
        <f t="shared" si="44"/>
        <v>0</v>
      </c>
      <c r="I236" s="615">
        <f t="shared" si="44"/>
        <v>0</v>
      </c>
      <c r="J236" s="615">
        <f t="shared" si="44"/>
        <v>0</v>
      </c>
      <c r="K236" s="615">
        <f t="shared" si="44"/>
        <v>0</v>
      </c>
      <c r="L236" s="615">
        <f t="shared" si="44"/>
        <v>0</v>
      </c>
      <c r="M236" s="615">
        <f t="shared" si="44"/>
        <v>0</v>
      </c>
      <c r="O236" s="104"/>
      <c r="Q236" s="332"/>
      <c r="R236" s="332"/>
      <c r="S236" s="332"/>
      <c r="T236" s="332"/>
      <c r="U236" s="332"/>
      <c r="V236" s="332"/>
      <c r="W236" s="332"/>
      <c r="X236" s="332"/>
      <c r="Y236" s="332"/>
      <c r="Z236" s="332"/>
      <c r="AA236" s="332"/>
      <c r="AB236" s="332"/>
      <c r="AC236" s="332"/>
      <c r="AD236" s="332"/>
      <c r="AE236" s="332"/>
    </row>
    <row r="237" spans="1:31" x14ac:dyDescent="0.25">
      <c r="A237" s="527">
        <f>ROW()</f>
        <v>237</v>
      </c>
      <c r="C237" s="667"/>
      <c r="D237" s="667"/>
      <c r="E237" s="668"/>
      <c r="F237" s="668"/>
      <c r="G237" s="544"/>
      <c r="H237" s="544"/>
      <c r="I237" s="544"/>
      <c r="J237" s="544"/>
      <c r="K237" s="115"/>
      <c r="L237" s="115"/>
      <c r="M237" s="115"/>
      <c r="O237" s="104"/>
      <c r="Q237" s="332"/>
      <c r="R237" s="332"/>
      <c r="S237" s="332"/>
      <c r="T237" s="332"/>
      <c r="U237" s="332"/>
      <c r="V237" s="332"/>
      <c r="W237" s="332"/>
      <c r="X237" s="332"/>
      <c r="Y237" s="332"/>
      <c r="Z237" s="332"/>
      <c r="AA237" s="332"/>
      <c r="AB237" s="332"/>
      <c r="AC237" s="332"/>
      <c r="AD237" s="332"/>
      <c r="AE237" s="332"/>
    </row>
    <row r="238" spans="1:31" x14ac:dyDescent="0.25">
      <c r="A238" s="527">
        <f>ROW()</f>
        <v>238</v>
      </c>
      <c r="B238" s="491" t="s">
        <v>610</v>
      </c>
      <c r="C238" s="669"/>
      <c r="D238" s="669"/>
      <c r="E238" s="491"/>
      <c r="F238" s="491"/>
      <c r="G238" s="649">
        <f t="shared" ref="G238:M238" si="45">SUM(G143:G236)</f>
        <v>52</v>
      </c>
      <c r="H238" s="650">
        <f t="shared" si="45"/>
        <v>52</v>
      </c>
      <c r="I238" s="650">
        <f t="shared" si="45"/>
        <v>52</v>
      </c>
      <c r="J238" s="650">
        <f t="shared" si="45"/>
        <v>52</v>
      </c>
      <c r="K238" s="650">
        <f t="shared" si="45"/>
        <v>52</v>
      </c>
      <c r="L238" s="650">
        <f t="shared" si="45"/>
        <v>52</v>
      </c>
      <c r="M238" s="650">
        <f t="shared" si="45"/>
        <v>52</v>
      </c>
      <c r="N238" s="38"/>
      <c r="O238" s="104"/>
      <c r="Q238" s="332"/>
      <c r="R238" s="332"/>
      <c r="S238" s="332"/>
      <c r="T238" s="332"/>
      <c r="U238" s="332"/>
      <c r="V238" s="332"/>
      <c r="W238" s="332"/>
      <c r="X238" s="332"/>
      <c r="Y238" s="332"/>
      <c r="Z238" s="332"/>
      <c r="AA238" s="332"/>
      <c r="AB238" s="332"/>
      <c r="AC238" s="332"/>
      <c r="AD238" s="332"/>
      <c r="AE238" s="332"/>
    </row>
    <row r="239" spans="1:31" x14ac:dyDescent="0.25">
      <c r="A239" s="527">
        <f>ROW()</f>
        <v>239</v>
      </c>
      <c r="B239" s="42" t="s">
        <v>611</v>
      </c>
      <c r="G239" s="191">
        <f t="shared" ref="G239:M239" si="46">+G238+G136</f>
        <v>93</v>
      </c>
      <c r="H239" s="191">
        <f t="shared" si="46"/>
        <v>93</v>
      </c>
      <c r="I239" s="191">
        <f t="shared" si="46"/>
        <v>93</v>
      </c>
      <c r="J239" s="191">
        <f t="shared" si="46"/>
        <v>93</v>
      </c>
      <c r="K239" s="191">
        <f t="shared" si="46"/>
        <v>93</v>
      </c>
      <c r="L239" s="191">
        <f t="shared" si="46"/>
        <v>93</v>
      </c>
      <c r="M239" s="191">
        <f t="shared" si="46"/>
        <v>93</v>
      </c>
      <c r="O239" s="104"/>
      <c r="Q239" s="332"/>
      <c r="R239" s="332"/>
      <c r="S239" s="332"/>
      <c r="T239" s="332"/>
      <c r="U239" s="332"/>
      <c r="V239" s="332"/>
      <c r="W239" s="332"/>
      <c r="X239" s="332"/>
      <c r="Y239" s="332"/>
      <c r="Z239" s="332"/>
      <c r="AA239" s="332"/>
      <c r="AB239" s="332"/>
      <c r="AC239" s="332"/>
      <c r="AD239" s="332"/>
      <c r="AE239" s="332"/>
    </row>
    <row r="240" spans="1:31" x14ac:dyDescent="0.25">
      <c r="A240" s="527">
        <f>ROW()</f>
        <v>240</v>
      </c>
      <c r="G240" s="544"/>
      <c r="H240" s="544"/>
      <c r="I240" s="544"/>
      <c r="J240" s="544"/>
      <c r="K240" s="544"/>
      <c r="L240" s="196"/>
      <c r="M240" s="196"/>
      <c r="O240" s="104"/>
      <c r="Q240" s="332"/>
      <c r="R240" s="332"/>
      <c r="S240" s="332"/>
      <c r="T240" s="332"/>
      <c r="U240" s="332"/>
      <c r="V240" s="332"/>
      <c r="W240" s="332"/>
      <c r="X240" s="332"/>
      <c r="Y240" s="332"/>
      <c r="Z240" s="332"/>
      <c r="AA240" s="332"/>
      <c r="AB240" s="332"/>
      <c r="AC240" s="332"/>
      <c r="AD240" s="332"/>
      <c r="AE240" s="332"/>
    </row>
    <row r="241" spans="1:31" ht="15.75" x14ac:dyDescent="0.25">
      <c r="A241" s="527">
        <f>ROW()</f>
        <v>241</v>
      </c>
      <c r="B241" s="670" t="s">
        <v>612</v>
      </c>
      <c r="C241" s="670"/>
      <c r="D241" s="670"/>
      <c r="E241" s="670"/>
      <c r="F241" s="670"/>
      <c r="G241" s="671"/>
      <c r="H241" s="671"/>
      <c r="I241" s="671"/>
      <c r="J241" s="671"/>
      <c r="K241" s="671"/>
      <c r="L241" s="672"/>
      <c r="M241" s="672"/>
      <c r="O241" s="104"/>
      <c r="Q241" s="332"/>
      <c r="R241" s="332"/>
      <c r="S241" s="332"/>
      <c r="T241" s="332"/>
      <c r="U241" s="332"/>
      <c r="V241" s="332"/>
      <c r="W241" s="332"/>
      <c r="X241" s="332"/>
      <c r="Y241" s="332"/>
      <c r="Z241" s="332"/>
      <c r="AA241" s="332"/>
      <c r="AB241" s="332"/>
      <c r="AC241" s="332"/>
      <c r="AD241" s="332"/>
      <c r="AE241" s="332"/>
    </row>
    <row r="242" spans="1:31" x14ac:dyDescent="0.25">
      <c r="A242" s="527">
        <f>ROW()</f>
        <v>242</v>
      </c>
      <c r="B242" s="193"/>
      <c r="G242" s="544"/>
      <c r="H242" s="544"/>
      <c r="I242" s="544"/>
      <c r="J242" s="544"/>
      <c r="K242" s="544"/>
      <c r="L242" s="196"/>
      <c r="N242" s="196"/>
      <c r="O242" s="104"/>
      <c r="Q242" s="332"/>
      <c r="R242" s="332"/>
      <c r="S242" s="332"/>
      <c r="T242" s="332"/>
      <c r="U242" s="332"/>
      <c r="V242" s="332"/>
      <c r="W242" s="332"/>
      <c r="X242" s="332"/>
      <c r="Y242" s="332"/>
      <c r="Z242" s="332"/>
      <c r="AA242" s="332"/>
      <c r="AB242" s="332"/>
      <c r="AC242" s="332"/>
      <c r="AD242" s="332"/>
      <c r="AE242" s="332"/>
    </row>
    <row r="243" spans="1:31" x14ac:dyDescent="0.25">
      <c r="A243" s="527">
        <f>ROW()</f>
        <v>243</v>
      </c>
      <c r="B243" s="28" t="str">
        <f>$B$79</f>
        <v>Administrators (Full-time &amp; Part-Time w/benefits)</v>
      </c>
      <c r="C243" s="29"/>
      <c r="D243" s="29"/>
      <c r="E243" s="29"/>
      <c r="F243" s="29"/>
      <c r="G243" s="544"/>
      <c r="H243" s="544"/>
      <c r="I243" s="544"/>
      <c r="J243" s="544"/>
      <c r="K243" s="544"/>
      <c r="L243" s="196"/>
      <c r="N243" s="196"/>
      <c r="O243" s="104"/>
      <c r="Q243" s="332"/>
      <c r="R243" s="332"/>
      <c r="S243" s="332"/>
      <c r="T243" s="332"/>
      <c r="U243" s="332"/>
      <c r="V243" s="332"/>
      <c r="W243" s="332"/>
      <c r="X243" s="332"/>
      <c r="Y243" s="332"/>
      <c r="Z243" s="332"/>
      <c r="AA243" s="332"/>
      <c r="AB243" s="332"/>
      <c r="AC243" s="332"/>
      <c r="AD243" s="332"/>
      <c r="AE243" s="332"/>
    </row>
    <row r="244" spans="1:31" x14ac:dyDescent="0.25">
      <c r="A244" s="527">
        <f>ROW()</f>
        <v>244</v>
      </c>
      <c r="B244" s="42" t="str">
        <f>$B80</f>
        <v>Principal</v>
      </c>
      <c r="C244" s="126">
        <f t="shared" ref="C244:C249" si="47">SUM(G244:M244)</f>
        <v>3679872</v>
      </c>
      <c r="D244" s="151"/>
      <c r="E244" s="151"/>
      <c r="F244" s="151"/>
      <c r="G244" s="673">
        <f>G80*$D80</f>
        <v>525696</v>
      </c>
      <c r="H244" s="673">
        <f t="shared" ref="H244:M248" si="48">(H80*$D80)</f>
        <v>525696</v>
      </c>
      <c r="I244" s="673">
        <f t="shared" si="48"/>
        <v>525696</v>
      </c>
      <c r="J244" s="673">
        <f t="shared" si="48"/>
        <v>525696</v>
      </c>
      <c r="K244" s="673">
        <f t="shared" si="48"/>
        <v>525696</v>
      </c>
      <c r="L244" s="673">
        <f t="shared" si="48"/>
        <v>525696</v>
      </c>
      <c r="M244" s="673">
        <f t="shared" si="48"/>
        <v>525696</v>
      </c>
      <c r="O244" s="104"/>
      <c r="Q244" s="332"/>
      <c r="R244" s="332"/>
      <c r="S244" s="332"/>
      <c r="T244" s="332"/>
      <c r="U244" s="332"/>
      <c r="V244" s="332"/>
      <c r="W244" s="332"/>
      <c r="X244" s="332"/>
      <c r="Y244" s="332"/>
      <c r="Z244" s="332"/>
      <c r="AA244" s="332"/>
      <c r="AB244" s="332"/>
      <c r="AC244" s="332"/>
      <c r="AD244" s="332"/>
      <c r="AE244" s="332"/>
    </row>
    <row r="245" spans="1:31" x14ac:dyDescent="0.25">
      <c r="A245" s="527">
        <f>ROW()</f>
        <v>245</v>
      </c>
      <c r="B245" s="42" t="str">
        <f>$B81</f>
        <v>Vice Principal</v>
      </c>
      <c r="C245" s="100">
        <f t="shared" si="47"/>
        <v>2170763</v>
      </c>
      <c r="D245" s="196"/>
      <c r="E245" s="196"/>
      <c r="F245" s="151"/>
      <c r="G245" s="674">
        <f>G81*$D81</f>
        <v>310109</v>
      </c>
      <c r="H245" s="674">
        <f t="shared" si="48"/>
        <v>310109</v>
      </c>
      <c r="I245" s="674">
        <f t="shared" si="48"/>
        <v>310109</v>
      </c>
      <c r="J245" s="674">
        <f t="shared" si="48"/>
        <v>310109</v>
      </c>
      <c r="K245" s="674">
        <f t="shared" si="48"/>
        <v>310109</v>
      </c>
      <c r="L245" s="674">
        <f t="shared" si="48"/>
        <v>310109</v>
      </c>
      <c r="M245" s="674">
        <f t="shared" si="48"/>
        <v>310109</v>
      </c>
      <c r="O245" s="104"/>
      <c r="Q245" s="332"/>
      <c r="R245" s="332"/>
      <c r="S245" s="332"/>
      <c r="T245" s="332"/>
      <c r="U245" s="332"/>
      <c r="V245" s="332"/>
      <c r="W245" s="332"/>
      <c r="X245" s="332"/>
      <c r="Y245" s="332"/>
      <c r="Z245" s="332"/>
      <c r="AA245" s="332"/>
      <c r="AB245" s="332"/>
      <c r="AC245" s="332"/>
      <c r="AD245" s="332"/>
      <c r="AE245" s="332"/>
    </row>
    <row r="246" spans="1:31" x14ac:dyDescent="0.25">
      <c r="A246" s="527">
        <f>ROW()</f>
        <v>246</v>
      </c>
      <c r="B246" s="42" t="str">
        <f>$B82</f>
        <v>Executive Director</v>
      </c>
      <c r="C246" s="100">
        <f t="shared" si="47"/>
        <v>1281693</v>
      </c>
      <c r="D246" s="196"/>
      <c r="E246" s="196"/>
      <c r="F246" s="151"/>
      <c r="G246" s="674">
        <f>G82*$D82</f>
        <v>183099</v>
      </c>
      <c r="H246" s="674">
        <f t="shared" si="48"/>
        <v>183099</v>
      </c>
      <c r="I246" s="674">
        <f t="shared" si="48"/>
        <v>183099</v>
      </c>
      <c r="J246" s="674">
        <f t="shared" si="48"/>
        <v>183099</v>
      </c>
      <c r="K246" s="674">
        <f t="shared" si="48"/>
        <v>183099</v>
      </c>
      <c r="L246" s="674">
        <f t="shared" si="48"/>
        <v>183099</v>
      </c>
      <c r="M246" s="674">
        <f t="shared" si="48"/>
        <v>183099</v>
      </c>
      <c r="O246" s="104"/>
      <c r="Q246" s="332"/>
      <c r="R246" s="332"/>
      <c r="S246" s="332"/>
      <c r="T246" s="332"/>
      <c r="U246" s="332"/>
      <c r="V246" s="332"/>
      <c r="W246" s="332"/>
      <c r="X246" s="332"/>
      <c r="Y246" s="332"/>
      <c r="Z246" s="332"/>
      <c r="AA246" s="332"/>
      <c r="AB246" s="332"/>
      <c r="AC246" s="332"/>
      <c r="AD246" s="332"/>
      <c r="AE246" s="332"/>
    </row>
    <row r="247" spans="1:31" x14ac:dyDescent="0.25">
      <c r="A247" s="527">
        <f>ROW()</f>
        <v>247</v>
      </c>
      <c r="B247" s="42" t="str">
        <f>$B83</f>
        <v>Superintendent of Schools</v>
      </c>
      <c r="C247" s="100">
        <f t="shared" si="47"/>
        <v>1420342</v>
      </c>
      <c r="D247" s="196"/>
      <c r="E247" s="196"/>
      <c r="F247" s="151"/>
      <c r="G247" s="674">
        <f>G83*$D83</f>
        <v>202906</v>
      </c>
      <c r="H247" s="674">
        <f t="shared" si="48"/>
        <v>202906</v>
      </c>
      <c r="I247" s="674">
        <f t="shared" si="48"/>
        <v>202906</v>
      </c>
      <c r="J247" s="674">
        <f t="shared" si="48"/>
        <v>202906</v>
      </c>
      <c r="K247" s="674">
        <f t="shared" si="48"/>
        <v>202906</v>
      </c>
      <c r="L247" s="674">
        <f t="shared" si="48"/>
        <v>202906</v>
      </c>
      <c r="M247" s="674">
        <f t="shared" si="48"/>
        <v>202906</v>
      </c>
      <c r="O247" s="104"/>
      <c r="Q247" s="332"/>
      <c r="R247" s="332"/>
      <c r="S247" s="332"/>
      <c r="T247" s="332"/>
      <c r="U247" s="332"/>
      <c r="V247" s="332"/>
      <c r="W247" s="332"/>
      <c r="X247" s="332"/>
      <c r="Y247" s="332"/>
      <c r="Z247" s="332"/>
      <c r="AA247" s="332"/>
      <c r="AB247" s="332"/>
      <c r="AC247" s="332"/>
      <c r="AD247" s="332"/>
      <c r="AE247" s="332"/>
    </row>
    <row r="248" spans="1:31" x14ac:dyDescent="0.25">
      <c r="A248" s="527">
        <f>ROW()</f>
        <v>248</v>
      </c>
      <c r="B248" s="29" t="str">
        <f>$B84</f>
        <v>Prof Dev &amp; On-Line Curr/Tech</v>
      </c>
      <c r="C248" s="675">
        <f t="shared" si="47"/>
        <v>1853836.32</v>
      </c>
      <c r="D248" s="676"/>
      <c r="E248" s="676"/>
      <c r="F248" s="676"/>
      <c r="G248" s="677">
        <f>G84*$D84</f>
        <v>264833.76</v>
      </c>
      <c r="H248" s="677">
        <f t="shared" si="48"/>
        <v>264833.76</v>
      </c>
      <c r="I248" s="677">
        <f t="shared" si="48"/>
        <v>264833.76</v>
      </c>
      <c r="J248" s="677">
        <f t="shared" si="48"/>
        <v>264833.76</v>
      </c>
      <c r="K248" s="677">
        <f t="shared" si="48"/>
        <v>264833.76</v>
      </c>
      <c r="L248" s="677">
        <f t="shared" si="48"/>
        <v>264833.76</v>
      </c>
      <c r="M248" s="677">
        <f t="shared" si="48"/>
        <v>264833.76</v>
      </c>
      <c r="O248" s="104"/>
      <c r="Q248" s="332"/>
      <c r="R248" s="332"/>
      <c r="S248" s="332"/>
      <c r="T248" s="332"/>
      <c r="U248" s="332"/>
      <c r="V248" s="332"/>
      <c r="W248" s="332"/>
      <c r="X248" s="332"/>
      <c r="Y248" s="332"/>
      <c r="Z248" s="332"/>
      <c r="AA248" s="332"/>
      <c r="AB248" s="332"/>
      <c r="AC248" s="332"/>
      <c r="AD248" s="332"/>
      <c r="AE248" s="332"/>
    </row>
    <row r="249" spans="1:31" x14ac:dyDescent="0.25">
      <c r="A249" s="527">
        <f>ROW()</f>
        <v>249</v>
      </c>
      <c r="B249" s="38" t="s">
        <v>613</v>
      </c>
      <c r="C249" s="100">
        <f t="shared" si="47"/>
        <v>10406506.32</v>
      </c>
      <c r="D249" s="196"/>
      <c r="E249" s="196"/>
      <c r="F249" s="196"/>
      <c r="G249" s="192">
        <f t="shared" ref="G249:M249" si="49">SUM(G244:G248)</f>
        <v>1486643.76</v>
      </c>
      <c r="H249" s="192">
        <f t="shared" si="49"/>
        <v>1486643.76</v>
      </c>
      <c r="I249" s="192">
        <f t="shared" si="49"/>
        <v>1486643.76</v>
      </c>
      <c r="J249" s="192">
        <f t="shared" si="49"/>
        <v>1486643.76</v>
      </c>
      <c r="K249" s="192">
        <f t="shared" si="49"/>
        <v>1486643.76</v>
      </c>
      <c r="L249" s="192">
        <f t="shared" si="49"/>
        <v>1486643.76</v>
      </c>
      <c r="M249" s="192">
        <f t="shared" si="49"/>
        <v>1486643.76</v>
      </c>
      <c r="O249" s="104"/>
      <c r="Q249" s="332"/>
      <c r="R249" s="332"/>
      <c r="S249" s="332"/>
      <c r="T249" s="332"/>
      <c r="U249" s="332"/>
      <c r="V249" s="332"/>
      <c r="W249" s="332"/>
      <c r="X249" s="332"/>
      <c r="Y249" s="332"/>
      <c r="Z249" s="332"/>
      <c r="AA249" s="332"/>
      <c r="AB249" s="332"/>
      <c r="AC249" s="332"/>
      <c r="AD249" s="332"/>
      <c r="AE249" s="332"/>
    </row>
    <row r="250" spans="1:31" x14ac:dyDescent="0.25">
      <c r="A250" s="527">
        <f>ROW()</f>
        <v>250</v>
      </c>
      <c r="B250" s="38"/>
      <c r="C250" s="100"/>
      <c r="D250" s="196"/>
      <c r="E250" s="196"/>
      <c r="F250" s="196"/>
      <c r="G250" s="100"/>
      <c r="H250" s="100"/>
      <c r="I250" s="100"/>
      <c r="J250" s="100"/>
      <c r="K250" s="100"/>
      <c r="L250" s="100"/>
      <c r="M250" s="100"/>
      <c r="O250" s="104"/>
      <c r="Q250" s="332"/>
      <c r="R250" s="332"/>
      <c r="S250" s="332"/>
      <c r="T250" s="332"/>
      <c r="U250" s="332"/>
      <c r="V250" s="332"/>
      <c r="W250" s="332"/>
      <c r="X250" s="332"/>
      <c r="Y250" s="332"/>
      <c r="Z250" s="332"/>
      <c r="AA250" s="332"/>
      <c r="AB250" s="332"/>
      <c r="AC250" s="332"/>
      <c r="AD250" s="332"/>
      <c r="AE250" s="332"/>
    </row>
    <row r="251" spans="1:31" x14ac:dyDescent="0.25">
      <c r="A251" s="527">
        <f>ROW()</f>
        <v>251</v>
      </c>
      <c r="B251" s="28" t="str">
        <f>$B$88</f>
        <v>Office Staff (Full-time &amp; Part-Time w/benefits)</v>
      </c>
      <c r="C251" s="675"/>
      <c r="D251" s="676"/>
      <c r="E251" s="676"/>
      <c r="F251" s="676"/>
      <c r="G251" s="675"/>
      <c r="H251" s="675"/>
      <c r="I251" s="675"/>
      <c r="J251" s="675"/>
      <c r="K251" s="675"/>
      <c r="L251" s="675"/>
      <c r="M251" s="675"/>
      <c r="O251" s="104"/>
      <c r="Q251" s="332"/>
      <c r="R251" s="332"/>
      <c r="S251" s="332"/>
      <c r="T251" s="332"/>
      <c r="U251" s="332"/>
      <c r="V251" s="332"/>
      <c r="W251" s="332"/>
      <c r="X251" s="332"/>
      <c r="Y251" s="332"/>
      <c r="Z251" s="332"/>
      <c r="AA251" s="332"/>
      <c r="AB251" s="332"/>
      <c r="AC251" s="332"/>
      <c r="AD251" s="332"/>
      <c r="AE251" s="332"/>
    </row>
    <row r="252" spans="1:31" x14ac:dyDescent="0.25">
      <c r="A252" s="527">
        <f>ROW()</f>
        <v>252</v>
      </c>
      <c r="B252" s="42" t="str">
        <f>$B89</f>
        <v>Director of Business &amp; Finance</v>
      </c>
      <c r="C252" s="100">
        <f>SUM(G252:M252)</f>
        <v>1120994</v>
      </c>
      <c r="D252" s="196"/>
      <c r="E252" s="196"/>
      <c r="F252" s="196"/>
      <c r="G252" s="674">
        <f>G89*$D89</f>
        <v>160142</v>
      </c>
      <c r="H252" s="674">
        <f t="shared" ref="H252:M255" si="50">(H89*$D89)</f>
        <v>160142</v>
      </c>
      <c r="I252" s="674">
        <f t="shared" si="50"/>
        <v>160142</v>
      </c>
      <c r="J252" s="674">
        <f t="shared" si="50"/>
        <v>160142</v>
      </c>
      <c r="K252" s="674">
        <f t="shared" si="50"/>
        <v>160142</v>
      </c>
      <c r="L252" s="674">
        <f t="shared" si="50"/>
        <v>160142</v>
      </c>
      <c r="M252" s="674">
        <f t="shared" si="50"/>
        <v>160142</v>
      </c>
      <c r="O252" s="104"/>
      <c r="Q252" s="332"/>
      <c r="R252" s="332"/>
      <c r="S252" s="332"/>
      <c r="T252" s="332"/>
      <c r="U252" s="332"/>
      <c r="V252" s="332"/>
      <c r="W252" s="332"/>
      <c r="X252" s="332"/>
      <c r="Y252" s="332"/>
      <c r="Z252" s="332"/>
      <c r="AA252" s="332"/>
      <c r="AB252" s="332"/>
      <c r="AC252" s="332"/>
      <c r="AD252" s="332"/>
      <c r="AE252" s="332"/>
    </row>
    <row r="253" spans="1:31" x14ac:dyDescent="0.25">
      <c r="A253" s="527">
        <f>ROW()</f>
        <v>253</v>
      </c>
      <c r="B253" s="42" t="str">
        <f>$B90</f>
        <v>Director of Human Resources</v>
      </c>
      <c r="C253" s="100">
        <f>SUM(G253:M253)</f>
        <v>1058813</v>
      </c>
      <c r="D253" s="196"/>
      <c r="E253" s="196"/>
      <c r="F253" s="196"/>
      <c r="G253" s="674">
        <f>G90*$D90</f>
        <v>151259</v>
      </c>
      <c r="H253" s="674">
        <f>(H90*$D90)</f>
        <v>151259</v>
      </c>
      <c r="I253" s="674">
        <f t="shared" si="50"/>
        <v>151259</v>
      </c>
      <c r="J253" s="674">
        <f t="shared" si="50"/>
        <v>151259</v>
      </c>
      <c r="K253" s="674">
        <f t="shared" si="50"/>
        <v>151259</v>
      </c>
      <c r="L253" s="674">
        <f t="shared" si="50"/>
        <v>151259</v>
      </c>
      <c r="M253" s="674">
        <f t="shared" si="50"/>
        <v>151259</v>
      </c>
      <c r="O253" s="104"/>
      <c r="Q253" s="332"/>
      <c r="R253" s="332"/>
      <c r="S253" s="332"/>
      <c r="T253" s="332"/>
      <c r="U253" s="332"/>
      <c r="V253" s="332"/>
      <c r="W253" s="332"/>
      <c r="X253" s="332"/>
      <c r="Y253" s="332"/>
      <c r="Z253" s="332"/>
      <c r="AA253" s="332"/>
      <c r="AB253" s="332"/>
      <c r="AC253" s="332"/>
      <c r="AD253" s="332"/>
      <c r="AE253" s="332"/>
    </row>
    <row r="254" spans="1:31" x14ac:dyDescent="0.25">
      <c r="A254" s="527"/>
      <c r="B254" s="42" t="str">
        <f>$B91</f>
        <v>Accountability/Attendance/Registration</v>
      </c>
      <c r="C254" s="100">
        <f>SUM(G254:M254)</f>
        <v>3891948.4800000004</v>
      </c>
      <c r="D254" s="196"/>
      <c r="E254" s="196"/>
      <c r="F254" s="196"/>
      <c r="G254" s="674">
        <f>G91*$D91</f>
        <v>555992.64</v>
      </c>
      <c r="H254" s="674">
        <f>(H91*$D91)</f>
        <v>555992.64</v>
      </c>
      <c r="I254" s="674">
        <f t="shared" si="50"/>
        <v>555992.64</v>
      </c>
      <c r="J254" s="674">
        <f t="shared" si="50"/>
        <v>555992.64</v>
      </c>
      <c r="K254" s="674">
        <f t="shared" si="50"/>
        <v>555992.64</v>
      </c>
      <c r="L254" s="674">
        <f t="shared" si="50"/>
        <v>555992.64</v>
      </c>
      <c r="M254" s="674">
        <f t="shared" si="50"/>
        <v>555992.64</v>
      </c>
      <c r="O254" s="104"/>
      <c r="Q254" s="332"/>
      <c r="R254" s="332"/>
      <c r="S254" s="332"/>
      <c r="T254" s="332"/>
      <c r="U254" s="332"/>
      <c r="V254" s="332"/>
      <c r="W254" s="332"/>
      <c r="X254" s="332"/>
      <c r="Y254" s="332"/>
      <c r="Z254" s="332"/>
      <c r="AA254" s="332"/>
      <c r="AB254" s="332"/>
      <c r="AC254" s="332"/>
      <c r="AD254" s="332"/>
      <c r="AE254" s="332"/>
    </row>
    <row r="255" spans="1:31" x14ac:dyDescent="0.25">
      <c r="A255" s="527">
        <f>ROW()</f>
        <v>255</v>
      </c>
      <c r="B255" s="29" t="str">
        <f>$B92</f>
        <v>Operations Support Staff/Back Office</v>
      </c>
      <c r="C255" s="675">
        <f>SUM(G255:M255)</f>
        <v>5638739.8199999994</v>
      </c>
      <c r="D255" s="676"/>
      <c r="E255" s="676"/>
      <c r="F255" s="676"/>
      <c r="G255" s="674">
        <f>G92*$D92</f>
        <v>805534.26</v>
      </c>
      <c r="H255" s="674">
        <f>(H92*$D92)</f>
        <v>805534.26</v>
      </c>
      <c r="I255" s="674">
        <f t="shared" si="50"/>
        <v>805534.26</v>
      </c>
      <c r="J255" s="674">
        <f t="shared" si="50"/>
        <v>805534.26</v>
      </c>
      <c r="K255" s="674">
        <f t="shared" si="50"/>
        <v>805534.26</v>
      </c>
      <c r="L255" s="674">
        <f t="shared" si="50"/>
        <v>805534.26</v>
      </c>
      <c r="M255" s="674">
        <f t="shared" si="50"/>
        <v>805534.26</v>
      </c>
      <c r="O255" s="104"/>
      <c r="Q255" s="332"/>
      <c r="R255" s="332"/>
      <c r="S255" s="332"/>
      <c r="T255" s="332"/>
      <c r="U255" s="332"/>
      <c r="V255" s="332"/>
      <c r="W255" s="332"/>
      <c r="X255" s="332"/>
      <c r="Y255" s="332"/>
      <c r="Z255" s="332"/>
      <c r="AA255" s="332"/>
      <c r="AB255" s="332"/>
      <c r="AC255" s="332"/>
      <c r="AD255" s="332"/>
      <c r="AE255" s="332"/>
    </row>
    <row r="256" spans="1:31" x14ac:dyDescent="0.25">
      <c r="A256" s="527">
        <f>ROW()</f>
        <v>256</v>
      </c>
      <c r="B256" s="38" t="s">
        <v>614</v>
      </c>
      <c r="C256" s="100">
        <f>SUM(G256:M256)</f>
        <v>11710495.300000001</v>
      </c>
      <c r="D256" s="196"/>
      <c r="E256" s="196"/>
      <c r="F256" s="196"/>
      <c r="G256" s="192">
        <f t="shared" ref="G256:M256" si="51">SUM(G252:G255)</f>
        <v>1672927.9</v>
      </c>
      <c r="H256" s="192">
        <f t="shared" si="51"/>
        <v>1672927.9</v>
      </c>
      <c r="I256" s="192">
        <f t="shared" si="51"/>
        <v>1672927.9</v>
      </c>
      <c r="J256" s="192">
        <f t="shared" si="51"/>
        <v>1672927.9</v>
      </c>
      <c r="K256" s="192">
        <f t="shared" si="51"/>
        <v>1672927.9</v>
      </c>
      <c r="L256" s="192">
        <f t="shared" si="51"/>
        <v>1672927.9</v>
      </c>
      <c r="M256" s="192">
        <f t="shared" si="51"/>
        <v>1672927.9</v>
      </c>
      <c r="O256" s="104"/>
      <c r="Q256" s="332"/>
      <c r="R256" s="332"/>
      <c r="S256" s="332"/>
      <c r="T256" s="332"/>
      <c r="U256" s="332"/>
      <c r="V256" s="332"/>
      <c r="W256" s="332"/>
      <c r="X256" s="332"/>
      <c r="Y256" s="332"/>
      <c r="Z256" s="332"/>
      <c r="AA256" s="332"/>
      <c r="AB256" s="332"/>
      <c r="AC256" s="332"/>
      <c r="AD256" s="332"/>
      <c r="AE256" s="332"/>
    </row>
    <row r="257" spans="1:31" x14ac:dyDescent="0.25">
      <c r="A257" s="527">
        <f>ROW()</f>
        <v>257</v>
      </c>
      <c r="C257" s="100"/>
      <c r="D257" s="196"/>
      <c r="E257" s="196"/>
      <c r="F257" s="196"/>
      <c r="G257" s="100"/>
      <c r="H257" s="100"/>
      <c r="I257" s="100"/>
      <c r="J257" s="100"/>
      <c r="K257" s="100"/>
      <c r="L257" s="100"/>
      <c r="M257" s="100"/>
      <c r="O257" s="104"/>
      <c r="Q257" s="332"/>
      <c r="R257" s="332"/>
      <c r="S257" s="332"/>
      <c r="T257" s="332"/>
      <c r="U257" s="332"/>
      <c r="V257" s="332"/>
      <c r="W257" s="332"/>
      <c r="X257" s="332"/>
      <c r="Y257" s="332"/>
      <c r="Z257" s="332"/>
      <c r="AA257" s="332"/>
      <c r="AB257" s="332"/>
      <c r="AC257" s="332"/>
      <c r="AD257" s="332"/>
      <c r="AE257" s="332"/>
    </row>
    <row r="258" spans="1:31" x14ac:dyDescent="0.25">
      <c r="A258" s="527">
        <f>ROW()</f>
        <v>258</v>
      </c>
      <c r="B258" s="678" t="str">
        <f>$B$94</f>
        <v>Total Administrators and Office Staff</v>
      </c>
      <c r="C258" s="679">
        <f>SUM(G258:M258)</f>
        <v>22117001.620000001</v>
      </c>
      <c r="D258" s="680"/>
      <c r="E258" s="680"/>
      <c r="F258" s="680"/>
      <c r="G258" s="681">
        <f t="shared" ref="G258:M258" si="52">+G249+G256</f>
        <v>3159571.66</v>
      </c>
      <c r="H258" s="681">
        <f t="shared" si="52"/>
        <v>3159571.66</v>
      </c>
      <c r="I258" s="681">
        <f t="shared" si="52"/>
        <v>3159571.66</v>
      </c>
      <c r="J258" s="681">
        <f t="shared" si="52"/>
        <v>3159571.66</v>
      </c>
      <c r="K258" s="681">
        <f t="shared" si="52"/>
        <v>3159571.66</v>
      </c>
      <c r="L258" s="681">
        <f t="shared" si="52"/>
        <v>3159571.66</v>
      </c>
      <c r="M258" s="681">
        <f t="shared" si="52"/>
        <v>3159571.66</v>
      </c>
      <c r="O258" s="104"/>
      <c r="Q258" s="332"/>
      <c r="R258" s="332"/>
      <c r="S258" s="332"/>
      <c r="T258" s="332"/>
      <c r="U258" s="332"/>
      <c r="V258" s="332"/>
      <c r="W258" s="332"/>
      <c r="X258" s="332"/>
      <c r="Y258" s="332"/>
      <c r="Z258" s="332"/>
      <c r="AA258" s="332"/>
      <c r="AB258" s="332"/>
      <c r="AC258" s="332"/>
      <c r="AD258" s="332"/>
      <c r="AE258" s="332"/>
    </row>
    <row r="259" spans="1:31" x14ac:dyDescent="0.25">
      <c r="A259" s="527">
        <f>ROW()</f>
        <v>259</v>
      </c>
      <c r="G259" s="161"/>
      <c r="H259" s="161"/>
      <c r="I259" s="161"/>
      <c r="J259" s="161"/>
      <c r="K259" s="161"/>
      <c r="L259" s="161"/>
      <c r="M259" s="161"/>
      <c r="O259" s="104"/>
      <c r="Q259" s="332"/>
      <c r="R259" s="332"/>
      <c r="S259" s="332"/>
      <c r="T259" s="332"/>
      <c r="U259" s="332"/>
      <c r="V259" s="332"/>
      <c r="W259" s="332"/>
      <c r="X259" s="332"/>
      <c r="Y259" s="332"/>
      <c r="Z259" s="332"/>
      <c r="AA259" s="332"/>
      <c r="AB259" s="332"/>
      <c r="AC259" s="332"/>
      <c r="AD259" s="332"/>
      <c r="AE259" s="332"/>
    </row>
    <row r="260" spans="1:31" x14ac:dyDescent="0.25">
      <c r="A260" s="527">
        <f>ROW()</f>
        <v>260</v>
      </c>
      <c r="B260" s="38"/>
      <c r="C260" s="100"/>
      <c r="D260" s="196"/>
      <c r="E260" s="196"/>
      <c r="F260" s="196"/>
      <c r="G260" s="100"/>
      <c r="H260" s="100"/>
      <c r="I260" s="100"/>
      <c r="J260" s="100"/>
      <c r="K260" s="100"/>
      <c r="L260" s="100"/>
      <c r="M260" s="100"/>
      <c r="O260" s="104"/>
      <c r="Q260" s="332"/>
      <c r="R260" s="332"/>
      <c r="S260" s="332"/>
      <c r="T260" s="332"/>
      <c r="U260" s="332"/>
      <c r="V260" s="332"/>
      <c r="W260" s="332"/>
      <c r="X260" s="332"/>
      <c r="Y260" s="332"/>
      <c r="Z260" s="332"/>
      <c r="AA260" s="332"/>
      <c r="AB260" s="332"/>
      <c r="AC260" s="332"/>
      <c r="AD260" s="332"/>
      <c r="AE260" s="332"/>
    </row>
    <row r="261" spans="1:31" x14ac:dyDescent="0.25">
      <c r="A261" s="527">
        <f>ROW()</f>
        <v>261</v>
      </c>
      <c r="B261" s="28" t="str">
        <f>$B$96</f>
        <v>Special Education (SPED) Teachers (Full-time &amp; Part-Time w/benefits)</v>
      </c>
      <c r="C261" s="675"/>
      <c r="D261" s="676"/>
      <c r="E261" s="676"/>
      <c r="F261" s="676"/>
      <c r="G261" s="675"/>
      <c r="H261" s="675"/>
      <c r="I261" s="675"/>
      <c r="J261" s="675"/>
      <c r="K261" s="675"/>
      <c r="L261" s="675"/>
      <c r="M261" s="675"/>
      <c r="O261" s="104"/>
      <c r="Q261" s="332"/>
      <c r="R261" s="332"/>
      <c r="S261" s="332"/>
      <c r="T261" s="332"/>
      <c r="U261" s="332"/>
      <c r="V261" s="332"/>
      <c r="W261" s="332"/>
      <c r="X261" s="332"/>
      <c r="Y261" s="332"/>
      <c r="Z261" s="332"/>
      <c r="AA261" s="332"/>
      <c r="AB261" s="332"/>
      <c r="AC261" s="332"/>
      <c r="AD261" s="332"/>
      <c r="AE261" s="332"/>
    </row>
    <row r="262" spans="1:31" x14ac:dyDescent="0.25">
      <c r="A262" s="527">
        <f>ROW()</f>
        <v>262</v>
      </c>
      <c r="B262" s="682" t="str">
        <f>$B$97</f>
        <v>SPED Aide</v>
      </c>
      <c r="C262" s="100">
        <f t="shared" ref="C262:C271" si="53">SUM(G262:M262)</f>
        <v>4777962.5599999996</v>
      </c>
      <c r="D262" s="196"/>
      <c r="E262" s="196"/>
      <c r="F262" s="196"/>
      <c r="G262" s="674">
        <f t="shared" ref="G262:G270" si="54">G97*$D97</f>
        <v>682566.07999999984</v>
      </c>
      <c r="H262" s="674">
        <f t="shared" ref="H262:M270" si="55">(H97*$D97)</f>
        <v>682566.07999999984</v>
      </c>
      <c r="I262" s="674">
        <f t="shared" si="55"/>
        <v>682566.07999999984</v>
      </c>
      <c r="J262" s="674">
        <f t="shared" si="55"/>
        <v>682566.07999999984</v>
      </c>
      <c r="K262" s="674">
        <f t="shared" si="55"/>
        <v>682566.07999999984</v>
      </c>
      <c r="L262" s="674">
        <f t="shared" si="55"/>
        <v>682566.07999999984</v>
      </c>
      <c r="M262" s="674">
        <f t="shared" si="55"/>
        <v>682566.07999999984</v>
      </c>
      <c r="O262" s="104"/>
      <c r="Q262" s="332"/>
      <c r="R262" s="332"/>
      <c r="S262" s="332"/>
      <c r="T262" s="332"/>
      <c r="U262" s="332"/>
      <c r="V262" s="332"/>
      <c r="W262" s="332"/>
      <c r="X262" s="332"/>
      <c r="Y262" s="332"/>
      <c r="Z262" s="332"/>
      <c r="AA262" s="332"/>
      <c r="AB262" s="332"/>
      <c r="AC262" s="332"/>
      <c r="AD262" s="332"/>
      <c r="AE262" s="332"/>
    </row>
    <row r="263" spans="1:31" x14ac:dyDescent="0.25">
      <c r="A263" s="527">
        <f>ROW()</f>
        <v>263</v>
      </c>
      <c r="B263" s="682" t="str">
        <f>$B$98</f>
        <v xml:space="preserve">SPED Facilitator </v>
      </c>
      <c r="C263" s="100">
        <f t="shared" si="53"/>
        <v>1570673.2300000004</v>
      </c>
      <c r="D263" s="196"/>
      <c r="E263" s="196"/>
      <c r="F263" s="196"/>
      <c r="G263" s="674">
        <f t="shared" si="54"/>
        <v>224381.89</v>
      </c>
      <c r="H263" s="674">
        <f t="shared" si="55"/>
        <v>224381.89</v>
      </c>
      <c r="I263" s="674">
        <f t="shared" si="55"/>
        <v>224381.89</v>
      </c>
      <c r="J263" s="674">
        <f t="shared" si="55"/>
        <v>224381.89</v>
      </c>
      <c r="K263" s="674">
        <f t="shared" si="55"/>
        <v>224381.89</v>
      </c>
      <c r="L263" s="674">
        <f t="shared" si="55"/>
        <v>224381.89</v>
      </c>
      <c r="M263" s="674">
        <f t="shared" si="55"/>
        <v>224381.89</v>
      </c>
      <c r="O263" s="104"/>
      <c r="Q263" s="332"/>
      <c r="R263" s="332"/>
      <c r="S263" s="332"/>
      <c r="T263" s="332"/>
      <c r="U263" s="332"/>
      <c r="V263" s="332"/>
      <c r="W263" s="332"/>
      <c r="X263" s="332"/>
      <c r="Y263" s="332"/>
      <c r="Z263" s="332"/>
      <c r="AA263" s="332"/>
      <c r="AB263" s="332"/>
      <c r="AC263" s="332"/>
      <c r="AD263" s="332"/>
      <c r="AE263" s="332"/>
    </row>
    <row r="264" spans="1:31" x14ac:dyDescent="0.25">
      <c r="A264" s="527">
        <f>ROW()</f>
        <v>264</v>
      </c>
      <c r="B264" s="682" t="str">
        <f>$B$99</f>
        <v>SPED Teacher</v>
      </c>
      <c r="C264" s="100">
        <f t="shared" si="53"/>
        <v>5010908</v>
      </c>
      <c r="D264" s="196"/>
      <c r="E264" s="196"/>
      <c r="F264" s="196"/>
      <c r="G264" s="674">
        <f t="shared" si="54"/>
        <v>715844</v>
      </c>
      <c r="H264" s="674">
        <f t="shared" si="55"/>
        <v>715844</v>
      </c>
      <c r="I264" s="674">
        <f t="shared" si="55"/>
        <v>715844</v>
      </c>
      <c r="J264" s="674">
        <f t="shared" si="55"/>
        <v>715844</v>
      </c>
      <c r="K264" s="674">
        <f t="shared" si="55"/>
        <v>715844</v>
      </c>
      <c r="L264" s="674">
        <f t="shared" si="55"/>
        <v>715844</v>
      </c>
      <c r="M264" s="674">
        <f t="shared" si="55"/>
        <v>715844</v>
      </c>
      <c r="O264" s="104"/>
      <c r="Q264" s="332"/>
      <c r="R264" s="332"/>
      <c r="S264" s="332"/>
      <c r="T264" s="332"/>
      <c r="U264" s="332"/>
      <c r="V264" s="332"/>
      <c r="W264" s="332"/>
      <c r="X264" s="332"/>
      <c r="Y264" s="332"/>
      <c r="Z264" s="332"/>
      <c r="AA264" s="332"/>
      <c r="AB264" s="332"/>
      <c r="AC264" s="332"/>
      <c r="AD264" s="332"/>
      <c r="AE264" s="332"/>
    </row>
    <row r="265" spans="1:31" x14ac:dyDescent="0.25">
      <c r="A265" s="527">
        <f>ROW()</f>
        <v>265</v>
      </c>
      <c r="B265" s="682" t="str">
        <f>$B$100</f>
        <v>Speech Path</v>
      </c>
      <c r="C265" s="100">
        <f t="shared" si="53"/>
        <v>771057</v>
      </c>
      <c r="D265" s="196"/>
      <c r="E265" s="196"/>
      <c r="F265" s="196"/>
      <c r="G265" s="674">
        <f t="shared" si="54"/>
        <v>110151</v>
      </c>
      <c r="H265" s="674">
        <f t="shared" si="55"/>
        <v>110151</v>
      </c>
      <c r="I265" s="674">
        <f t="shared" si="55"/>
        <v>110151</v>
      </c>
      <c r="J265" s="674">
        <f t="shared" si="55"/>
        <v>110151</v>
      </c>
      <c r="K265" s="674">
        <f t="shared" si="55"/>
        <v>110151</v>
      </c>
      <c r="L265" s="674">
        <f t="shared" si="55"/>
        <v>110151</v>
      </c>
      <c r="M265" s="674">
        <f t="shared" si="55"/>
        <v>110151</v>
      </c>
      <c r="O265" s="104"/>
      <c r="Q265" s="332"/>
      <c r="R265" s="332"/>
      <c r="S265" s="332"/>
      <c r="T265" s="332"/>
      <c r="U265" s="332"/>
      <c r="V265" s="332"/>
      <c r="W265" s="332"/>
      <c r="X265" s="332"/>
      <c r="Y265" s="332"/>
      <c r="Z265" s="332"/>
      <c r="AA265" s="332"/>
      <c r="AB265" s="332"/>
      <c r="AC265" s="332"/>
      <c r="AD265" s="332"/>
      <c r="AE265" s="332"/>
    </row>
    <row r="266" spans="1:31" x14ac:dyDescent="0.25">
      <c r="A266" s="527">
        <f>ROW()</f>
        <v>266</v>
      </c>
      <c r="B266" s="682" t="str">
        <f>$B$101</f>
        <v xml:space="preserve">Transition Specialist </v>
      </c>
      <c r="C266" s="100">
        <f t="shared" si="53"/>
        <v>722323</v>
      </c>
      <c r="D266" s="196"/>
      <c r="E266" s="196"/>
      <c r="F266" s="196"/>
      <c r="G266" s="674">
        <f t="shared" si="54"/>
        <v>103189</v>
      </c>
      <c r="H266" s="674">
        <f t="shared" si="55"/>
        <v>103189</v>
      </c>
      <c r="I266" s="674">
        <f t="shared" si="55"/>
        <v>103189</v>
      </c>
      <c r="J266" s="674">
        <f t="shared" si="55"/>
        <v>103189</v>
      </c>
      <c r="K266" s="674">
        <f t="shared" si="55"/>
        <v>103189</v>
      </c>
      <c r="L266" s="674">
        <f t="shared" si="55"/>
        <v>103189</v>
      </c>
      <c r="M266" s="674">
        <f t="shared" si="55"/>
        <v>103189</v>
      </c>
      <c r="O266" s="104"/>
      <c r="Q266" s="332"/>
      <c r="R266" s="332"/>
      <c r="S266" s="332"/>
      <c r="T266" s="332"/>
      <c r="U266" s="332"/>
      <c r="V266" s="332"/>
      <c r="W266" s="332"/>
      <c r="X266" s="332"/>
      <c r="Y266" s="332"/>
      <c r="Z266" s="332"/>
      <c r="AA266" s="332"/>
      <c r="AB266" s="332"/>
      <c r="AC266" s="332"/>
      <c r="AD266" s="332"/>
      <c r="AE266" s="332"/>
    </row>
    <row r="267" spans="1:31" x14ac:dyDescent="0.25">
      <c r="A267" s="527">
        <f>ROW()</f>
        <v>267</v>
      </c>
      <c r="B267" s="682" t="str">
        <f>$B102</f>
        <v>Math &amp; ELA Instructional Assistant</v>
      </c>
      <c r="C267" s="100">
        <f t="shared" si="53"/>
        <v>360671.35999999993</v>
      </c>
      <c r="D267" s="196"/>
      <c r="E267" s="196"/>
      <c r="F267" s="196"/>
      <c r="G267" s="674">
        <f t="shared" si="54"/>
        <v>51524.479999999996</v>
      </c>
      <c r="H267" s="674">
        <f t="shared" si="55"/>
        <v>51524.479999999996</v>
      </c>
      <c r="I267" s="674">
        <f t="shared" si="55"/>
        <v>51524.479999999996</v>
      </c>
      <c r="J267" s="674">
        <f t="shared" si="55"/>
        <v>51524.479999999996</v>
      </c>
      <c r="K267" s="674">
        <f t="shared" si="55"/>
        <v>51524.479999999996</v>
      </c>
      <c r="L267" s="674">
        <f t="shared" si="55"/>
        <v>51524.479999999996</v>
      </c>
      <c r="M267" s="674">
        <f t="shared" si="55"/>
        <v>51524.479999999996</v>
      </c>
      <c r="O267" s="104"/>
      <c r="Q267" s="332"/>
      <c r="R267" s="332"/>
      <c r="S267" s="332"/>
      <c r="T267" s="332"/>
      <c r="U267" s="332"/>
      <c r="V267" s="332"/>
      <c r="W267" s="332"/>
      <c r="X267" s="332"/>
      <c r="Y267" s="332"/>
      <c r="Z267" s="332"/>
      <c r="AA267" s="332"/>
      <c r="AB267" s="332"/>
      <c r="AC267" s="332"/>
      <c r="AD267" s="332"/>
      <c r="AE267" s="332"/>
    </row>
    <row r="268" spans="1:31" x14ac:dyDescent="0.25">
      <c r="A268" s="527">
        <f>ROW()</f>
        <v>268</v>
      </c>
      <c r="B268" s="682" t="str">
        <f>$B103</f>
        <v>SPED Specialist Assistant 7</v>
      </c>
      <c r="C268" s="100">
        <f t="shared" si="53"/>
        <v>0</v>
      </c>
      <c r="D268" s="196"/>
      <c r="E268" s="196"/>
      <c r="F268" s="196"/>
      <c r="G268" s="674">
        <f t="shared" si="54"/>
        <v>0</v>
      </c>
      <c r="H268" s="674">
        <f t="shared" si="55"/>
        <v>0</v>
      </c>
      <c r="I268" s="674">
        <f t="shared" si="55"/>
        <v>0</v>
      </c>
      <c r="J268" s="674">
        <f t="shared" si="55"/>
        <v>0</v>
      </c>
      <c r="K268" s="674">
        <f t="shared" si="55"/>
        <v>0</v>
      </c>
      <c r="L268" s="674">
        <f t="shared" si="55"/>
        <v>0</v>
      </c>
      <c r="M268" s="674">
        <f t="shared" si="55"/>
        <v>0</v>
      </c>
      <c r="O268" s="104"/>
      <c r="Q268" s="332"/>
      <c r="R268" s="332"/>
      <c r="S268" s="332"/>
      <c r="T268" s="332"/>
      <c r="U268" s="332"/>
      <c r="V268" s="332"/>
      <c r="W268" s="332"/>
      <c r="X268" s="332"/>
      <c r="Y268" s="332"/>
      <c r="Z268" s="332"/>
      <c r="AA268" s="332"/>
      <c r="AB268" s="332"/>
      <c r="AC268" s="332"/>
      <c r="AD268" s="332"/>
      <c r="AE268" s="332"/>
    </row>
    <row r="269" spans="1:31" x14ac:dyDescent="0.25">
      <c r="A269" s="527">
        <f>ROW()</f>
        <v>269</v>
      </c>
      <c r="B269" s="682" t="str">
        <f>$B104</f>
        <v>SPED Specialist Assistant 7</v>
      </c>
      <c r="C269" s="100">
        <f t="shared" si="53"/>
        <v>0</v>
      </c>
      <c r="D269" s="196"/>
      <c r="E269" s="196"/>
      <c r="F269" s="196"/>
      <c r="G269" s="674">
        <f t="shared" si="54"/>
        <v>0</v>
      </c>
      <c r="H269" s="674">
        <f t="shared" si="55"/>
        <v>0</v>
      </c>
      <c r="I269" s="674">
        <f t="shared" si="55"/>
        <v>0</v>
      </c>
      <c r="J269" s="674">
        <f t="shared" si="55"/>
        <v>0</v>
      </c>
      <c r="K269" s="674">
        <f t="shared" si="55"/>
        <v>0</v>
      </c>
      <c r="L269" s="674">
        <f t="shared" si="55"/>
        <v>0</v>
      </c>
      <c r="M269" s="674">
        <f t="shared" si="55"/>
        <v>0</v>
      </c>
      <c r="O269" s="104"/>
      <c r="Q269" s="332"/>
      <c r="R269" s="332"/>
      <c r="S269" s="332"/>
      <c r="T269" s="332"/>
      <c r="U269" s="332"/>
      <c r="V269" s="332"/>
      <c r="W269" s="332"/>
      <c r="X269" s="332"/>
      <c r="Y269" s="332"/>
      <c r="Z269" s="332"/>
      <c r="AA269" s="332"/>
      <c r="AB269" s="332"/>
      <c r="AC269" s="332"/>
      <c r="AD269" s="332"/>
      <c r="AE269" s="332"/>
    </row>
    <row r="270" spans="1:31" x14ac:dyDescent="0.25">
      <c r="A270" s="527">
        <f>ROW()</f>
        <v>270</v>
      </c>
      <c r="B270" s="682" t="str">
        <f>$B105</f>
        <v>SPED Specialist Assistant 7</v>
      </c>
      <c r="C270" s="100">
        <f t="shared" si="53"/>
        <v>0</v>
      </c>
      <c r="D270" s="196"/>
      <c r="E270" s="196"/>
      <c r="F270" s="196"/>
      <c r="G270" s="674">
        <f t="shared" si="54"/>
        <v>0</v>
      </c>
      <c r="H270" s="674">
        <f t="shared" si="55"/>
        <v>0</v>
      </c>
      <c r="I270" s="674">
        <f t="shared" si="55"/>
        <v>0</v>
      </c>
      <c r="J270" s="674">
        <f t="shared" si="55"/>
        <v>0</v>
      </c>
      <c r="K270" s="674">
        <f t="shared" si="55"/>
        <v>0</v>
      </c>
      <c r="L270" s="674">
        <f t="shared" si="55"/>
        <v>0</v>
      </c>
      <c r="M270" s="674">
        <f t="shared" si="55"/>
        <v>0</v>
      </c>
      <c r="O270" s="104"/>
      <c r="Q270" s="332"/>
      <c r="R270" s="332"/>
      <c r="S270" s="332"/>
      <c r="T270" s="332"/>
      <c r="U270" s="332"/>
      <c r="V270" s="332"/>
      <c r="W270" s="332"/>
      <c r="X270" s="332"/>
      <c r="Y270" s="332"/>
      <c r="Z270" s="332"/>
      <c r="AA270" s="332"/>
      <c r="AB270" s="332"/>
      <c r="AC270" s="332"/>
      <c r="AD270" s="332"/>
      <c r="AE270" s="332"/>
    </row>
    <row r="271" spans="1:31" x14ac:dyDescent="0.25">
      <c r="A271" s="527">
        <f>ROW()</f>
        <v>271</v>
      </c>
      <c r="B271" s="678" t="str">
        <f>$B106</f>
        <v>Total Special EducationTeachers</v>
      </c>
      <c r="C271" s="683">
        <f t="shared" si="53"/>
        <v>13213595.149999997</v>
      </c>
      <c r="D271" s="684"/>
      <c r="E271" s="684"/>
      <c r="F271" s="684"/>
      <c r="G271" s="681">
        <f t="shared" ref="G271:M271" si="56">SUM(G262:G270)</f>
        <v>1887656.4499999997</v>
      </c>
      <c r="H271" s="681">
        <f t="shared" si="56"/>
        <v>1887656.4499999997</v>
      </c>
      <c r="I271" s="681">
        <f t="shared" si="56"/>
        <v>1887656.4499999997</v>
      </c>
      <c r="J271" s="681">
        <f t="shared" si="56"/>
        <v>1887656.4499999997</v>
      </c>
      <c r="K271" s="681">
        <f t="shared" si="56"/>
        <v>1887656.4499999997</v>
      </c>
      <c r="L271" s="681">
        <f t="shared" si="56"/>
        <v>1887656.4499999997</v>
      </c>
      <c r="M271" s="681">
        <f t="shared" si="56"/>
        <v>1887656.4499999997</v>
      </c>
      <c r="O271" s="104"/>
      <c r="Q271" s="332"/>
      <c r="R271" s="332"/>
      <c r="S271" s="332"/>
      <c r="T271" s="332"/>
      <c r="U271" s="332"/>
      <c r="V271" s="332"/>
      <c r="W271" s="332"/>
      <c r="X271" s="332"/>
      <c r="Y271" s="332"/>
      <c r="Z271" s="332"/>
      <c r="AA271" s="332"/>
      <c r="AB271" s="332"/>
      <c r="AC271" s="332"/>
      <c r="AD271" s="332"/>
      <c r="AE271" s="332"/>
    </row>
    <row r="272" spans="1:31" x14ac:dyDescent="0.25">
      <c r="A272" s="527">
        <f>ROW()</f>
        <v>272</v>
      </c>
      <c r="C272" s="100"/>
      <c r="D272" s="196"/>
      <c r="E272" s="196"/>
      <c r="F272" s="196"/>
      <c r="G272" s="100"/>
      <c r="H272" s="100"/>
      <c r="I272" s="100"/>
      <c r="J272" s="100"/>
      <c r="K272" s="100"/>
      <c r="L272" s="100"/>
      <c r="M272" s="100"/>
      <c r="O272" s="104"/>
      <c r="Q272" s="332"/>
      <c r="R272" s="332"/>
      <c r="S272" s="332"/>
      <c r="T272" s="332"/>
      <c r="U272" s="332"/>
      <c r="V272" s="332"/>
      <c r="W272" s="332"/>
      <c r="X272" s="332"/>
      <c r="Y272" s="332"/>
      <c r="Z272" s="332"/>
      <c r="AA272" s="332"/>
      <c r="AB272" s="332"/>
      <c r="AC272" s="332"/>
      <c r="AD272" s="332"/>
      <c r="AE272" s="332"/>
    </row>
    <row r="273" spans="1:31" x14ac:dyDescent="0.25">
      <c r="A273" s="527">
        <f>ROW()</f>
        <v>273</v>
      </c>
      <c r="B273" s="28" t="str">
        <f t="shared" ref="B273:B283" si="57">$B110</f>
        <v>English Language Learner (ELL) Teachers (Full-time &amp; Part-Time w/benefits)</v>
      </c>
      <c r="C273" s="675"/>
      <c r="D273" s="676"/>
      <c r="E273" s="676"/>
      <c r="F273" s="676"/>
      <c r="G273" s="675"/>
      <c r="H273" s="675"/>
      <c r="I273" s="675"/>
      <c r="J273" s="675"/>
      <c r="K273" s="675"/>
      <c r="L273" s="675"/>
      <c r="M273" s="675"/>
      <c r="O273" s="104"/>
      <c r="Q273" s="332"/>
      <c r="R273" s="332"/>
      <c r="S273" s="332"/>
      <c r="T273" s="332"/>
      <c r="U273" s="332"/>
      <c r="V273" s="332"/>
      <c r="W273" s="332"/>
      <c r="X273" s="332"/>
      <c r="Y273" s="332"/>
      <c r="Z273" s="332"/>
      <c r="AA273" s="332"/>
      <c r="AB273" s="332"/>
      <c r="AC273" s="332"/>
      <c r="AD273" s="332"/>
      <c r="AE273" s="332"/>
    </row>
    <row r="274" spans="1:31" x14ac:dyDescent="0.25">
      <c r="A274" s="527">
        <f>ROW()</f>
        <v>274</v>
      </c>
      <c r="B274" s="682" t="str">
        <f t="shared" si="57"/>
        <v>English Language &amp; Assessment Coordinator</v>
      </c>
      <c r="C274" s="100">
        <f t="shared" ref="C274:C283" si="58">SUM(G274:M274)</f>
        <v>959469</v>
      </c>
      <c r="D274" s="196"/>
      <c r="E274" s="196"/>
      <c r="F274" s="196"/>
      <c r="G274" s="674">
        <f t="shared" ref="G274:G282" si="59">G111*$D111</f>
        <v>137067</v>
      </c>
      <c r="H274" s="674">
        <f t="shared" ref="H274:M282" si="60">(H111*$D111)</f>
        <v>137067</v>
      </c>
      <c r="I274" s="674">
        <f t="shared" si="60"/>
        <v>137067</v>
      </c>
      <c r="J274" s="674">
        <f t="shared" si="60"/>
        <v>137067</v>
      </c>
      <c r="K274" s="674">
        <f t="shared" si="60"/>
        <v>137067</v>
      </c>
      <c r="L274" s="674">
        <f t="shared" si="60"/>
        <v>137067</v>
      </c>
      <c r="M274" s="674">
        <f t="shared" si="60"/>
        <v>137067</v>
      </c>
      <c r="O274" s="104"/>
      <c r="Q274" s="332"/>
      <c r="R274" s="332"/>
      <c r="S274" s="332"/>
      <c r="T274" s="332"/>
      <c r="U274" s="332"/>
      <c r="V274" s="332"/>
      <c r="W274" s="332"/>
      <c r="X274" s="332"/>
      <c r="Y274" s="332"/>
      <c r="Z274" s="332"/>
      <c r="AA274" s="332"/>
      <c r="AB274" s="332"/>
      <c r="AC274" s="332"/>
      <c r="AD274" s="332"/>
      <c r="AE274" s="332"/>
    </row>
    <row r="275" spans="1:31" x14ac:dyDescent="0.25">
      <c r="A275" s="527">
        <f>ROW()</f>
        <v>275</v>
      </c>
      <c r="B275" s="682" t="str">
        <f t="shared" si="57"/>
        <v>ELL Testing Specialist</v>
      </c>
      <c r="C275" s="100">
        <f t="shared" si="58"/>
        <v>409248</v>
      </c>
      <c r="D275" s="196"/>
      <c r="E275" s="196"/>
      <c r="F275" s="196"/>
      <c r="G275" s="674">
        <f t="shared" si="59"/>
        <v>58464</v>
      </c>
      <c r="H275" s="674">
        <f t="shared" si="60"/>
        <v>58464</v>
      </c>
      <c r="I275" s="674">
        <f t="shared" si="60"/>
        <v>58464</v>
      </c>
      <c r="J275" s="674">
        <f t="shared" si="60"/>
        <v>58464</v>
      </c>
      <c r="K275" s="674">
        <f t="shared" si="60"/>
        <v>58464</v>
      </c>
      <c r="L275" s="674">
        <f t="shared" si="60"/>
        <v>58464</v>
      </c>
      <c r="M275" s="674">
        <f t="shared" si="60"/>
        <v>58464</v>
      </c>
      <c r="O275" s="104"/>
      <c r="Q275" s="332"/>
      <c r="R275" s="332"/>
      <c r="S275" s="332"/>
      <c r="T275" s="332"/>
      <c r="U275" s="332"/>
      <c r="V275" s="332"/>
      <c r="W275" s="332"/>
      <c r="X275" s="332"/>
      <c r="Y275" s="332"/>
      <c r="Z275" s="332"/>
      <c r="AA275" s="332"/>
      <c r="AB275" s="332"/>
      <c r="AC275" s="332"/>
      <c r="AD275" s="332"/>
      <c r="AE275" s="332"/>
    </row>
    <row r="276" spans="1:31" x14ac:dyDescent="0.25">
      <c r="A276" s="527">
        <f>ROW()</f>
        <v>276</v>
      </c>
      <c r="B276" s="682" t="str">
        <f t="shared" si="57"/>
        <v>ELL Teacher/Reading Specialist</v>
      </c>
      <c r="C276" s="100">
        <f t="shared" si="58"/>
        <v>466438</v>
      </c>
      <c r="D276" s="196"/>
      <c r="E276" s="196"/>
      <c r="F276" s="196"/>
      <c r="G276" s="674">
        <f t="shared" si="59"/>
        <v>66634</v>
      </c>
      <c r="H276" s="674">
        <f t="shared" si="60"/>
        <v>66634</v>
      </c>
      <c r="I276" s="674">
        <f t="shared" si="60"/>
        <v>66634</v>
      </c>
      <c r="J276" s="674">
        <f t="shared" si="60"/>
        <v>66634</v>
      </c>
      <c r="K276" s="674">
        <f t="shared" si="60"/>
        <v>66634</v>
      </c>
      <c r="L276" s="674">
        <f t="shared" si="60"/>
        <v>66634</v>
      </c>
      <c r="M276" s="674">
        <f t="shared" si="60"/>
        <v>66634</v>
      </c>
      <c r="O276" s="104"/>
      <c r="Q276" s="332"/>
      <c r="R276" s="332"/>
      <c r="S276" s="332"/>
      <c r="T276" s="332"/>
      <c r="U276" s="332"/>
      <c r="V276" s="332"/>
      <c r="W276" s="332"/>
      <c r="X276" s="332"/>
      <c r="Y276" s="332"/>
      <c r="Z276" s="332"/>
      <c r="AA276" s="332"/>
      <c r="AB276" s="332"/>
      <c r="AC276" s="332"/>
      <c r="AD276" s="332"/>
      <c r="AE276" s="332"/>
    </row>
    <row r="277" spans="1:31" x14ac:dyDescent="0.25">
      <c r="A277" s="527">
        <f>ROW()</f>
        <v>277</v>
      </c>
      <c r="B277" s="682" t="str">
        <f t="shared" si="57"/>
        <v xml:space="preserve">ES TOSA - Literacy Strategist </v>
      </c>
      <c r="C277" s="100">
        <f t="shared" si="58"/>
        <v>819798</v>
      </c>
      <c r="D277" s="196"/>
      <c r="E277" s="196"/>
      <c r="F277" s="196"/>
      <c r="G277" s="674">
        <f t="shared" si="59"/>
        <v>117114</v>
      </c>
      <c r="H277" s="674">
        <f t="shared" si="60"/>
        <v>117114</v>
      </c>
      <c r="I277" s="674">
        <f t="shared" si="60"/>
        <v>117114</v>
      </c>
      <c r="J277" s="674">
        <f t="shared" si="60"/>
        <v>117114</v>
      </c>
      <c r="K277" s="674">
        <f t="shared" si="60"/>
        <v>117114</v>
      </c>
      <c r="L277" s="674">
        <f t="shared" si="60"/>
        <v>117114</v>
      </c>
      <c r="M277" s="674">
        <f t="shared" si="60"/>
        <v>117114</v>
      </c>
      <c r="O277" s="104"/>
      <c r="Q277" s="332"/>
      <c r="R277" s="332"/>
      <c r="S277" s="332"/>
      <c r="T277" s="332"/>
      <c r="U277" s="332"/>
      <c r="V277" s="332"/>
      <c r="W277" s="332"/>
      <c r="X277" s="332"/>
      <c r="Y277" s="332"/>
      <c r="Z277" s="332"/>
      <c r="AA277" s="332"/>
      <c r="AB277" s="332"/>
      <c r="AC277" s="332"/>
      <c r="AD277" s="332"/>
      <c r="AE277" s="332"/>
    </row>
    <row r="278" spans="1:31" x14ac:dyDescent="0.25">
      <c r="A278" s="527">
        <f>ROW()</f>
        <v>278</v>
      </c>
      <c r="B278" s="682" t="str">
        <f t="shared" si="57"/>
        <v xml:space="preserve">HS TOSA - Literacy Strategist </v>
      </c>
      <c r="C278" s="100">
        <f t="shared" si="58"/>
        <v>0</v>
      </c>
      <c r="D278" s="196"/>
      <c r="E278" s="196"/>
      <c r="F278" s="196"/>
      <c r="G278" s="674">
        <f t="shared" si="59"/>
        <v>0</v>
      </c>
      <c r="H278" s="674">
        <f t="shared" si="60"/>
        <v>0</v>
      </c>
      <c r="I278" s="674">
        <f t="shared" si="60"/>
        <v>0</v>
      </c>
      <c r="J278" s="674">
        <f t="shared" si="60"/>
        <v>0</v>
      </c>
      <c r="K278" s="674">
        <f t="shared" si="60"/>
        <v>0</v>
      </c>
      <c r="L278" s="674">
        <f t="shared" si="60"/>
        <v>0</v>
      </c>
      <c r="M278" s="674">
        <f t="shared" si="60"/>
        <v>0</v>
      </c>
      <c r="O278" s="104"/>
      <c r="Q278" s="332"/>
      <c r="R278" s="332"/>
      <c r="S278" s="332"/>
      <c r="T278" s="332"/>
      <c r="U278" s="332"/>
      <c r="V278" s="332"/>
      <c r="W278" s="332"/>
      <c r="X278" s="332"/>
      <c r="Y278" s="332"/>
      <c r="Z278" s="332"/>
      <c r="AA278" s="332"/>
      <c r="AB278" s="332"/>
      <c r="AC278" s="332"/>
      <c r="AD278" s="332"/>
      <c r="AE278" s="332"/>
    </row>
    <row r="279" spans="1:31" x14ac:dyDescent="0.25">
      <c r="A279" s="527">
        <f>ROW()</f>
        <v>279</v>
      </c>
      <c r="B279" s="682">
        <f t="shared" si="57"/>
        <v>0</v>
      </c>
      <c r="C279" s="100">
        <f t="shared" si="58"/>
        <v>0</v>
      </c>
      <c r="D279" s="196"/>
      <c r="E279" s="196"/>
      <c r="F279" s="196"/>
      <c r="G279" s="674">
        <f t="shared" si="59"/>
        <v>0</v>
      </c>
      <c r="H279" s="674">
        <f t="shared" si="60"/>
        <v>0</v>
      </c>
      <c r="I279" s="674">
        <f t="shared" si="60"/>
        <v>0</v>
      </c>
      <c r="J279" s="674">
        <f t="shared" si="60"/>
        <v>0</v>
      </c>
      <c r="K279" s="674">
        <f t="shared" si="60"/>
        <v>0</v>
      </c>
      <c r="L279" s="674">
        <f t="shared" si="60"/>
        <v>0</v>
      </c>
      <c r="M279" s="674">
        <f t="shared" si="60"/>
        <v>0</v>
      </c>
      <c r="O279" s="104"/>
      <c r="Q279" s="332"/>
      <c r="R279" s="332"/>
      <c r="S279" s="332"/>
      <c r="T279" s="332"/>
      <c r="U279" s="332"/>
      <c r="V279" s="332"/>
      <c r="W279" s="332"/>
      <c r="X279" s="332"/>
      <c r="Y279" s="332"/>
      <c r="Z279" s="332"/>
      <c r="AA279" s="332"/>
      <c r="AB279" s="332"/>
      <c r="AC279" s="332"/>
      <c r="AD279" s="332"/>
      <c r="AE279" s="332"/>
    </row>
    <row r="280" spans="1:31" x14ac:dyDescent="0.25">
      <c r="A280" s="527">
        <f>ROW()</f>
        <v>280</v>
      </c>
      <c r="B280" s="682">
        <f t="shared" si="57"/>
        <v>0</v>
      </c>
      <c r="C280" s="100">
        <f t="shared" si="58"/>
        <v>0</v>
      </c>
      <c r="D280" s="196"/>
      <c r="E280" s="196"/>
      <c r="F280" s="196"/>
      <c r="G280" s="674">
        <f t="shared" si="59"/>
        <v>0</v>
      </c>
      <c r="H280" s="674">
        <f t="shared" si="60"/>
        <v>0</v>
      </c>
      <c r="I280" s="674">
        <f t="shared" si="60"/>
        <v>0</v>
      </c>
      <c r="J280" s="674">
        <f t="shared" si="60"/>
        <v>0</v>
      </c>
      <c r="K280" s="674">
        <f t="shared" si="60"/>
        <v>0</v>
      </c>
      <c r="L280" s="674">
        <f t="shared" si="60"/>
        <v>0</v>
      </c>
      <c r="M280" s="674">
        <f t="shared" si="60"/>
        <v>0</v>
      </c>
      <c r="O280" s="104"/>
      <c r="Q280" s="332"/>
      <c r="R280" s="332"/>
      <c r="S280" s="332"/>
      <c r="T280" s="332"/>
      <c r="U280" s="332"/>
      <c r="V280" s="332"/>
      <c r="W280" s="332"/>
      <c r="X280" s="332"/>
      <c r="Y280" s="332"/>
      <c r="Z280" s="332"/>
      <c r="AA280" s="332"/>
      <c r="AB280" s="332"/>
      <c r="AC280" s="332"/>
      <c r="AD280" s="332"/>
      <c r="AE280" s="332"/>
    </row>
    <row r="281" spans="1:31" x14ac:dyDescent="0.25">
      <c r="A281" s="527">
        <f>ROW()</f>
        <v>281</v>
      </c>
      <c r="B281" s="682">
        <f t="shared" si="57"/>
        <v>0</v>
      </c>
      <c r="C281" s="100">
        <f t="shared" si="58"/>
        <v>0</v>
      </c>
      <c r="D281" s="196"/>
      <c r="E281" s="196"/>
      <c r="F281" s="196"/>
      <c r="G281" s="674">
        <f t="shared" si="59"/>
        <v>0</v>
      </c>
      <c r="H281" s="674">
        <f t="shared" si="60"/>
        <v>0</v>
      </c>
      <c r="I281" s="674">
        <f t="shared" si="60"/>
        <v>0</v>
      </c>
      <c r="J281" s="674">
        <f t="shared" si="60"/>
        <v>0</v>
      </c>
      <c r="K281" s="674">
        <f t="shared" si="60"/>
        <v>0</v>
      </c>
      <c r="L281" s="674">
        <f t="shared" si="60"/>
        <v>0</v>
      </c>
      <c r="M281" s="674">
        <f t="shared" si="60"/>
        <v>0</v>
      </c>
      <c r="O281" s="104"/>
      <c r="Q281" s="332"/>
      <c r="R281" s="332"/>
      <c r="S281" s="332"/>
      <c r="T281" s="332"/>
      <c r="U281" s="332"/>
      <c r="V281" s="332"/>
      <c r="W281" s="332"/>
      <c r="X281" s="332"/>
      <c r="Y281" s="332"/>
      <c r="Z281" s="332"/>
      <c r="AA281" s="332"/>
      <c r="AB281" s="332"/>
      <c r="AC281" s="332"/>
      <c r="AD281" s="332"/>
      <c r="AE281" s="332"/>
    </row>
    <row r="282" spans="1:31" x14ac:dyDescent="0.25">
      <c r="A282" s="527">
        <f>ROW()</f>
        <v>282</v>
      </c>
      <c r="B282" s="682">
        <f t="shared" si="57"/>
        <v>0</v>
      </c>
      <c r="C282" s="100">
        <f t="shared" si="58"/>
        <v>0</v>
      </c>
      <c r="D282" s="196"/>
      <c r="E282" s="196"/>
      <c r="F282" s="196"/>
      <c r="G282" s="674">
        <f t="shared" si="59"/>
        <v>0</v>
      </c>
      <c r="H282" s="674">
        <f t="shared" si="60"/>
        <v>0</v>
      </c>
      <c r="I282" s="674">
        <f t="shared" si="60"/>
        <v>0</v>
      </c>
      <c r="J282" s="674">
        <f t="shared" si="60"/>
        <v>0</v>
      </c>
      <c r="K282" s="674">
        <f t="shared" si="60"/>
        <v>0</v>
      </c>
      <c r="L282" s="674">
        <f t="shared" si="60"/>
        <v>0</v>
      </c>
      <c r="M282" s="674">
        <f t="shared" si="60"/>
        <v>0</v>
      </c>
      <c r="O282" s="104"/>
      <c r="Q282" s="332"/>
      <c r="R282" s="332"/>
      <c r="S282" s="332"/>
      <c r="T282" s="332"/>
      <c r="U282" s="332"/>
      <c r="V282" s="332"/>
      <c r="W282" s="332"/>
      <c r="X282" s="332"/>
      <c r="Y282" s="332"/>
      <c r="Z282" s="332"/>
      <c r="AA282" s="332"/>
      <c r="AB282" s="332"/>
      <c r="AC282" s="332"/>
      <c r="AD282" s="332"/>
      <c r="AE282" s="332"/>
    </row>
    <row r="283" spans="1:31" x14ac:dyDescent="0.25">
      <c r="A283" s="527">
        <f>ROW()</f>
        <v>283</v>
      </c>
      <c r="B283" s="678" t="str">
        <f t="shared" si="57"/>
        <v>Total ELL Teachers</v>
      </c>
      <c r="C283" s="683">
        <f t="shared" si="58"/>
        <v>2654953</v>
      </c>
      <c r="D283" s="680"/>
      <c r="E283" s="680"/>
      <c r="F283" s="680"/>
      <c r="G283" s="681">
        <f t="shared" ref="G283:M283" si="61">SUM(G274:G282)</f>
        <v>379279</v>
      </c>
      <c r="H283" s="681">
        <f t="shared" si="61"/>
        <v>379279</v>
      </c>
      <c r="I283" s="681">
        <f t="shared" si="61"/>
        <v>379279</v>
      </c>
      <c r="J283" s="681">
        <f t="shared" si="61"/>
        <v>379279</v>
      </c>
      <c r="K283" s="681">
        <f t="shared" si="61"/>
        <v>379279</v>
      </c>
      <c r="L283" s="681">
        <f t="shared" si="61"/>
        <v>379279</v>
      </c>
      <c r="M283" s="681">
        <f t="shared" si="61"/>
        <v>379279</v>
      </c>
      <c r="O283" s="104"/>
      <c r="Q283" s="332"/>
      <c r="R283" s="332"/>
      <c r="S283" s="332"/>
      <c r="T283" s="332"/>
      <c r="U283" s="332"/>
      <c r="V283" s="332"/>
      <c r="W283" s="332"/>
      <c r="X283" s="332"/>
      <c r="Y283" s="332"/>
      <c r="Z283" s="332"/>
      <c r="AA283" s="332"/>
      <c r="AB283" s="332"/>
      <c r="AC283" s="332"/>
      <c r="AD283" s="332"/>
      <c r="AE283" s="332"/>
    </row>
    <row r="284" spans="1:31" x14ac:dyDescent="0.25">
      <c r="A284" s="527">
        <f>ROW()</f>
        <v>284</v>
      </c>
      <c r="C284" s="100"/>
      <c r="D284" s="196"/>
      <c r="E284" s="196"/>
      <c r="F284" s="196"/>
      <c r="G284" s="100"/>
      <c r="H284" s="100"/>
      <c r="I284" s="100"/>
      <c r="J284" s="100"/>
      <c r="K284" s="100"/>
      <c r="L284" s="100"/>
      <c r="M284" s="100"/>
      <c r="O284" s="104"/>
      <c r="Q284" s="332"/>
      <c r="R284" s="332"/>
      <c r="S284" s="332"/>
      <c r="T284" s="332"/>
      <c r="U284" s="332"/>
      <c r="V284" s="332"/>
      <c r="W284" s="332"/>
      <c r="X284" s="332"/>
      <c r="Y284" s="332"/>
      <c r="Z284" s="332"/>
      <c r="AA284" s="332"/>
      <c r="AB284" s="332"/>
      <c r="AC284" s="332"/>
      <c r="AD284" s="332"/>
      <c r="AE284" s="332"/>
    </row>
    <row r="285" spans="1:31" x14ac:dyDescent="0.25">
      <c r="A285" s="527">
        <f>ROW()</f>
        <v>285</v>
      </c>
      <c r="B285" s="28" t="str">
        <f t="shared" ref="B285:B296" si="62">$B122</f>
        <v>Guidance Counselor &amp; Other Staff (Full-time &amp; Part-Time w/benefits)</v>
      </c>
      <c r="C285" s="675"/>
      <c r="D285" s="676"/>
      <c r="E285" s="676"/>
      <c r="F285" s="676"/>
      <c r="G285" s="675"/>
      <c r="H285" s="675"/>
      <c r="I285" s="675"/>
      <c r="J285" s="675"/>
      <c r="K285" s="675"/>
      <c r="L285" s="675"/>
      <c r="M285" s="675"/>
      <c r="O285" s="104"/>
      <c r="Q285" s="332"/>
      <c r="R285" s="332"/>
      <c r="S285" s="332"/>
      <c r="T285" s="332"/>
      <c r="U285" s="332"/>
      <c r="V285" s="332"/>
      <c r="W285" s="332"/>
      <c r="X285" s="332"/>
      <c r="Y285" s="332"/>
      <c r="Z285" s="332"/>
      <c r="AA285" s="332"/>
      <c r="AB285" s="332"/>
      <c r="AC285" s="332"/>
      <c r="AD285" s="332"/>
      <c r="AE285" s="332"/>
    </row>
    <row r="286" spans="1:31" x14ac:dyDescent="0.25">
      <c r="A286" s="527">
        <f>ROW()</f>
        <v>286</v>
      </c>
      <c r="B286" s="682" t="str">
        <f t="shared" si="62"/>
        <v>Nurse/Health Office</v>
      </c>
      <c r="C286" s="100">
        <f t="shared" ref="C286:C297" si="63">SUM(G286:M286)</f>
        <v>1503846.68</v>
      </c>
      <c r="D286" s="196"/>
      <c r="E286" s="196"/>
      <c r="F286" s="196"/>
      <c r="G286" s="674">
        <f t="shared" ref="G286:G296" si="64">G123*$D123</f>
        <v>214835.24</v>
      </c>
      <c r="H286" s="674">
        <f t="shared" ref="H286:M296" si="65">(H123*$D123)</f>
        <v>214835.24</v>
      </c>
      <c r="I286" s="674">
        <f t="shared" si="65"/>
        <v>214835.24</v>
      </c>
      <c r="J286" s="674">
        <f t="shared" si="65"/>
        <v>214835.24</v>
      </c>
      <c r="K286" s="674">
        <f t="shared" si="65"/>
        <v>214835.24</v>
      </c>
      <c r="L286" s="674">
        <f t="shared" si="65"/>
        <v>214835.24</v>
      </c>
      <c r="M286" s="674">
        <f t="shared" si="65"/>
        <v>214835.24</v>
      </c>
      <c r="O286" s="104"/>
      <c r="Q286" s="332"/>
      <c r="R286" s="332"/>
      <c r="S286" s="332"/>
      <c r="T286" s="332"/>
      <c r="U286" s="332"/>
      <c r="V286" s="332"/>
      <c r="W286" s="332"/>
      <c r="X286" s="332"/>
      <c r="Y286" s="332"/>
      <c r="Z286" s="332"/>
      <c r="AA286" s="332"/>
      <c r="AB286" s="332"/>
      <c r="AC286" s="332"/>
      <c r="AD286" s="332"/>
      <c r="AE286" s="332"/>
    </row>
    <row r="287" spans="1:31" x14ac:dyDescent="0.25">
      <c r="A287" s="527">
        <f>ROW()</f>
        <v>287</v>
      </c>
      <c r="B287" s="682" t="str">
        <f t="shared" si="62"/>
        <v>Guidance Counselor</v>
      </c>
      <c r="C287" s="100">
        <f t="shared" si="63"/>
        <v>2217070.8700000006</v>
      </c>
      <c r="D287" s="196"/>
      <c r="E287" s="196"/>
      <c r="F287" s="196"/>
      <c r="G287" s="674">
        <f t="shared" si="64"/>
        <v>316724.41000000003</v>
      </c>
      <c r="H287" s="674">
        <f t="shared" si="65"/>
        <v>316724.41000000003</v>
      </c>
      <c r="I287" s="674">
        <f t="shared" si="65"/>
        <v>316724.41000000003</v>
      </c>
      <c r="J287" s="674">
        <f t="shared" si="65"/>
        <v>316724.41000000003</v>
      </c>
      <c r="K287" s="674">
        <f t="shared" si="65"/>
        <v>316724.41000000003</v>
      </c>
      <c r="L287" s="674">
        <f t="shared" si="65"/>
        <v>316724.41000000003</v>
      </c>
      <c r="M287" s="674">
        <f t="shared" si="65"/>
        <v>316724.41000000003</v>
      </c>
      <c r="O287" s="104"/>
      <c r="Q287" s="332"/>
      <c r="R287" s="332"/>
      <c r="S287" s="332"/>
      <c r="T287" s="332"/>
      <c r="U287" s="332"/>
      <c r="V287" s="332"/>
      <c r="W287" s="332"/>
      <c r="X287" s="332"/>
      <c r="Y287" s="332"/>
      <c r="Z287" s="332"/>
      <c r="AA287" s="332"/>
      <c r="AB287" s="332"/>
      <c r="AC287" s="332"/>
      <c r="AD287" s="332"/>
      <c r="AE287" s="332"/>
    </row>
    <row r="288" spans="1:31" x14ac:dyDescent="0.25">
      <c r="A288" s="527">
        <f>ROW()</f>
        <v>288</v>
      </c>
      <c r="B288" s="682" t="str">
        <f t="shared" si="62"/>
        <v>Social Worker</v>
      </c>
      <c r="C288" s="100">
        <f t="shared" si="63"/>
        <v>2013276.0900000003</v>
      </c>
      <c r="D288" s="196"/>
      <c r="E288" s="196"/>
      <c r="F288" s="196"/>
      <c r="G288" s="674">
        <f t="shared" si="64"/>
        <v>287610.87</v>
      </c>
      <c r="H288" s="674">
        <f t="shared" si="65"/>
        <v>287610.87</v>
      </c>
      <c r="I288" s="674">
        <f t="shared" si="65"/>
        <v>287610.87</v>
      </c>
      <c r="J288" s="674">
        <f t="shared" si="65"/>
        <v>287610.87</v>
      </c>
      <c r="K288" s="674">
        <f t="shared" si="65"/>
        <v>287610.87</v>
      </c>
      <c r="L288" s="674">
        <f t="shared" si="65"/>
        <v>287610.87</v>
      </c>
      <c r="M288" s="674">
        <f t="shared" si="65"/>
        <v>287610.87</v>
      </c>
      <c r="O288" s="104"/>
      <c r="Q288" s="332"/>
      <c r="R288" s="332"/>
      <c r="S288" s="332"/>
      <c r="T288" s="332"/>
      <c r="U288" s="332"/>
      <c r="V288" s="332"/>
      <c r="W288" s="332"/>
      <c r="X288" s="332"/>
      <c r="Y288" s="332"/>
      <c r="Z288" s="332"/>
      <c r="AA288" s="332"/>
      <c r="AB288" s="332"/>
      <c r="AC288" s="332"/>
      <c r="AD288" s="332"/>
      <c r="AE288" s="332"/>
    </row>
    <row r="289" spans="1:31" x14ac:dyDescent="0.25">
      <c r="A289" s="527">
        <f>ROW()</f>
        <v>289</v>
      </c>
      <c r="B289" s="682" t="str">
        <f t="shared" si="62"/>
        <v>Security Guard(s)</v>
      </c>
      <c r="C289" s="100">
        <f t="shared" si="63"/>
        <v>0</v>
      </c>
      <c r="D289" s="196"/>
      <c r="E289" s="196"/>
      <c r="F289" s="196"/>
      <c r="G289" s="674">
        <f t="shared" si="64"/>
        <v>0</v>
      </c>
      <c r="H289" s="674">
        <f t="shared" si="65"/>
        <v>0</v>
      </c>
      <c r="I289" s="674">
        <f t="shared" si="65"/>
        <v>0</v>
      </c>
      <c r="J289" s="674">
        <f t="shared" si="65"/>
        <v>0</v>
      </c>
      <c r="K289" s="674">
        <f t="shared" si="65"/>
        <v>0</v>
      </c>
      <c r="L289" s="674">
        <f t="shared" si="65"/>
        <v>0</v>
      </c>
      <c r="M289" s="674">
        <f t="shared" si="65"/>
        <v>0</v>
      </c>
      <c r="O289" s="104"/>
      <c r="Q289" s="332"/>
      <c r="R289" s="332"/>
      <c r="S289" s="332"/>
      <c r="T289" s="332"/>
      <c r="U289" s="332"/>
      <c r="V289" s="332"/>
      <c r="W289" s="332"/>
      <c r="X289" s="332"/>
      <c r="Y289" s="332"/>
      <c r="Z289" s="332"/>
      <c r="AA289" s="332"/>
      <c r="AB289" s="332"/>
      <c r="AC289" s="332"/>
      <c r="AD289" s="332"/>
      <c r="AE289" s="332"/>
    </row>
    <row r="290" spans="1:31" x14ac:dyDescent="0.25">
      <c r="A290" s="527">
        <f>ROW()</f>
        <v>290</v>
      </c>
      <c r="B290" s="682" t="str">
        <f t="shared" si="62"/>
        <v>Operations Management</v>
      </c>
      <c r="C290" s="100">
        <f t="shared" si="63"/>
        <v>0</v>
      </c>
      <c r="D290" s="196"/>
      <c r="E290" s="196"/>
      <c r="F290" s="196"/>
      <c r="G290" s="674">
        <f t="shared" si="64"/>
        <v>0</v>
      </c>
      <c r="H290" s="674">
        <f t="shared" si="65"/>
        <v>0</v>
      </c>
      <c r="I290" s="674">
        <f t="shared" si="65"/>
        <v>0</v>
      </c>
      <c r="J290" s="674">
        <f t="shared" si="65"/>
        <v>0</v>
      </c>
      <c r="K290" s="674">
        <f t="shared" si="65"/>
        <v>0</v>
      </c>
      <c r="L290" s="674">
        <f t="shared" si="65"/>
        <v>0</v>
      </c>
      <c r="M290" s="674">
        <f t="shared" si="65"/>
        <v>0</v>
      </c>
      <c r="O290" s="104"/>
      <c r="Q290" s="332"/>
      <c r="R290" s="332"/>
      <c r="S290" s="332"/>
      <c r="T290" s="332"/>
      <c r="U290" s="332"/>
      <c r="V290" s="332"/>
      <c r="W290" s="332"/>
      <c r="X290" s="332"/>
      <c r="Y290" s="332"/>
      <c r="Z290" s="332"/>
      <c r="AA290" s="332"/>
      <c r="AB290" s="332"/>
      <c r="AC290" s="332"/>
      <c r="AD290" s="332"/>
      <c r="AE290" s="332"/>
    </row>
    <row r="291" spans="1:31" x14ac:dyDescent="0.25">
      <c r="A291" s="527">
        <f>ROW()</f>
        <v>291</v>
      </c>
      <c r="B291" s="682" t="str">
        <f t="shared" si="62"/>
        <v>Custodial/grounds workers</v>
      </c>
      <c r="C291" s="100">
        <f t="shared" si="63"/>
        <v>780876.87999999989</v>
      </c>
      <c r="D291" s="196"/>
      <c r="E291" s="196"/>
      <c r="F291" s="196"/>
      <c r="G291" s="674">
        <f t="shared" si="64"/>
        <v>111553.84</v>
      </c>
      <c r="H291" s="674">
        <f t="shared" si="65"/>
        <v>111553.84</v>
      </c>
      <c r="I291" s="674">
        <f t="shared" si="65"/>
        <v>111553.84</v>
      </c>
      <c r="J291" s="674">
        <f t="shared" si="65"/>
        <v>111553.84</v>
      </c>
      <c r="K291" s="674">
        <f t="shared" si="65"/>
        <v>111553.84</v>
      </c>
      <c r="L291" s="674">
        <f t="shared" si="65"/>
        <v>111553.84</v>
      </c>
      <c r="M291" s="674">
        <f t="shared" si="65"/>
        <v>111553.84</v>
      </c>
      <c r="O291" s="104"/>
      <c r="Q291" s="332"/>
      <c r="R291" s="332"/>
      <c r="S291" s="332"/>
      <c r="T291" s="332"/>
      <c r="U291" s="332"/>
      <c r="V291" s="332"/>
      <c r="W291" s="332"/>
      <c r="X291" s="332"/>
      <c r="Y291" s="332"/>
      <c r="Z291" s="332"/>
      <c r="AA291" s="332"/>
      <c r="AB291" s="332"/>
      <c r="AC291" s="332"/>
      <c r="AD291" s="332"/>
      <c r="AE291" s="332"/>
    </row>
    <row r="292" spans="1:31" x14ac:dyDescent="0.25">
      <c r="A292" s="527">
        <f>ROW()</f>
        <v>292</v>
      </c>
      <c r="B292" s="682" t="str">
        <f t="shared" si="62"/>
        <v>Food services worker(s)</v>
      </c>
      <c r="C292" s="100">
        <f t="shared" si="63"/>
        <v>0</v>
      </c>
      <c r="D292" s="196"/>
      <c r="E292" s="196"/>
      <c r="F292" s="196"/>
      <c r="G292" s="674">
        <f t="shared" si="64"/>
        <v>0</v>
      </c>
      <c r="H292" s="674">
        <f t="shared" si="65"/>
        <v>0</v>
      </c>
      <c r="I292" s="674">
        <f t="shared" si="65"/>
        <v>0</v>
      </c>
      <c r="J292" s="674">
        <f t="shared" si="65"/>
        <v>0</v>
      </c>
      <c r="K292" s="674">
        <f t="shared" si="65"/>
        <v>0</v>
      </c>
      <c r="L292" s="674">
        <f t="shared" si="65"/>
        <v>0</v>
      </c>
      <c r="M292" s="674">
        <f t="shared" si="65"/>
        <v>0</v>
      </c>
      <c r="O292" s="104"/>
      <c r="Q292" s="332"/>
      <c r="R292" s="332"/>
      <c r="S292" s="332"/>
      <c r="T292" s="332"/>
      <c r="U292" s="332"/>
      <c r="V292" s="332"/>
      <c r="W292" s="332"/>
      <c r="X292" s="332"/>
      <c r="Y292" s="332"/>
      <c r="Z292" s="332"/>
      <c r="AA292" s="332"/>
      <c r="AB292" s="332"/>
      <c r="AC292" s="332"/>
      <c r="AD292" s="332"/>
      <c r="AE292" s="332"/>
    </row>
    <row r="293" spans="1:31" x14ac:dyDescent="0.25">
      <c r="A293" s="527">
        <f>ROW()</f>
        <v>293</v>
      </c>
      <c r="B293" s="682" t="str">
        <f t="shared" si="62"/>
        <v>Transportation worker(s)</v>
      </c>
      <c r="C293" s="100">
        <f t="shared" si="63"/>
        <v>0</v>
      </c>
      <c r="D293" s="196"/>
      <c r="E293" s="196"/>
      <c r="F293" s="196"/>
      <c r="G293" s="674">
        <f t="shared" si="64"/>
        <v>0</v>
      </c>
      <c r="H293" s="674">
        <f t="shared" si="65"/>
        <v>0</v>
      </c>
      <c r="I293" s="674">
        <f t="shared" si="65"/>
        <v>0</v>
      </c>
      <c r="J293" s="674">
        <f t="shared" si="65"/>
        <v>0</v>
      </c>
      <c r="K293" s="674">
        <f t="shared" si="65"/>
        <v>0</v>
      </c>
      <c r="L293" s="674">
        <f t="shared" si="65"/>
        <v>0</v>
      </c>
      <c r="M293" s="674">
        <f t="shared" si="65"/>
        <v>0</v>
      </c>
      <c r="O293" s="104"/>
      <c r="Q293" s="332"/>
      <c r="R293" s="332"/>
      <c r="S293" s="332"/>
      <c r="T293" s="332"/>
      <c r="U293" s="332"/>
      <c r="V293" s="332"/>
      <c r="W293" s="332"/>
      <c r="X293" s="332"/>
      <c r="Y293" s="332"/>
      <c r="Z293" s="332"/>
      <c r="AA293" s="332"/>
      <c r="AB293" s="332"/>
      <c r="AC293" s="332"/>
      <c r="AD293" s="332"/>
      <c r="AE293" s="332"/>
    </row>
    <row r="294" spans="1:31" x14ac:dyDescent="0.25">
      <c r="A294" s="527">
        <f>ROW()</f>
        <v>294</v>
      </c>
      <c r="B294" s="682">
        <f t="shared" si="62"/>
        <v>0</v>
      </c>
      <c r="C294" s="100">
        <f t="shared" si="63"/>
        <v>0</v>
      </c>
      <c r="D294" s="196"/>
      <c r="E294" s="196"/>
      <c r="F294" s="196"/>
      <c r="G294" s="674">
        <f t="shared" si="64"/>
        <v>0</v>
      </c>
      <c r="H294" s="674">
        <f t="shared" si="65"/>
        <v>0</v>
      </c>
      <c r="I294" s="674">
        <f t="shared" si="65"/>
        <v>0</v>
      </c>
      <c r="J294" s="674">
        <f t="shared" si="65"/>
        <v>0</v>
      </c>
      <c r="K294" s="674">
        <f t="shared" si="65"/>
        <v>0</v>
      </c>
      <c r="L294" s="674">
        <f t="shared" si="65"/>
        <v>0</v>
      </c>
      <c r="M294" s="674">
        <f t="shared" si="65"/>
        <v>0</v>
      </c>
      <c r="O294" s="104"/>
      <c r="Q294" s="332"/>
      <c r="R294" s="332"/>
      <c r="S294" s="332"/>
      <c r="T294" s="332"/>
      <c r="U294" s="332"/>
      <c r="V294" s="332"/>
      <c r="W294" s="332"/>
      <c r="X294" s="332"/>
      <c r="Y294" s="332"/>
      <c r="Z294" s="332"/>
      <c r="AA294" s="332"/>
      <c r="AB294" s="332"/>
      <c r="AC294" s="332"/>
      <c r="AD294" s="332"/>
      <c r="AE294" s="332"/>
    </row>
    <row r="295" spans="1:31" x14ac:dyDescent="0.25">
      <c r="A295" s="527">
        <f>ROW()</f>
        <v>295</v>
      </c>
      <c r="B295" s="682">
        <f t="shared" si="62"/>
        <v>0</v>
      </c>
      <c r="C295" s="100">
        <f t="shared" si="63"/>
        <v>0</v>
      </c>
      <c r="D295" s="196"/>
      <c r="E295" s="196"/>
      <c r="F295" s="196"/>
      <c r="G295" s="674">
        <f t="shared" si="64"/>
        <v>0</v>
      </c>
      <c r="H295" s="674">
        <f t="shared" si="65"/>
        <v>0</v>
      </c>
      <c r="I295" s="674">
        <f t="shared" si="65"/>
        <v>0</v>
      </c>
      <c r="J295" s="674">
        <f t="shared" si="65"/>
        <v>0</v>
      </c>
      <c r="K295" s="674">
        <f t="shared" si="65"/>
        <v>0</v>
      </c>
      <c r="L295" s="674">
        <f t="shared" si="65"/>
        <v>0</v>
      </c>
      <c r="M295" s="674">
        <f t="shared" si="65"/>
        <v>0</v>
      </c>
      <c r="O295" s="104"/>
      <c r="Q295" s="332"/>
      <c r="R295" s="332"/>
      <c r="S295" s="332"/>
      <c r="T295" s="332"/>
      <c r="U295" s="332"/>
      <c r="V295" s="332"/>
      <c r="W295" s="332"/>
      <c r="X295" s="332"/>
      <c r="Y295" s="332"/>
      <c r="Z295" s="332"/>
      <c r="AA295" s="332"/>
      <c r="AB295" s="332"/>
      <c r="AC295" s="332"/>
      <c r="AD295" s="332"/>
      <c r="AE295" s="332"/>
    </row>
    <row r="296" spans="1:31" x14ac:dyDescent="0.25">
      <c r="A296" s="527">
        <f>ROW()</f>
        <v>296</v>
      </c>
      <c r="B296" s="682">
        <f t="shared" si="62"/>
        <v>0</v>
      </c>
      <c r="C296" s="100">
        <f t="shared" si="63"/>
        <v>0</v>
      </c>
      <c r="D296" s="196"/>
      <c r="E296" s="196"/>
      <c r="F296" s="196"/>
      <c r="G296" s="674">
        <f t="shared" si="64"/>
        <v>0</v>
      </c>
      <c r="H296" s="674">
        <f t="shared" si="65"/>
        <v>0</v>
      </c>
      <c r="I296" s="674">
        <f t="shared" si="65"/>
        <v>0</v>
      </c>
      <c r="J296" s="674">
        <f t="shared" si="65"/>
        <v>0</v>
      </c>
      <c r="K296" s="674">
        <f t="shared" si="65"/>
        <v>0</v>
      </c>
      <c r="L296" s="674">
        <f t="shared" si="65"/>
        <v>0</v>
      </c>
      <c r="M296" s="674">
        <f t="shared" si="65"/>
        <v>0</v>
      </c>
      <c r="O296" s="104"/>
      <c r="Q296" s="332"/>
      <c r="R296" s="332"/>
      <c r="S296" s="332"/>
      <c r="T296" s="332"/>
      <c r="U296" s="332"/>
      <c r="V296" s="332"/>
      <c r="W296" s="332"/>
      <c r="X296" s="332"/>
      <c r="Y296" s="332"/>
      <c r="Z296" s="332"/>
      <c r="AA296" s="332"/>
      <c r="AB296" s="332"/>
      <c r="AC296" s="332"/>
      <c r="AD296" s="332"/>
      <c r="AE296" s="332"/>
    </row>
    <row r="297" spans="1:31" x14ac:dyDescent="0.25">
      <c r="A297" s="527">
        <f>ROW()</f>
        <v>297</v>
      </c>
      <c r="B297" s="685" t="str">
        <f>$B134</f>
        <v>Total Guidance Counselors/Other</v>
      </c>
      <c r="C297" s="683">
        <f t="shared" si="63"/>
        <v>6515070.5200000005</v>
      </c>
      <c r="D297" s="684"/>
      <c r="E297" s="684"/>
      <c r="F297" s="684"/>
      <c r="G297" s="681">
        <f t="shared" ref="G297:M297" si="66">SUM(G286:G296)</f>
        <v>930724.36</v>
      </c>
      <c r="H297" s="681">
        <f t="shared" si="66"/>
        <v>930724.36</v>
      </c>
      <c r="I297" s="681">
        <f t="shared" si="66"/>
        <v>930724.36</v>
      </c>
      <c r="J297" s="681">
        <f t="shared" si="66"/>
        <v>930724.36</v>
      </c>
      <c r="K297" s="681">
        <f t="shared" si="66"/>
        <v>930724.36</v>
      </c>
      <c r="L297" s="681">
        <f t="shared" si="66"/>
        <v>930724.36</v>
      </c>
      <c r="M297" s="681">
        <f t="shared" si="66"/>
        <v>930724.36</v>
      </c>
      <c r="O297" s="104"/>
      <c r="Q297" s="332"/>
      <c r="R297" s="332"/>
      <c r="S297" s="332"/>
      <c r="T297" s="332"/>
      <c r="U297" s="332"/>
      <c r="V297" s="332"/>
      <c r="W297" s="332"/>
      <c r="X297" s="332"/>
      <c r="Y297" s="332"/>
      <c r="Z297" s="332"/>
      <c r="AA297" s="332"/>
      <c r="AB297" s="332"/>
      <c r="AC297" s="332"/>
      <c r="AD297" s="332"/>
      <c r="AE297" s="332"/>
    </row>
    <row r="298" spans="1:31" x14ac:dyDescent="0.25">
      <c r="A298" s="527">
        <f>ROW()</f>
        <v>298</v>
      </c>
      <c r="C298" s="196"/>
      <c r="D298" s="196"/>
      <c r="E298" s="196"/>
      <c r="F298" s="196"/>
      <c r="G298" s="100"/>
      <c r="H298" s="100"/>
      <c r="I298" s="100"/>
      <c r="J298" s="100"/>
      <c r="K298" s="100"/>
      <c r="L298" s="100"/>
      <c r="M298" s="100"/>
      <c r="O298" s="104"/>
      <c r="Q298" s="332"/>
      <c r="R298" s="332"/>
      <c r="S298" s="332"/>
      <c r="T298" s="332"/>
      <c r="U298" s="332"/>
      <c r="V298" s="332"/>
      <c r="W298" s="332"/>
      <c r="X298" s="332"/>
      <c r="Y298" s="332"/>
      <c r="Z298" s="332"/>
      <c r="AA298" s="332"/>
      <c r="AB298" s="332"/>
      <c r="AC298" s="332"/>
      <c r="AD298" s="332"/>
      <c r="AE298" s="332"/>
    </row>
    <row r="299" spans="1:31" x14ac:dyDescent="0.25">
      <c r="A299" s="527">
        <f>ROW()</f>
        <v>299</v>
      </c>
      <c r="B299" s="686" t="s">
        <v>568</v>
      </c>
      <c r="C299" s="687">
        <v>8643460</v>
      </c>
      <c r="D299" s="687"/>
      <c r="E299" s="687"/>
      <c r="F299" s="687"/>
      <c r="G299" s="674">
        <f>G143*$E143</f>
        <v>1234780</v>
      </c>
      <c r="H299" s="674">
        <f t="shared" ref="H299:M301" si="67">(H143*$E143)</f>
        <v>1234780</v>
      </c>
      <c r="I299" s="674">
        <f t="shared" si="67"/>
        <v>1234780</v>
      </c>
      <c r="J299" s="674">
        <f t="shared" si="67"/>
        <v>1234780</v>
      </c>
      <c r="K299" s="674">
        <f t="shared" si="67"/>
        <v>1234780</v>
      </c>
      <c r="L299" s="674">
        <f t="shared" si="67"/>
        <v>1234780</v>
      </c>
      <c r="M299" s="674">
        <f t="shared" si="67"/>
        <v>1234780</v>
      </c>
      <c r="N299" s="688"/>
      <c r="O299" s="104"/>
      <c r="Q299" s="332"/>
      <c r="R299" s="332"/>
      <c r="S299" s="332"/>
      <c r="T299" s="332"/>
      <c r="U299" s="332"/>
      <c r="V299" s="332"/>
      <c r="W299" s="332"/>
      <c r="X299" s="332"/>
      <c r="Y299" s="332"/>
      <c r="Z299" s="332"/>
      <c r="AA299" s="332"/>
      <c r="AB299" s="332"/>
      <c r="AC299" s="332"/>
      <c r="AD299" s="332"/>
      <c r="AE299" s="332"/>
    </row>
    <row r="300" spans="1:31" x14ac:dyDescent="0.25">
      <c r="A300" s="527">
        <f>ROW()</f>
        <v>300</v>
      </c>
      <c r="B300" s="686" t="s">
        <v>571</v>
      </c>
      <c r="C300" s="687">
        <v>0</v>
      </c>
      <c r="D300" s="687"/>
      <c r="E300" s="687"/>
      <c r="F300" s="687"/>
      <c r="G300" s="674">
        <f>G144*$E144</f>
        <v>0</v>
      </c>
      <c r="H300" s="674">
        <f t="shared" si="67"/>
        <v>0</v>
      </c>
      <c r="I300" s="674">
        <f t="shared" si="67"/>
        <v>0</v>
      </c>
      <c r="J300" s="674">
        <f t="shared" si="67"/>
        <v>0</v>
      </c>
      <c r="K300" s="674">
        <f t="shared" si="67"/>
        <v>0</v>
      </c>
      <c r="L300" s="674">
        <f t="shared" si="67"/>
        <v>0</v>
      </c>
      <c r="M300" s="674">
        <f t="shared" si="67"/>
        <v>0</v>
      </c>
      <c r="N300" s="688"/>
      <c r="O300" s="104"/>
      <c r="Q300" s="332"/>
      <c r="R300" s="332"/>
      <c r="S300" s="332"/>
      <c r="T300" s="332"/>
      <c r="U300" s="332"/>
      <c r="V300" s="332"/>
      <c r="W300" s="332"/>
      <c r="X300" s="332"/>
      <c r="Y300" s="332"/>
      <c r="Z300" s="332"/>
      <c r="AA300" s="332"/>
      <c r="AB300" s="332"/>
      <c r="AC300" s="332"/>
      <c r="AD300" s="332"/>
      <c r="AE300" s="332"/>
    </row>
    <row r="301" spans="1:31" x14ac:dyDescent="0.25">
      <c r="A301" s="527">
        <f>ROW()</f>
        <v>301</v>
      </c>
      <c r="B301" s="686" t="s">
        <v>571</v>
      </c>
      <c r="C301" s="687">
        <v>0</v>
      </c>
      <c r="D301" s="687"/>
      <c r="E301" s="687"/>
      <c r="F301" s="687"/>
      <c r="G301" s="674">
        <f>G145*$E145</f>
        <v>0</v>
      </c>
      <c r="H301" s="674">
        <f t="shared" si="67"/>
        <v>0</v>
      </c>
      <c r="I301" s="674">
        <f t="shared" si="67"/>
        <v>0</v>
      </c>
      <c r="J301" s="674">
        <f t="shared" si="67"/>
        <v>0</v>
      </c>
      <c r="K301" s="674">
        <f t="shared" si="67"/>
        <v>0</v>
      </c>
      <c r="L301" s="674">
        <f t="shared" si="67"/>
        <v>0</v>
      </c>
      <c r="M301" s="674">
        <f t="shared" si="67"/>
        <v>0</v>
      </c>
      <c r="N301" s="688"/>
      <c r="O301" s="104"/>
      <c r="Q301" s="332"/>
      <c r="R301" s="332"/>
      <c r="S301" s="332"/>
      <c r="T301" s="332"/>
      <c r="U301" s="332"/>
      <c r="V301" s="332"/>
      <c r="W301" s="332"/>
      <c r="X301" s="332"/>
      <c r="Y301" s="332"/>
      <c r="Z301" s="332"/>
      <c r="AA301" s="332"/>
      <c r="AB301" s="332"/>
      <c r="AC301" s="332"/>
      <c r="AD301" s="332"/>
      <c r="AE301" s="332"/>
    </row>
    <row r="302" spans="1:31" x14ac:dyDescent="0.25">
      <c r="A302" s="527">
        <f>ROW()</f>
        <v>302</v>
      </c>
      <c r="B302" s="686"/>
      <c r="C302" s="687">
        <v>0</v>
      </c>
      <c r="D302" s="687"/>
      <c r="E302" s="687"/>
      <c r="F302" s="687"/>
      <c r="G302" s="674"/>
      <c r="H302" s="674"/>
      <c r="I302" s="674"/>
      <c r="J302" s="674"/>
      <c r="K302" s="674"/>
      <c r="L302" s="674"/>
      <c r="M302" s="674"/>
      <c r="N302" s="688"/>
      <c r="O302" s="104"/>
      <c r="Q302" s="332"/>
      <c r="R302" s="332"/>
      <c r="S302" s="332"/>
      <c r="T302" s="332"/>
      <c r="U302" s="332"/>
      <c r="V302" s="332"/>
      <c r="W302" s="332"/>
      <c r="X302" s="332"/>
      <c r="Y302" s="332"/>
      <c r="Z302" s="332"/>
      <c r="AA302" s="332"/>
      <c r="AB302" s="332"/>
      <c r="AC302" s="332"/>
      <c r="AD302" s="332"/>
      <c r="AE302" s="332"/>
    </row>
    <row r="303" spans="1:31" x14ac:dyDescent="0.25">
      <c r="A303" s="527">
        <f>ROW()</f>
        <v>303</v>
      </c>
      <c r="B303" s="686" t="s">
        <v>573</v>
      </c>
      <c r="C303" s="687">
        <v>1091279</v>
      </c>
      <c r="D303" s="687"/>
      <c r="E303" s="687"/>
      <c r="F303" s="687"/>
      <c r="G303" s="674">
        <f>G147*$E147</f>
        <v>155897</v>
      </c>
      <c r="H303" s="674">
        <f t="shared" ref="H303:M307" si="68">(H147*$E147)</f>
        <v>155897</v>
      </c>
      <c r="I303" s="674">
        <f t="shared" si="68"/>
        <v>155897</v>
      </c>
      <c r="J303" s="674">
        <f t="shared" si="68"/>
        <v>155897</v>
      </c>
      <c r="K303" s="674">
        <f t="shared" si="68"/>
        <v>155897</v>
      </c>
      <c r="L303" s="674">
        <f t="shared" si="68"/>
        <v>155897</v>
      </c>
      <c r="M303" s="674">
        <f t="shared" si="68"/>
        <v>155897</v>
      </c>
      <c r="N303" s="688"/>
      <c r="O303" s="104"/>
      <c r="Q303" s="332"/>
      <c r="R303" s="332"/>
      <c r="S303" s="332"/>
      <c r="T303" s="332"/>
      <c r="U303" s="332"/>
      <c r="V303" s="332"/>
      <c r="W303" s="332"/>
      <c r="X303" s="332"/>
      <c r="Y303" s="332"/>
      <c r="Z303" s="332"/>
      <c r="AA303" s="332"/>
      <c r="AB303" s="332"/>
      <c r="AC303" s="332"/>
      <c r="AD303" s="332"/>
      <c r="AE303" s="332"/>
    </row>
    <row r="304" spans="1:31" x14ac:dyDescent="0.25">
      <c r="A304" s="527">
        <f>ROW()</f>
        <v>304</v>
      </c>
      <c r="B304" s="686" t="s">
        <v>576</v>
      </c>
      <c r="C304" s="687">
        <v>1030344</v>
      </c>
      <c r="D304" s="687"/>
      <c r="E304" s="687"/>
      <c r="F304" s="687"/>
      <c r="G304" s="674">
        <f>G148*$E148</f>
        <v>147192</v>
      </c>
      <c r="H304" s="674">
        <f t="shared" si="68"/>
        <v>147192</v>
      </c>
      <c r="I304" s="674">
        <f t="shared" si="68"/>
        <v>147192</v>
      </c>
      <c r="J304" s="674">
        <f t="shared" si="68"/>
        <v>147192</v>
      </c>
      <c r="K304" s="674">
        <f t="shared" si="68"/>
        <v>147192</v>
      </c>
      <c r="L304" s="674">
        <f t="shared" si="68"/>
        <v>147192</v>
      </c>
      <c r="M304" s="674">
        <f t="shared" si="68"/>
        <v>147192</v>
      </c>
      <c r="N304" s="688"/>
      <c r="O304" s="104"/>
      <c r="Q304" s="332"/>
      <c r="R304" s="332"/>
      <c r="S304" s="332"/>
      <c r="T304" s="332"/>
      <c r="U304" s="332"/>
      <c r="V304" s="332"/>
      <c r="W304" s="332"/>
      <c r="X304" s="332"/>
      <c r="Y304" s="332"/>
      <c r="Z304" s="332"/>
      <c r="AA304" s="332"/>
      <c r="AB304" s="332"/>
      <c r="AC304" s="332"/>
      <c r="AD304" s="332"/>
      <c r="AE304" s="332"/>
    </row>
    <row r="305" spans="1:31" x14ac:dyDescent="0.25">
      <c r="A305" s="527">
        <f>ROW()</f>
        <v>305</v>
      </c>
      <c r="B305" s="686" t="s">
        <v>578</v>
      </c>
      <c r="C305" s="687">
        <v>2901451</v>
      </c>
      <c r="D305" s="687"/>
      <c r="E305" s="687"/>
      <c r="F305" s="687"/>
      <c r="G305" s="674">
        <f>G149*$E149</f>
        <v>414493</v>
      </c>
      <c r="H305" s="674">
        <f t="shared" si="68"/>
        <v>414493</v>
      </c>
      <c r="I305" s="674">
        <f t="shared" si="68"/>
        <v>414493</v>
      </c>
      <c r="J305" s="674">
        <f t="shared" si="68"/>
        <v>414493</v>
      </c>
      <c r="K305" s="674">
        <f t="shared" si="68"/>
        <v>414493</v>
      </c>
      <c r="L305" s="674">
        <f t="shared" si="68"/>
        <v>414493</v>
      </c>
      <c r="M305" s="674">
        <f t="shared" si="68"/>
        <v>414493</v>
      </c>
      <c r="N305" s="688"/>
      <c r="O305" s="104"/>
      <c r="Q305" s="332"/>
      <c r="R305" s="332"/>
      <c r="S305" s="332"/>
      <c r="T305" s="332"/>
      <c r="U305" s="332"/>
      <c r="V305" s="332"/>
      <c r="W305" s="332"/>
      <c r="X305" s="332"/>
      <c r="Y305" s="332"/>
      <c r="Z305" s="332"/>
      <c r="AA305" s="332"/>
      <c r="AB305" s="332"/>
      <c r="AC305" s="332"/>
      <c r="AD305" s="332"/>
      <c r="AE305" s="332"/>
    </row>
    <row r="306" spans="1:31" x14ac:dyDescent="0.25">
      <c r="A306" s="527">
        <f>ROW()</f>
        <v>306</v>
      </c>
      <c r="B306" s="686" t="s">
        <v>580</v>
      </c>
      <c r="C306" s="687">
        <v>572715.56999999995</v>
      </c>
      <c r="D306" s="687"/>
      <c r="E306" s="687"/>
      <c r="F306" s="687"/>
      <c r="G306" s="674">
        <f>G150*$E150</f>
        <v>81816.509999999995</v>
      </c>
      <c r="H306" s="674">
        <f t="shared" si="68"/>
        <v>81816.509999999995</v>
      </c>
      <c r="I306" s="674">
        <f t="shared" si="68"/>
        <v>81816.509999999995</v>
      </c>
      <c r="J306" s="674">
        <f t="shared" si="68"/>
        <v>81816.509999999995</v>
      </c>
      <c r="K306" s="674">
        <f t="shared" si="68"/>
        <v>81816.509999999995</v>
      </c>
      <c r="L306" s="674">
        <f t="shared" si="68"/>
        <v>81816.509999999995</v>
      </c>
      <c r="M306" s="674">
        <f t="shared" si="68"/>
        <v>81816.509999999995</v>
      </c>
      <c r="N306" s="688"/>
      <c r="O306" s="104"/>
      <c r="Q306" s="332"/>
      <c r="R306" s="332"/>
      <c r="S306" s="332"/>
      <c r="T306" s="332"/>
      <c r="U306" s="332"/>
      <c r="V306" s="332"/>
      <c r="W306" s="332"/>
      <c r="X306" s="332"/>
      <c r="Y306" s="332"/>
      <c r="Z306" s="332"/>
      <c r="AA306" s="332"/>
      <c r="AB306" s="332"/>
      <c r="AC306" s="332"/>
      <c r="AD306" s="332"/>
      <c r="AE306" s="332"/>
    </row>
    <row r="307" spans="1:31" x14ac:dyDescent="0.25">
      <c r="A307" s="527">
        <f>ROW()</f>
        <v>307</v>
      </c>
      <c r="B307" s="686" t="s">
        <v>582</v>
      </c>
      <c r="C307" s="687">
        <v>1322790</v>
      </c>
      <c r="D307" s="687"/>
      <c r="E307" s="687"/>
      <c r="F307" s="687"/>
      <c r="G307" s="674">
        <f>G151*$E151</f>
        <v>188970</v>
      </c>
      <c r="H307" s="674">
        <f t="shared" si="68"/>
        <v>188970</v>
      </c>
      <c r="I307" s="674">
        <f t="shared" si="68"/>
        <v>188970</v>
      </c>
      <c r="J307" s="674">
        <f t="shared" si="68"/>
        <v>188970</v>
      </c>
      <c r="K307" s="674">
        <f t="shared" si="68"/>
        <v>188970</v>
      </c>
      <c r="L307" s="674">
        <f t="shared" si="68"/>
        <v>188970</v>
      </c>
      <c r="M307" s="674">
        <f t="shared" si="68"/>
        <v>188970</v>
      </c>
      <c r="N307" s="688"/>
      <c r="O307" s="104"/>
      <c r="Q307" s="332"/>
      <c r="R307" s="332"/>
      <c r="S307" s="332"/>
      <c r="T307" s="332"/>
      <c r="U307" s="332"/>
      <c r="V307" s="332"/>
      <c r="W307" s="332"/>
      <c r="X307" s="332"/>
      <c r="Y307" s="332"/>
      <c r="Z307" s="332"/>
      <c r="AA307" s="332"/>
      <c r="AB307" s="332"/>
      <c r="AC307" s="332"/>
      <c r="AD307" s="332"/>
      <c r="AE307" s="332"/>
    </row>
    <row r="308" spans="1:31" x14ac:dyDescent="0.25">
      <c r="A308" s="527">
        <f>ROW()</f>
        <v>308</v>
      </c>
      <c r="B308" s="686"/>
      <c r="C308" s="687">
        <v>0</v>
      </c>
      <c r="D308" s="687"/>
      <c r="E308" s="687"/>
      <c r="F308" s="687"/>
      <c r="G308" s="674"/>
      <c r="H308" s="674"/>
      <c r="I308" s="674"/>
      <c r="J308" s="674"/>
      <c r="K308" s="674"/>
      <c r="L308" s="674"/>
      <c r="M308" s="674"/>
      <c r="N308" s="688"/>
      <c r="O308" s="104"/>
      <c r="Q308" s="332"/>
      <c r="R308" s="332"/>
      <c r="S308" s="332"/>
      <c r="T308" s="332"/>
      <c r="U308" s="332"/>
      <c r="V308" s="332"/>
      <c r="W308" s="332"/>
      <c r="X308" s="332"/>
      <c r="Y308" s="332"/>
      <c r="Z308" s="332"/>
      <c r="AA308" s="332"/>
      <c r="AB308" s="332"/>
      <c r="AC308" s="332"/>
      <c r="AD308" s="332"/>
      <c r="AE308" s="332"/>
    </row>
    <row r="309" spans="1:31" x14ac:dyDescent="0.25">
      <c r="A309" s="527">
        <f>ROW()</f>
        <v>309</v>
      </c>
      <c r="B309" s="686" t="s">
        <v>583</v>
      </c>
      <c r="C309" s="687">
        <v>2142588</v>
      </c>
      <c r="D309" s="687"/>
      <c r="E309" s="687"/>
      <c r="F309" s="687"/>
      <c r="G309" s="674">
        <f>G153*$E153</f>
        <v>306084</v>
      </c>
      <c r="H309" s="674">
        <f t="shared" ref="H309:M313" si="69">(H153*$E153)</f>
        <v>306084</v>
      </c>
      <c r="I309" s="674">
        <f t="shared" si="69"/>
        <v>306084</v>
      </c>
      <c r="J309" s="674">
        <f t="shared" si="69"/>
        <v>306084</v>
      </c>
      <c r="K309" s="674">
        <f t="shared" si="69"/>
        <v>306084</v>
      </c>
      <c r="L309" s="674">
        <f t="shared" si="69"/>
        <v>306084</v>
      </c>
      <c r="M309" s="674">
        <f t="shared" si="69"/>
        <v>306084</v>
      </c>
      <c r="N309" s="688"/>
      <c r="O309" s="104"/>
      <c r="Q309" s="332"/>
      <c r="R309" s="332"/>
      <c r="S309" s="332"/>
      <c r="T309" s="332"/>
      <c r="U309" s="332"/>
      <c r="V309" s="332"/>
      <c r="W309" s="332"/>
      <c r="X309" s="332"/>
      <c r="Y309" s="332"/>
      <c r="Z309" s="332"/>
      <c r="AA309" s="332"/>
      <c r="AB309" s="332"/>
      <c r="AC309" s="332"/>
      <c r="AD309" s="332"/>
      <c r="AE309" s="332"/>
    </row>
    <row r="310" spans="1:31" x14ac:dyDescent="0.25">
      <c r="A310" s="527">
        <f>ROW()</f>
        <v>310</v>
      </c>
      <c r="B310" s="686" t="s">
        <v>585</v>
      </c>
      <c r="C310" s="687">
        <v>478632</v>
      </c>
      <c r="D310" s="687"/>
      <c r="E310" s="687"/>
      <c r="F310" s="687"/>
      <c r="G310" s="674">
        <f>G154*$E154</f>
        <v>68376</v>
      </c>
      <c r="H310" s="674">
        <f t="shared" si="69"/>
        <v>68376</v>
      </c>
      <c r="I310" s="674">
        <f t="shared" si="69"/>
        <v>68376</v>
      </c>
      <c r="J310" s="674">
        <f t="shared" si="69"/>
        <v>68376</v>
      </c>
      <c r="K310" s="674">
        <f t="shared" si="69"/>
        <v>68376</v>
      </c>
      <c r="L310" s="674">
        <f t="shared" si="69"/>
        <v>68376</v>
      </c>
      <c r="M310" s="674">
        <f t="shared" si="69"/>
        <v>68376</v>
      </c>
      <c r="N310" s="688"/>
      <c r="O310" s="104"/>
      <c r="Q310" s="332"/>
      <c r="R310" s="332"/>
      <c r="S310" s="332"/>
      <c r="T310" s="332"/>
      <c r="U310" s="332"/>
      <c r="V310" s="332"/>
      <c r="W310" s="332"/>
      <c r="X310" s="332"/>
      <c r="Y310" s="332"/>
      <c r="Z310" s="332"/>
      <c r="AA310" s="332"/>
      <c r="AB310" s="332"/>
      <c r="AC310" s="332"/>
      <c r="AD310" s="332"/>
      <c r="AE310" s="332"/>
    </row>
    <row r="311" spans="1:31" x14ac:dyDescent="0.25">
      <c r="A311" s="527">
        <f>ROW()</f>
        <v>311</v>
      </c>
      <c r="B311" s="686" t="s">
        <v>587</v>
      </c>
      <c r="C311" s="687">
        <v>3359125</v>
      </c>
      <c r="D311" s="687"/>
      <c r="E311" s="687"/>
      <c r="F311" s="687"/>
      <c r="G311" s="674">
        <f>G155*$E155</f>
        <v>479875</v>
      </c>
      <c r="H311" s="674">
        <f t="shared" si="69"/>
        <v>479875</v>
      </c>
      <c r="I311" s="674">
        <f t="shared" si="69"/>
        <v>479875</v>
      </c>
      <c r="J311" s="674">
        <f t="shared" si="69"/>
        <v>479875</v>
      </c>
      <c r="K311" s="674">
        <f t="shared" si="69"/>
        <v>479875</v>
      </c>
      <c r="L311" s="674">
        <f t="shared" si="69"/>
        <v>479875</v>
      </c>
      <c r="M311" s="674">
        <f t="shared" si="69"/>
        <v>479875</v>
      </c>
      <c r="N311" s="688"/>
      <c r="O311" s="104"/>
      <c r="Q311" s="332"/>
      <c r="R311" s="332"/>
      <c r="S311" s="332"/>
      <c r="T311" s="332"/>
      <c r="U311" s="332"/>
      <c r="V311" s="332"/>
      <c r="W311" s="332"/>
      <c r="X311" s="332"/>
      <c r="Y311" s="332"/>
      <c r="Z311" s="332"/>
      <c r="AA311" s="332"/>
      <c r="AB311" s="332"/>
      <c r="AC311" s="332"/>
      <c r="AD311" s="332"/>
      <c r="AE311" s="332"/>
    </row>
    <row r="312" spans="1:31" x14ac:dyDescent="0.25">
      <c r="A312" s="527">
        <f>ROW()</f>
        <v>312</v>
      </c>
      <c r="B312" s="686" t="s">
        <v>589</v>
      </c>
      <c r="C312" s="687">
        <v>588273</v>
      </c>
      <c r="D312" s="687"/>
      <c r="E312" s="687"/>
      <c r="F312" s="687"/>
      <c r="G312" s="674">
        <f>G156*$E156</f>
        <v>84039</v>
      </c>
      <c r="H312" s="674">
        <f t="shared" si="69"/>
        <v>84039</v>
      </c>
      <c r="I312" s="674">
        <f t="shared" si="69"/>
        <v>84039</v>
      </c>
      <c r="J312" s="674">
        <f t="shared" si="69"/>
        <v>84039</v>
      </c>
      <c r="K312" s="674">
        <f t="shared" si="69"/>
        <v>84039</v>
      </c>
      <c r="L312" s="674">
        <f t="shared" si="69"/>
        <v>84039</v>
      </c>
      <c r="M312" s="674">
        <f t="shared" si="69"/>
        <v>84039</v>
      </c>
      <c r="N312" s="688"/>
      <c r="O312" s="104"/>
      <c r="Q312" s="332"/>
      <c r="R312" s="332"/>
      <c r="S312" s="332"/>
      <c r="T312" s="332"/>
      <c r="U312" s="332"/>
      <c r="V312" s="332"/>
      <c r="W312" s="332"/>
      <c r="X312" s="332"/>
      <c r="Y312" s="332"/>
      <c r="Z312" s="332"/>
      <c r="AA312" s="332"/>
      <c r="AB312" s="332"/>
      <c r="AC312" s="332"/>
      <c r="AD312" s="332"/>
      <c r="AE312" s="332"/>
    </row>
    <row r="313" spans="1:31" x14ac:dyDescent="0.25">
      <c r="A313" s="527">
        <f>ROW()</f>
        <v>313</v>
      </c>
      <c r="B313" s="686" t="s">
        <v>591</v>
      </c>
      <c r="C313" s="687">
        <v>3493140</v>
      </c>
      <c r="D313" s="687"/>
      <c r="E313" s="687"/>
      <c r="F313" s="687"/>
      <c r="G313" s="674">
        <f>G157*$E157</f>
        <v>499020</v>
      </c>
      <c r="H313" s="674">
        <f t="shared" si="69"/>
        <v>499020</v>
      </c>
      <c r="I313" s="674">
        <f t="shared" si="69"/>
        <v>499020</v>
      </c>
      <c r="J313" s="674">
        <f t="shared" si="69"/>
        <v>499020</v>
      </c>
      <c r="K313" s="674">
        <f t="shared" si="69"/>
        <v>499020</v>
      </c>
      <c r="L313" s="674">
        <f t="shared" si="69"/>
        <v>499020</v>
      </c>
      <c r="M313" s="674">
        <f t="shared" si="69"/>
        <v>499020</v>
      </c>
      <c r="N313" s="688"/>
      <c r="O313" s="104"/>
      <c r="Q313" s="332"/>
      <c r="R313" s="332"/>
      <c r="S313" s="332"/>
      <c r="T313" s="332"/>
      <c r="U313" s="332"/>
      <c r="V313" s="332"/>
      <c r="W313" s="332"/>
      <c r="X313" s="332"/>
      <c r="Y313" s="332"/>
      <c r="Z313" s="332"/>
      <c r="AA313" s="332"/>
      <c r="AB313" s="332"/>
      <c r="AC313" s="332"/>
      <c r="AD313" s="332"/>
      <c r="AE313" s="332"/>
    </row>
    <row r="314" spans="1:31" x14ac:dyDescent="0.25">
      <c r="A314" s="527">
        <f>ROW()</f>
        <v>314</v>
      </c>
      <c r="B314" s="686"/>
      <c r="C314" s="687">
        <v>0</v>
      </c>
      <c r="D314" s="687"/>
      <c r="E314" s="687"/>
      <c r="F314" s="687"/>
      <c r="G314" s="674"/>
      <c r="H314" s="674"/>
      <c r="I314" s="674"/>
      <c r="J314" s="674"/>
      <c r="K314" s="674"/>
      <c r="L314" s="674"/>
      <c r="M314" s="674"/>
      <c r="N314" s="688"/>
      <c r="O314" s="104"/>
      <c r="Q314" s="332"/>
      <c r="R314" s="332"/>
      <c r="S314" s="332"/>
      <c r="T314" s="332"/>
      <c r="U314" s="332"/>
      <c r="V314" s="332"/>
      <c r="W314" s="332"/>
      <c r="X314" s="332"/>
      <c r="Y314" s="332"/>
      <c r="Z314" s="332"/>
      <c r="AA314" s="332"/>
      <c r="AB314" s="332"/>
      <c r="AC314" s="332"/>
      <c r="AD314" s="332"/>
      <c r="AE314" s="332"/>
    </row>
    <row r="315" spans="1:31" x14ac:dyDescent="0.25">
      <c r="A315" s="527">
        <f>ROW()</f>
        <v>315</v>
      </c>
      <c r="B315" s="686" t="s">
        <v>592</v>
      </c>
      <c r="C315" s="687">
        <v>1481193</v>
      </c>
      <c r="D315" s="687"/>
      <c r="E315" s="687"/>
      <c r="F315" s="687"/>
      <c r="G315" s="674">
        <f>G159*$E159</f>
        <v>211599</v>
      </c>
      <c r="H315" s="674">
        <f t="shared" ref="H315:M319" si="70">(H159*$E159)</f>
        <v>211599</v>
      </c>
      <c r="I315" s="674">
        <f t="shared" si="70"/>
        <v>211599</v>
      </c>
      <c r="J315" s="674">
        <f t="shared" si="70"/>
        <v>211599</v>
      </c>
      <c r="K315" s="674">
        <f t="shared" si="70"/>
        <v>211599</v>
      </c>
      <c r="L315" s="674">
        <f t="shared" si="70"/>
        <v>211599</v>
      </c>
      <c r="M315" s="674">
        <f t="shared" si="70"/>
        <v>211599</v>
      </c>
      <c r="N315" s="688"/>
      <c r="O315" s="104"/>
      <c r="Q315" s="332"/>
      <c r="R315" s="332"/>
      <c r="S315" s="332"/>
      <c r="T315" s="332"/>
      <c r="U315" s="332"/>
      <c r="V315" s="332"/>
      <c r="W315" s="332"/>
      <c r="X315" s="332"/>
      <c r="Y315" s="332"/>
      <c r="Z315" s="332"/>
      <c r="AA315" s="332"/>
      <c r="AB315" s="332"/>
      <c r="AC315" s="332"/>
      <c r="AD315" s="332"/>
      <c r="AE315" s="332"/>
    </row>
    <row r="316" spans="1:31" x14ac:dyDescent="0.25">
      <c r="A316" s="527">
        <f>ROW()</f>
        <v>316</v>
      </c>
      <c r="B316" s="686" t="s">
        <v>594</v>
      </c>
      <c r="C316" s="687">
        <v>3343522</v>
      </c>
      <c r="D316" s="687"/>
      <c r="E316" s="687"/>
      <c r="F316" s="687"/>
      <c r="G316" s="674">
        <f>G160*$E160</f>
        <v>477646</v>
      </c>
      <c r="H316" s="674">
        <f t="shared" si="70"/>
        <v>477646</v>
      </c>
      <c r="I316" s="674">
        <f t="shared" si="70"/>
        <v>477646</v>
      </c>
      <c r="J316" s="674">
        <f t="shared" si="70"/>
        <v>477646</v>
      </c>
      <c r="K316" s="674">
        <f t="shared" si="70"/>
        <v>477646</v>
      </c>
      <c r="L316" s="674">
        <f t="shared" si="70"/>
        <v>477646</v>
      </c>
      <c r="M316" s="674">
        <f t="shared" si="70"/>
        <v>477646</v>
      </c>
      <c r="N316" s="688"/>
      <c r="O316" s="104"/>
      <c r="Q316" s="332"/>
      <c r="R316" s="332"/>
      <c r="S316" s="332"/>
      <c r="T316" s="332"/>
      <c r="U316" s="332"/>
      <c r="V316" s="332"/>
      <c r="W316" s="332"/>
      <c r="X316" s="332"/>
      <c r="Y316" s="332"/>
      <c r="Z316" s="332"/>
      <c r="AA316" s="332"/>
      <c r="AB316" s="332"/>
      <c r="AC316" s="332"/>
      <c r="AD316" s="332"/>
      <c r="AE316" s="332"/>
    </row>
    <row r="317" spans="1:31" x14ac:dyDescent="0.25">
      <c r="A317" s="527">
        <f>ROW()</f>
        <v>317</v>
      </c>
      <c r="B317" s="686" t="s">
        <v>595</v>
      </c>
      <c r="C317" s="687">
        <v>1176581</v>
      </c>
      <c r="D317" s="687"/>
      <c r="E317" s="687"/>
      <c r="F317" s="687"/>
      <c r="G317" s="674">
        <f>G161*$E161</f>
        <v>168083</v>
      </c>
      <c r="H317" s="674">
        <f t="shared" si="70"/>
        <v>168083</v>
      </c>
      <c r="I317" s="674">
        <f t="shared" si="70"/>
        <v>168083</v>
      </c>
      <c r="J317" s="674">
        <f t="shared" si="70"/>
        <v>168083</v>
      </c>
      <c r="K317" s="674">
        <f t="shared" si="70"/>
        <v>168083</v>
      </c>
      <c r="L317" s="674">
        <f t="shared" si="70"/>
        <v>168083</v>
      </c>
      <c r="M317" s="674">
        <f t="shared" si="70"/>
        <v>168083</v>
      </c>
      <c r="N317" s="688"/>
      <c r="O317" s="104"/>
      <c r="Q317" s="332"/>
      <c r="R317" s="332"/>
      <c r="S317" s="332"/>
      <c r="T317" s="332"/>
      <c r="U317" s="332"/>
      <c r="V317" s="332"/>
      <c r="W317" s="332"/>
      <c r="X317" s="332"/>
      <c r="Y317" s="332"/>
      <c r="Z317" s="332"/>
      <c r="AA317" s="332"/>
      <c r="AB317" s="332"/>
      <c r="AC317" s="332"/>
      <c r="AD317" s="332"/>
      <c r="AE317" s="332"/>
    </row>
    <row r="318" spans="1:31" x14ac:dyDescent="0.25">
      <c r="A318" s="527">
        <f>ROW()</f>
        <v>318</v>
      </c>
      <c r="B318" s="686" t="s">
        <v>597</v>
      </c>
      <c r="C318" s="687">
        <v>819798</v>
      </c>
      <c r="D318" s="687"/>
      <c r="E318" s="687"/>
      <c r="F318" s="687"/>
      <c r="G318" s="674">
        <f>G162*$E162</f>
        <v>117114</v>
      </c>
      <c r="H318" s="674">
        <f t="shared" si="70"/>
        <v>117114</v>
      </c>
      <c r="I318" s="674">
        <f t="shared" si="70"/>
        <v>117114</v>
      </c>
      <c r="J318" s="674">
        <f t="shared" si="70"/>
        <v>117114</v>
      </c>
      <c r="K318" s="674">
        <f t="shared" si="70"/>
        <v>117114</v>
      </c>
      <c r="L318" s="674">
        <f t="shared" si="70"/>
        <v>117114</v>
      </c>
      <c r="M318" s="674">
        <f t="shared" si="70"/>
        <v>117114</v>
      </c>
      <c r="N318" s="688"/>
      <c r="O318" s="104"/>
      <c r="Q318" s="332"/>
      <c r="R318" s="332"/>
      <c r="S318" s="332"/>
      <c r="T318" s="332"/>
      <c r="U318" s="332"/>
      <c r="V318" s="332"/>
      <c r="W318" s="332"/>
      <c r="X318" s="332"/>
      <c r="Y318" s="332"/>
      <c r="Z318" s="332"/>
      <c r="AA318" s="332"/>
      <c r="AB318" s="332"/>
      <c r="AC318" s="332"/>
      <c r="AD318" s="332"/>
      <c r="AE318" s="332"/>
    </row>
    <row r="319" spans="1:31" x14ac:dyDescent="0.25">
      <c r="A319" s="527">
        <f>ROW()</f>
        <v>319</v>
      </c>
      <c r="B319" s="686" t="s">
        <v>598</v>
      </c>
      <c r="C319" s="687">
        <v>454251</v>
      </c>
      <c r="D319" s="687"/>
      <c r="E319" s="687"/>
      <c r="F319" s="687"/>
      <c r="G319" s="674">
        <f>G163*$E163</f>
        <v>64893</v>
      </c>
      <c r="H319" s="674">
        <f t="shared" si="70"/>
        <v>64893</v>
      </c>
      <c r="I319" s="674">
        <f t="shared" si="70"/>
        <v>64893</v>
      </c>
      <c r="J319" s="674">
        <f t="shared" si="70"/>
        <v>64893</v>
      </c>
      <c r="K319" s="674">
        <f t="shared" si="70"/>
        <v>64893</v>
      </c>
      <c r="L319" s="674">
        <f t="shared" si="70"/>
        <v>64893</v>
      </c>
      <c r="M319" s="674">
        <f t="shared" si="70"/>
        <v>64893</v>
      </c>
      <c r="N319" s="688"/>
      <c r="O319" s="104"/>
      <c r="Q319" s="332"/>
      <c r="R319" s="332"/>
      <c r="S319" s="332"/>
      <c r="T319" s="332"/>
      <c r="U319" s="332"/>
      <c r="V319" s="332"/>
      <c r="W319" s="332"/>
      <c r="X319" s="332"/>
      <c r="Y319" s="332"/>
      <c r="Z319" s="332"/>
      <c r="AA319" s="332"/>
      <c r="AB319" s="332"/>
      <c r="AC319" s="332"/>
      <c r="AD319" s="332"/>
      <c r="AE319" s="332"/>
    </row>
    <row r="320" spans="1:31" x14ac:dyDescent="0.25">
      <c r="A320" s="527">
        <f>ROW()</f>
        <v>320</v>
      </c>
      <c r="B320" s="686"/>
      <c r="C320" s="687">
        <v>0</v>
      </c>
      <c r="D320" s="687"/>
      <c r="E320" s="687"/>
      <c r="F320" s="687"/>
      <c r="G320" s="674"/>
      <c r="H320" s="674"/>
      <c r="I320" s="674"/>
      <c r="J320" s="674"/>
      <c r="K320" s="674"/>
      <c r="L320" s="674"/>
      <c r="M320" s="674"/>
      <c r="N320" s="688"/>
      <c r="O320" s="104"/>
      <c r="Q320" s="332"/>
      <c r="R320" s="332"/>
      <c r="S320" s="332"/>
      <c r="T320" s="332"/>
      <c r="U320" s="332"/>
      <c r="V320" s="332"/>
      <c r="W320" s="332"/>
      <c r="X320" s="332"/>
      <c r="Y320" s="332"/>
      <c r="Z320" s="332"/>
      <c r="AA320" s="332"/>
      <c r="AB320" s="332"/>
      <c r="AC320" s="332"/>
      <c r="AD320" s="332"/>
      <c r="AE320" s="332"/>
    </row>
    <row r="321" spans="1:31" x14ac:dyDescent="0.25">
      <c r="A321" s="527">
        <f>ROW()</f>
        <v>321</v>
      </c>
      <c r="B321" s="655" t="s">
        <v>1394</v>
      </c>
      <c r="C321" s="687">
        <v>0</v>
      </c>
      <c r="D321" s="687"/>
      <c r="E321" s="687"/>
      <c r="F321" s="687"/>
      <c r="G321" s="674">
        <f>G165*$E165</f>
        <v>100000</v>
      </c>
      <c r="H321" s="674">
        <f t="shared" ref="H321:M325" si="71">(H165*$E165)</f>
        <v>100000</v>
      </c>
      <c r="I321" s="674">
        <f t="shared" si="71"/>
        <v>100000</v>
      </c>
      <c r="J321" s="674">
        <f t="shared" si="71"/>
        <v>100000</v>
      </c>
      <c r="K321" s="674">
        <f t="shared" si="71"/>
        <v>100000</v>
      </c>
      <c r="L321" s="674">
        <f t="shared" si="71"/>
        <v>100000</v>
      </c>
      <c r="M321" s="674">
        <f t="shared" si="71"/>
        <v>100000</v>
      </c>
      <c r="N321" s="688"/>
      <c r="O321" s="104"/>
      <c r="Q321" s="332"/>
      <c r="R321" s="332"/>
      <c r="S321" s="332"/>
      <c r="T321" s="332"/>
      <c r="U321" s="332"/>
      <c r="V321" s="332"/>
      <c r="W321" s="332"/>
      <c r="X321" s="332"/>
      <c r="Y321" s="332"/>
      <c r="Z321" s="332"/>
      <c r="AA321" s="332"/>
      <c r="AB321" s="332"/>
      <c r="AC321" s="332"/>
      <c r="AD321" s="332"/>
      <c r="AE321" s="332"/>
    </row>
    <row r="322" spans="1:31" hidden="1" x14ac:dyDescent="0.25">
      <c r="A322" s="527">
        <f>ROW()</f>
        <v>322</v>
      </c>
      <c r="B322" s="686" t="s">
        <v>600</v>
      </c>
      <c r="C322" s="687">
        <v>0</v>
      </c>
      <c r="D322" s="687"/>
      <c r="E322" s="687"/>
      <c r="F322" s="687"/>
      <c r="G322" s="674">
        <f>G166*$E166</f>
        <v>0</v>
      </c>
      <c r="H322" s="674">
        <f t="shared" si="71"/>
        <v>0</v>
      </c>
      <c r="I322" s="674">
        <f t="shared" si="71"/>
        <v>0</v>
      </c>
      <c r="J322" s="674">
        <f t="shared" si="71"/>
        <v>0</v>
      </c>
      <c r="K322" s="674">
        <f t="shared" si="71"/>
        <v>0</v>
      </c>
      <c r="L322" s="674">
        <f t="shared" si="71"/>
        <v>0</v>
      </c>
      <c r="M322" s="674">
        <f t="shared" si="71"/>
        <v>0</v>
      </c>
      <c r="N322" s="688"/>
      <c r="O322" s="104"/>
      <c r="Q322" s="332"/>
      <c r="R322" s="332"/>
      <c r="S322" s="332"/>
      <c r="T322" s="332"/>
      <c r="U322" s="332"/>
      <c r="V322" s="332"/>
      <c r="W322" s="332"/>
      <c r="X322" s="332"/>
      <c r="Y322" s="332"/>
      <c r="Z322" s="332"/>
      <c r="AA322" s="332"/>
      <c r="AB322" s="332"/>
      <c r="AC322" s="332"/>
      <c r="AD322" s="332"/>
      <c r="AE322" s="332"/>
    </row>
    <row r="323" spans="1:31" hidden="1" x14ac:dyDescent="0.25">
      <c r="A323" s="527">
        <f>ROW()</f>
        <v>323</v>
      </c>
      <c r="B323" s="686" t="s">
        <v>600</v>
      </c>
      <c r="C323" s="687">
        <v>0</v>
      </c>
      <c r="D323" s="687"/>
      <c r="E323" s="687"/>
      <c r="F323" s="687"/>
      <c r="G323" s="674">
        <f>G167*$E167</f>
        <v>0</v>
      </c>
      <c r="H323" s="674">
        <f t="shared" si="71"/>
        <v>0</v>
      </c>
      <c r="I323" s="674">
        <f t="shared" si="71"/>
        <v>0</v>
      </c>
      <c r="J323" s="674">
        <f t="shared" si="71"/>
        <v>0</v>
      </c>
      <c r="K323" s="674">
        <f t="shared" si="71"/>
        <v>0</v>
      </c>
      <c r="L323" s="674">
        <f t="shared" si="71"/>
        <v>0</v>
      </c>
      <c r="M323" s="674">
        <f t="shared" si="71"/>
        <v>0</v>
      </c>
      <c r="N323" s="688"/>
      <c r="O323" s="104"/>
      <c r="Q323" s="332"/>
      <c r="R323" s="332"/>
      <c r="S323" s="332"/>
      <c r="T323" s="332"/>
      <c r="U323" s="332"/>
      <c r="V323" s="332"/>
      <c r="W323" s="332"/>
      <c r="X323" s="332"/>
      <c r="Y323" s="332"/>
      <c r="Z323" s="332"/>
      <c r="AA323" s="332"/>
      <c r="AB323" s="332"/>
      <c r="AC323" s="332"/>
      <c r="AD323" s="332"/>
      <c r="AE323" s="332"/>
    </row>
    <row r="324" spans="1:31" hidden="1" x14ac:dyDescent="0.25">
      <c r="A324" s="527">
        <f>ROW()</f>
        <v>324</v>
      </c>
      <c r="B324" s="686" t="s">
        <v>600</v>
      </c>
      <c r="C324" s="687">
        <v>0</v>
      </c>
      <c r="D324" s="687"/>
      <c r="E324" s="687"/>
      <c r="F324" s="687"/>
      <c r="G324" s="674">
        <f>G168*$E168</f>
        <v>0</v>
      </c>
      <c r="H324" s="674">
        <f t="shared" si="71"/>
        <v>0</v>
      </c>
      <c r="I324" s="674">
        <f t="shared" si="71"/>
        <v>0</v>
      </c>
      <c r="J324" s="674">
        <f t="shared" si="71"/>
        <v>0</v>
      </c>
      <c r="K324" s="674">
        <f t="shared" si="71"/>
        <v>0</v>
      </c>
      <c r="L324" s="674">
        <f t="shared" si="71"/>
        <v>0</v>
      </c>
      <c r="M324" s="674">
        <f t="shared" si="71"/>
        <v>0</v>
      </c>
      <c r="N324" s="688"/>
      <c r="O324" s="104"/>
      <c r="Q324" s="332"/>
      <c r="R324" s="332"/>
      <c r="S324" s="332"/>
      <c r="T324" s="332"/>
      <c r="U324" s="332"/>
      <c r="V324" s="332"/>
      <c r="W324" s="332"/>
      <c r="X324" s="332"/>
      <c r="Y324" s="332"/>
      <c r="Z324" s="332"/>
      <c r="AA324" s="332"/>
      <c r="AB324" s="332"/>
      <c r="AC324" s="332"/>
      <c r="AD324" s="332"/>
      <c r="AE324" s="332"/>
    </row>
    <row r="325" spans="1:31" hidden="1" x14ac:dyDescent="0.25">
      <c r="A325" s="527">
        <f>ROW()</f>
        <v>325</v>
      </c>
      <c r="B325" s="686">
        <v>0</v>
      </c>
      <c r="C325" s="687">
        <v>0</v>
      </c>
      <c r="D325" s="687"/>
      <c r="E325" s="687"/>
      <c r="F325" s="687"/>
      <c r="G325" s="674">
        <f>G169*$E169</f>
        <v>0</v>
      </c>
      <c r="H325" s="674">
        <f t="shared" si="71"/>
        <v>0</v>
      </c>
      <c r="I325" s="674">
        <f t="shared" si="71"/>
        <v>0</v>
      </c>
      <c r="J325" s="674">
        <f t="shared" si="71"/>
        <v>0</v>
      </c>
      <c r="K325" s="674">
        <f t="shared" si="71"/>
        <v>0</v>
      </c>
      <c r="L325" s="674">
        <f t="shared" si="71"/>
        <v>0</v>
      </c>
      <c r="M325" s="674">
        <f t="shared" si="71"/>
        <v>0</v>
      </c>
      <c r="N325" s="688"/>
      <c r="O325" s="104"/>
      <c r="Q325" s="332"/>
      <c r="R325" s="332"/>
      <c r="S325" s="332"/>
      <c r="T325" s="332"/>
      <c r="U325" s="332"/>
      <c r="V325" s="332"/>
      <c r="W325" s="332"/>
      <c r="X325" s="332"/>
      <c r="Y325" s="332"/>
      <c r="Z325" s="332"/>
      <c r="AA325" s="332"/>
      <c r="AB325" s="332"/>
      <c r="AC325" s="332"/>
      <c r="AD325" s="332"/>
      <c r="AE325" s="332"/>
    </row>
    <row r="326" spans="1:31" hidden="1" x14ac:dyDescent="0.25">
      <c r="A326" s="527">
        <f>ROW()</f>
        <v>326</v>
      </c>
      <c r="B326" s="686"/>
      <c r="C326" s="687">
        <v>0</v>
      </c>
      <c r="D326" s="687"/>
      <c r="E326" s="687"/>
      <c r="F326" s="687"/>
      <c r="G326" s="674"/>
      <c r="H326" s="674"/>
      <c r="I326" s="674"/>
      <c r="J326" s="674"/>
      <c r="K326" s="674"/>
      <c r="L326" s="674"/>
      <c r="M326" s="674"/>
      <c r="N326" s="688"/>
      <c r="O326" s="104"/>
      <c r="Q326" s="332"/>
      <c r="R326" s="332"/>
      <c r="S326" s="332"/>
      <c r="T326" s="332"/>
      <c r="U326" s="332"/>
      <c r="V326" s="332"/>
      <c r="W326" s="332"/>
      <c r="X326" s="332"/>
      <c r="Y326" s="332"/>
      <c r="Z326" s="332"/>
      <c r="AA326" s="332"/>
      <c r="AB326" s="332"/>
      <c r="AC326" s="332"/>
      <c r="AD326" s="332"/>
      <c r="AE326" s="332"/>
    </row>
    <row r="327" spans="1:31" hidden="1" x14ac:dyDescent="0.25">
      <c r="A327" s="527">
        <f>ROW()</f>
        <v>327</v>
      </c>
      <c r="B327" s="686" t="s">
        <v>601</v>
      </c>
      <c r="C327" s="687">
        <v>0</v>
      </c>
      <c r="D327" s="687"/>
      <c r="E327" s="687"/>
      <c r="F327" s="687"/>
      <c r="G327" s="674">
        <f>G171*$E171</f>
        <v>0</v>
      </c>
      <c r="H327" s="674">
        <f t="shared" ref="H327:M331" si="72">(H171*$E171)</f>
        <v>0</v>
      </c>
      <c r="I327" s="674">
        <f t="shared" si="72"/>
        <v>0</v>
      </c>
      <c r="J327" s="674">
        <f t="shared" si="72"/>
        <v>0</v>
      </c>
      <c r="K327" s="674">
        <f t="shared" si="72"/>
        <v>0</v>
      </c>
      <c r="L327" s="674">
        <f t="shared" si="72"/>
        <v>0</v>
      </c>
      <c r="M327" s="674">
        <f t="shared" si="72"/>
        <v>0</v>
      </c>
      <c r="N327" s="688"/>
      <c r="O327" s="104"/>
      <c r="Q327" s="332"/>
      <c r="R327" s="332"/>
      <c r="S327" s="332"/>
      <c r="T327" s="332"/>
      <c r="U327" s="332"/>
      <c r="V327" s="332"/>
      <c r="W327" s="332"/>
      <c r="X327" s="332"/>
      <c r="Y327" s="332"/>
      <c r="Z327" s="332"/>
      <c r="AA327" s="332"/>
      <c r="AB327" s="332"/>
      <c r="AC327" s="332"/>
      <c r="AD327" s="332"/>
      <c r="AE327" s="332"/>
    </row>
    <row r="328" spans="1:31" hidden="1" x14ac:dyDescent="0.25">
      <c r="A328" s="527">
        <f>ROW()</f>
        <v>328</v>
      </c>
      <c r="B328" s="686" t="s">
        <v>601</v>
      </c>
      <c r="C328" s="687">
        <v>0</v>
      </c>
      <c r="D328" s="687"/>
      <c r="E328" s="687"/>
      <c r="F328" s="687"/>
      <c r="G328" s="674">
        <f>G172*$E172</f>
        <v>0</v>
      </c>
      <c r="H328" s="674">
        <f t="shared" si="72"/>
        <v>0</v>
      </c>
      <c r="I328" s="674">
        <f t="shared" si="72"/>
        <v>0</v>
      </c>
      <c r="J328" s="674">
        <f t="shared" si="72"/>
        <v>0</v>
      </c>
      <c r="K328" s="674">
        <f t="shared" si="72"/>
        <v>0</v>
      </c>
      <c r="L328" s="674">
        <f t="shared" si="72"/>
        <v>0</v>
      </c>
      <c r="M328" s="674">
        <f t="shared" si="72"/>
        <v>0</v>
      </c>
      <c r="N328" s="688"/>
      <c r="O328" s="104"/>
      <c r="Q328" s="332"/>
      <c r="R328" s="332"/>
      <c r="S328" s="332"/>
      <c r="T328" s="332"/>
      <c r="U328" s="332"/>
      <c r="V328" s="332"/>
      <c r="W328" s="332"/>
      <c r="X328" s="332"/>
      <c r="Y328" s="332"/>
      <c r="Z328" s="332"/>
      <c r="AA328" s="332"/>
      <c r="AB328" s="332"/>
      <c r="AC328" s="332"/>
      <c r="AD328" s="332"/>
      <c r="AE328" s="332"/>
    </row>
    <row r="329" spans="1:31" hidden="1" x14ac:dyDescent="0.25">
      <c r="A329" s="527">
        <f>ROW()</f>
        <v>329</v>
      </c>
      <c r="B329" s="686" t="s">
        <v>601</v>
      </c>
      <c r="C329" s="687">
        <v>0</v>
      </c>
      <c r="D329" s="687"/>
      <c r="E329" s="687"/>
      <c r="F329" s="687"/>
      <c r="G329" s="674">
        <f>G173*$E173</f>
        <v>0</v>
      </c>
      <c r="H329" s="674">
        <f t="shared" si="72"/>
        <v>0</v>
      </c>
      <c r="I329" s="674">
        <f t="shared" si="72"/>
        <v>0</v>
      </c>
      <c r="J329" s="674">
        <f t="shared" si="72"/>
        <v>0</v>
      </c>
      <c r="K329" s="674">
        <f t="shared" si="72"/>
        <v>0</v>
      </c>
      <c r="L329" s="674">
        <f t="shared" si="72"/>
        <v>0</v>
      </c>
      <c r="M329" s="674">
        <f t="shared" si="72"/>
        <v>0</v>
      </c>
      <c r="N329" s="688"/>
      <c r="O329" s="104"/>
      <c r="Q329" s="332"/>
      <c r="R329" s="332"/>
      <c r="S329" s="332"/>
      <c r="T329" s="332"/>
      <c r="U329" s="332"/>
      <c r="V329" s="332"/>
      <c r="W329" s="332"/>
      <c r="X329" s="332"/>
      <c r="Y329" s="332"/>
      <c r="Z329" s="332"/>
      <c r="AA329" s="332"/>
      <c r="AB329" s="332"/>
      <c r="AC329" s="332"/>
      <c r="AD329" s="332"/>
      <c r="AE329" s="332"/>
    </row>
    <row r="330" spans="1:31" hidden="1" x14ac:dyDescent="0.25">
      <c r="A330" s="527">
        <f>ROW()</f>
        <v>330</v>
      </c>
      <c r="B330" s="686" t="s">
        <v>601</v>
      </c>
      <c r="C330" s="687">
        <v>0</v>
      </c>
      <c r="D330" s="687"/>
      <c r="E330" s="687"/>
      <c r="F330" s="687"/>
      <c r="G330" s="674">
        <f>G174*$E174</f>
        <v>0</v>
      </c>
      <c r="H330" s="674">
        <f t="shared" si="72"/>
        <v>0</v>
      </c>
      <c r="I330" s="674">
        <f t="shared" si="72"/>
        <v>0</v>
      </c>
      <c r="J330" s="674">
        <f t="shared" si="72"/>
        <v>0</v>
      </c>
      <c r="K330" s="674">
        <f t="shared" si="72"/>
        <v>0</v>
      </c>
      <c r="L330" s="674">
        <f t="shared" si="72"/>
        <v>0</v>
      </c>
      <c r="M330" s="674">
        <f t="shared" si="72"/>
        <v>0</v>
      </c>
      <c r="N330" s="688"/>
      <c r="O330" s="104"/>
      <c r="Q330" s="332"/>
      <c r="R330" s="332"/>
      <c r="S330" s="332"/>
      <c r="T330" s="332"/>
      <c r="U330" s="332"/>
      <c r="V330" s="332"/>
      <c r="W330" s="332"/>
      <c r="X330" s="332"/>
      <c r="Y330" s="332"/>
      <c r="Z330" s="332"/>
      <c r="AA330" s="332"/>
      <c r="AB330" s="332"/>
      <c r="AC330" s="332"/>
      <c r="AD330" s="332"/>
      <c r="AE330" s="332"/>
    </row>
    <row r="331" spans="1:31" hidden="1" x14ac:dyDescent="0.25">
      <c r="A331" s="527">
        <f>ROW()</f>
        <v>331</v>
      </c>
      <c r="B331" s="686">
        <v>0</v>
      </c>
      <c r="C331" s="687">
        <v>0</v>
      </c>
      <c r="D331" s="687"/>
      <c r="E331" s="687"/>
      <c r="F331" s="687"/>
      <c r="G331" s="674">
        <f>G175*$E175</f>
        <v>0</v>
      </c>
      <c r="H331" s="674">
        <f t="shared" si="72"/>
        <v>0</v>
      </c>
      <c r="I331" s="674">
        <f t="shared" si="72"/>
        <v>0</v>
      </c>
      <c r="J331" s="674">
        <f t="shared" si="72"/>
        <v>0</v>
      </c>
      <c r="K331" s="674">
        <f t="shared" si="72"/>
        <v>0</v>
      </c>
      <c r="L331" s="674">
        <f t="shared" si="72"/>
        <v>0</v>
      </c>
      <c r="M331" s="674">
        <f t="shared" si="72"/>
        <v>0</v>
      </c>
      <c r="N331" s="688"/>
      <c r="O331" s="104"/>
      <c r="Q331" s="332"/>
      <c r="R331" s="332"/>
      <c r="S331" s="332"/>
      <c r="T331" s="332"/>
      <c r="U331" s="332"/>
      <c r="V331" s="332"/>
      <c r="W331" s="332"/>
      <c r="X331" s="332"/>
      <c r="Y331" s="332"/>
      <c r="Z331" s="332"/>
      <c r="AA331" s="332"/>
      <c r="AB331" s="332"/>
      <c r="AC331" s="332"/>
      <c r="AD331" s="332"/>
      <c r="AE331" s="332"/>
    </row>
    <row r="332" spans="1:31" hidden="1" x14ac:dyDescent="0.25">
      <c r="A332" s="527">
        <f>ROW()</f>
        <v>332</v>
      </c>
      <c r="B332" s="686"/>
      <c r="C332" s="687">
        <v>0</v>
      </c>
      <c r="D332" s="687"/>
      <c r="E332" s="687"/>
      <c r="F332" s="687"/>
      <c r="G332" s="674"/>
      <c r="H332" s="674"/>
      <c r="I332" s="674"/>
      <c r="J332" s="674"/>
      <c r="K332" s="674"/>
      <c r="L332" s="674"/>
      <c r="M332" s="674"/>
      <c r="N332" s="688"/>
      <c r="O332" s="104"/>
      <c r="Q332" s="332"/>
      <c r="R332" s="332"/>
      <c r="S332" s="332"/>
      <c r="T332" s="332"/>
      <c r="U332" s="332"/>
      <c r="V332" s="332"/>
      <c r="W332" s="332"/>
      <c r="X332" s="332"/>
      <c r="Y332" s="332"/>
      <c r="Z332" s="332"/>
      <c r="AA332" s="332"/>
      <c r="AB332" s="332"/>
      <c r="AC332" s="332"/>
      <c r="AD332" s="332"/>
      <c r="AE332" s="332"/>
    </row>
    <row r="333" spans="1:31" hidden="1" x14ac:dyDescent="0.25">
      <c r="A333" s="527">
        <f>ROW()</f>
        <v>333</v>
      </c>
      <c r="B333" s="686" t="s">
        <v>602</v>
      </c>
      <c r="C333" s="687">
        <v>0</v>
      </c>
      <c r="D333" s="687"/>
      <c r="E333" s="687"/>
      <c r="F333" s="687"/>
      <c r="G333" s="674">
        <f>G177*$E177</f>
        <v>0</v>
      </c>
      <c r="H333" s="674">
        <f t="shared" ref="H333:M337" si="73">(H177*$E177)</f>
        <v>0</v>
      </c>
      <c r="I333" s="674">
        <f t="shared" si="73"/>
        <v>0</v>
      </c>
      <c r="J333" s="674">
        <f t="shared" si="73"/>
        <v>0</v>
      </c>
      <c r="K333" s="674">
        <f t="shared" si="73"/>
        <v>0</v>
      </c>
      <c r="L333" s="674">
        <f t="shared" si="73"/>
        <v>0</v>
      </c>
      <c r="M333" s="674">
        <f t="shared" si="73"/>
        <v>0</v>
      </c>
      <c r="N333" s="688"/>
      <c r="O333" s="104"/>
      <c r="Q333" s="332"/>
      <c r="R333" s="332"/>
      <c r="S333" s="332"/>
      <c r="T333" s="332"/>
      <c r="U333" s="332"/>
      <c r="V333" s="332"/>
      <c r="W333" s="332"/>
      <c r="X333" s="332"/>
      <c r="Y333" s="332"/>
      <c r="Z333" s="332"/>
      <c r="AA333" s="332"/>
      <c r="AB333" s="332"/>
      <c r="AC333" s="332"/>
      <c r="AD333" s="332"/>
      <c r="AE333" s="332"/>
    </row>
    <row r="334" spans="1:31" hidden="1" x14ac:dyDescent="0.25">
      <c r="A334" s="527">
        <f>ROW()</f>
        <v>334</v>
      </c>
      <c r="B334" s="686" t="s">
        <v>602</v>
      </c>
      <c r="C334" s="687">
        <v>0</v>
      </c>
      <c r="D334" s="687"/>
      <c r="E334" s="687"/>
      <c r="F334" s="687"/>
      <c r="G334" s="674">
        <f>G178*$E178</f>
        <v>0</v>
      </c>
      <c r="H334" s="674">
        <f t="shared" si="73"/>
        <v>0</v>
      </c>
      <c r="I334" s="674">
        <f t="shared" si="73"/>
        <v>0</v>
      </c>
      <c r="J334" s="674">
        <f t="shared" si="73"/>
        <v>0</v>
      </c>
      <c r="K334" s="674">
        <f t="shared" si="73"/>
        <v>0</v>
      </c>
      <c r="L334" s="674">
        <f t="shared" si="73"/>
        <v>0</v>
      </c>
      <c r="M334" s="674">
        <f t="shared" si="73"/>
        <v>0</v>
      </c>
      <c r="N334" s="688"/>
      <c r="O334" s="104"/>
      <c r="Q334" s="332"/>
      <c r="R334" s="332"/>
      <c r="S334" s="332"/>
      <c r="T334" s="332"/>
      <c r="U334" s="332"/>
      <c r="V334" s="332"/>
      <c r="W334" s="332"/>
      <c r="X334" s="332"/>
      <c r="Y334" s="332"/>
      <c r="Z334" s="332"/>
      <c r="AA334" s="332"/>
      <c r="AB334" s="332"/>
      <c r="AC334" s="332"/>
      <c r="AD334" s="332"/>
      <c r="AE334" s="332"/>
    </row>
    <row r="335" spans="1:31" hidden="1" x14ac:dyDescent="0.25">
      <c r="A335" s="527">
        <f>ROW()</f>
        <v>335</v>
      </c>
      <c r="B335" s="686" t="s">
        <v>602</v>
      </c>
      <c r="C335" s="687">
        <v>0</v>
      </c>
      <c r="D335" s="687"/>
      <c r="E335" s="687"/>
      <c r="F335" s="687"/>
      <c r="G335" s="674">
        <f>G179*$E179</f>
        <v>0</v>
      </c>
      <c r="H335" s="674">
        <f t="shared" si="73"/>
        <v>0</v>
      </c>
      <c r="I335" s="674">
        <f t="shared" si="73"/>
        <v>0</v>
      </c>
      <c r="J335" s="674">
        <f t="shared" si="73"/>
        <v>0</v>
      </c>
      <c r="K335" s="674">
        <f t="shared" si="73"/>
        <v>0</v>
      </c>
      <c r="L335" s="674">
        <f t="shared" si="73"/>
        <v>0</v>
      </c>
      <c r="M335" s="674">
        <f t="shared" si="73"/>
        <v>0</v>
      </c>
      <c r="N335" s="688"/>
      <c r="O335" s="104"/>
      <c r="Q335" s="332"/>
      <c r="R335" s="332"/>
      <c r="S335" s="332"/>
      <c r="T335" s="332"/>
      <c r="U335" s="332"/>
      <c r="V335" s="332"/>
      <c r="W335" s="332"/>
      <c r="X335" s="332"/>
      <c r="Y335" s="332"/>
      <c r="Z335" s="332"/>
      <c r="AA335" s="332"/>
      <c r="AB335" s="332"/>
      <c r="AC335" s="332"/>
      <c r="AD335" s="332"/>
      <c r="AE335" s="332"/>
    </row>
    <row r="336" spans="1:31" hidden="1" x14ac:dyDescent="0.25">
      <c r="A336" s="527">
        <f>ROW()</f>
        <v>336</v>
      </c>
      <c r="B336" s="686" t="s">
        <v>602</v>
      </c>
      <c r="C336" s="687">
        <v>0</v>
      </c>
      <c r="D336" s="687"/>
      <c r="E336" s="687"/>
      <c r="F336" s="687"/>
      <c r="G336" s="674">
        <f>G180*$E180</f>
        <v>0</v>
      </c>
      <c r="H336" s="674">
        <f t="shared" si="73"/>
        <v>0</v>
      </c>
      <c r="I336" s="674">
        <f t="shared" si="73"/>
        <v>0</v>
      </c>
      <c r="J336" s="674">
        <f t="shared" si="73"/>
        <v>0</v>
      </c>
      <c r="K336" s="674">
        <f t="shared" si="73"/>
        <v>0</v>
      </c>
      <c r="L336" s="674">
        <f t="shared" si="73"/>
        <v>0</v>
      </c>
      <c r="M336" s="674">
        <f t="shared" si="73"/>
        <v>0</v>
      </c>
      <c r="N336" s="688"/>
      <c r="O336" s="104"/>
      <c r="Q336" s="332"/>
      <c r="R336" s="332"/>
      <c r="S336" s="332"/>
      <c r="T336" s="332"/>
      <c r="U336" s="332"/>
      <c r="V336" s="332"/>
      <c r="W336" s="332"/>
      <c r="X336" s="332"/>
      <c r="Y336" s="332"/>
      <c r="Z336" s="332"/>
      <c r="AA336" s="332"/>
      <c r="AB336" s="332"/>
      <c r="AC336" s="332"/>
      <c r="AD336" s="332"/>
      <c r="AE336" s="332"/>
    </row>
    <row r="337" spans="1:31" hidden="1" x14ac:dyDescent="0.25">
      <c r="A337" s="527">
        <f>ROW()</f>
        <v>337</v>
      </c>
      <c r="B337" s="686">
        <v>0</v>
      </c>
      <c r="C337" s="687">
        <v>0</v>
      </c>
      <c r="D337" s="687"/>
      <c r="E337" s="687"/>
      <c r="F337" s="687"/>
      <c r="G337" s="674">
        <f>G181*$E181</f>
        <v>0</v>
      </c>
      <c r="H337" s="674">
        <f t="shared" si="73"/>
        <v>0</v>
      </c>
      <c r="I337" s="674">
        <f t="shared" si="73"/>
        <v>0</v>
      </c>
      <c r="J337" s="674">
        <f t="shared" si="73"/>
        <v>0</v>
      </c>
      <c r="K337" s="674">
        <f t="shared" si="73"/>
        <v>0</v>
      </c>
      <c r="L337" s="674">
        <f t="shared" si="73"/>
        <v>0</v>
      </c>
      <c r="M337" s="674">
        <f t="shared" si="73"/>
        <v>0</v>
      </c>
      <c r="N337" s="688"/>
      <c r="O337" s="104"/>
      <c r="Q337" s="332"/>
      <c r="R337" s="332"/>
      <c r="S337" s="332"/>
      <c r="T337" s="332"/>
      <c r="U337" s="332"/>
      <c r="V337" s="332"/>
      <c r="W337" s="332"/>
      <c r="X337" s="332"/>
      <c r="Y337" s="332"/>
      <c r="Z337" s="332"/>
      <c r="AA337" s="332"/>
      <c r="AB337" s="332"/>
      <c r="AC337" s="332"/>
      <c r="AD337" s="332"/>
      <c r="AE337" s="332"/>
    </row>
    <row r="338" spans="1:31" hidden="1" x14ac:dyDescent="0.25">
      <c r="A338" s="527">
        <f>ROW()</f>
        <v>338</v>
      </c>
      <c r="B338" s="686"/>
      <c r="C338" s="687">
        <v>0</v>
      </c>
      <c r="D338" s="687"/>
      <c r="E338" s="687"/>
      <c r="F338" s="687"/>
      <c r="G338" s="674"/>
      <c r="H338" s="674"/>
      <c r="I338" s="674"/>
      <c r="J338" s="674"/>
      <c r="K338" s="674"/>
      <c r="L338" s="674"/>
      <c r="M338" s="674"/>
      <c r="N338" s="688"/>
      <c r="O338" s="104"/>
      <c r="Q338" s="332"/>
      <c r="R338" s="332"/>
      <c r="S338" s="332"/>
      <c r="T338" s="332"/>
      <c r="U338" s="332"/>
      <c r="V338" s="332"/>
      <c r="W338" s="332"/>
      <c r="X338" s="332"/>
      <c r="Y338" s="332"/>
      <c r="Z338" s="332"/>
      <c r="AA338" s="332"/>
      <c r="AB338" s="332"/>
      <c r="AC338" s="332"/>
      <c r="AD338" s="332"/>
      <c r="AE338" s="332"/>
    </row>
    <row r="339" spans="1:31" hidden="1" x14ac:dyDescent="0.25">
      <c r="A339" s="527">
        <f>ROW()</f>
        <v>339</v>
      </c>
      <c r="B339" s="686" t="s">
        <v>603</v>
      </c>
      <c r="C339" s="687">
        <v>0</v>
      </c>
      <c r="D339" s="687"/>
      <c r="E339" s="687"/>
      <c r="F339" s="687"/>
      <c r="G339" s="674">
        <f>G183*$E183</f>
        <v>0</v>
      </c>
      <c r="H339" s="674">
        <f t="shared" ref="H339:M343" si="74">(H183*$E183)</f>
        <v>0</v>
      </c>
      <c r="I339" s="674">
        <f t="shared" si="74"/>
        <v>0</v>
      </c>
      <c r="J339" s="674">
        <f t="shared" si="74"/>
        <v>0</v>
      </c>
      <c r="K339" s="674">
        <f t="shared" si="74"/>
        <v>0</v>
      </c>
      <c r="L339" s="674">
        <f t="shared" si="74"/>
        <v>0</v>
      </c>
      <c r="M339" s="674">
        <f t="shared" si="74"/>
        <v>0</v>
      </c>
      <c r="N339" s="688"/>
      <c r="O339" s="104"/>
      <c r="Q339" s="332"/>
      <c r="R339" s="332"/>
      <c r="S339" s="332"/>
      <c r="T339" s="332"/>
      <c r="U339" s="332"/>
      <c r="V339" s="332"/>
      <c r="W339" s="332"/>
      <c r="X339" s="332"/>
      <c r="Y339" s="332"/>
      <c r="Z339" s="332"/>
      <c r="AA339" s="332"/>
      <c r="AB339" s="332"/>
      <c r="AC339" s="332"/>
      <c r="AD339" s="332"/>
      <c r="AE339" s="332"/>
    </row>
    <row r="340" spans="1:31" hidden="1" x14ac:dyDescent="0.25">
      <c r="A340" s="527">
        <f>ROW()</f>
        <v>340</v>
      </c>
      <c r="B340" s="686" t="s">
        <v>603</v>
      </c>
      <c r="C340" s="687">
        <v>0</v>
      </c>
      <c r="D340" s="687"/>
      <c r="E340" s="687"/>
      <c r="F340" s="687"/>
      <c r="G340" s="674">
        <f>G184*$E184</f>
        <v>0</v>
      </c>
      <c r="H340" s="674">
        <f t="shared" si="74"/>
        <v>0</v>
      </c>
      <c r="I340" s="674">
        <f t="shared" si="74"/>
        <v>0</v>
      </c>
      <c r="J340" s="674">
        <f t="shared" si="74"/>
        <v>0</v>
      </c>
      <c r="K340" s="674">
        <f t="shared" si="74"/>
        <v>0</v>
      </c>
      <c r="L340" s="674">
        <f t="shared" si="74"/>
        <v>0</v>
      </c>
      <c r="M340" s="674">
        <f t="shared" si="74"/>
        <v>0</v>
      </c>
      <c r="N340" s="688"/>
      <c r="O340" s="104"/>
      <c r="Q340" s="332"/>
      <c r="R340" s="332"/>
      <c r="S340" s="332"/>
      <c r="T340" s="332"/>
      <c r="U340" s="332"/>
      <c r="V340" s="332"/>
      <c r="W340" s="332"/>
      <c r="X340" s="332"/>
      <c r="Y340" s="332"/>
      <c r="Z340" s="332"/>
      <c r="AA340" s="332"/>
      <c r="AB340" s="332"/>
      <c r="AC340" s="332"/>
      <c r="AD340" s="332"/>
      <c r="AE340" s="332"/>
    </row>
    <row r="341" spans="1:31" hidden="1" x14ac:dyDescent="0.25">
      <c r="A341" s="527">
        <f>ROW()</f>
        <v>341</v>
      </c>
      <c r="B341" s="686" t="s">
        <v>603</v>
      </c>
      <c r="C341" s="687">
        <v>0</v>
      </c>
      <c r="D341" s="687"/>
      <c r="E341" s="687"/>
      <c r="F341" s="687"/>
      <c r="G341" s="674">
        <f>G185*$E185</f>
        <v>0</v>
      </c>
      <c r="H341" s="674">
        <f t="shared" si="74"/>
        <v>0</v>
      </c>
      <c r="I341" s="674">
        <f t="shared" si="74"/>
        <v>0</v>
      </c>
      <c r="J341" s="674">
        <f t="shared" si="74"/>
        <v>0</v>
      </c>
      <c r="K341" s="674">
        <f t="shared" si="74"/>
        <v>0</v>
      </c>
      <c r="L341" s="674">
        <f t="shared" si="74"/>
        <v>0</v>
      </c>
      <c r="M341" s="674">
        <f t="shared" si="74"/>
        <v>0</v>
      </c>
      <c r="N341" s="688"/>
      <c r="O341" s="104"/>
      <c r="Q341" s="332"/>
      <c r="R341" s="332"/>
      <c r="S341" s="332"/>
      <c r="T341" s="332"/>
      <c r="U341" s="332"/>
      <c r="V341" s="332"/>
      <c r="W341" s="332"/>
      <c r="X341" s="332"/>
      <c r="Y341" s="332"/>
      <c r="Z341" s="332"/>
      <c r="AA341" s="332"/>
      <c r="AB341" s="332"/>
      <c r="AC341" s="332"/>
      <c r="AD341" s="332"/>
      <c r="AE341" s="332"/>
    </row>
    <row r="342" spans="1:31" hidden="1" x14ac:dyDescent="0.25">
      <c r="A342" s="527">
        <f>ROW()</f>
        <v>342</v>
      </c>
      <c r="B342" s="686" t="s">
        <v>603</v>
      </c>
      <c r="C342" s="687">
        <v>0</v>
      </c>
      <c r="D342" s="687"/>
      <c r="E342" s="687"/>
      <c r="F342" s="687"/>
      <c r="G342" s="674">
        <f>G186*$E186</f>
        <v>0</v>
      </c>
      <c r="H342" s="674">
        <f t="shared" si="74"/>
        <v>0</v>
      </c>
      <c r="I342" s="674">
        <f t="shared" si="74"/>
        <v>0</v>
      </c>
      <c r="J342" s="674">
        <f t="shared" si="74"/>
        <v>0</v>
      </c>
      <c r="K342" s="674">
        <f t="shared" si="74"/>
        <v>0</v>
      </c>
      <c r="L342" s="674">
        <f t="shared" si="74"/>
        <v>0</v>
      </c>
      <c r="M342" s="674">
        <f t="shared" si="74"/>
        <v>0</v>
      </c>
      <c r="N342" s="688"/>
      <c r="O342" s="104"/>
      <c r="Q342" s="332"/>
      <c r="R342" s="332"/>
      <c r="S342" s="332"/>
      <c r="T342" s="332"/>
      <c r="U342" s="332"/>
      <c r="V342" s="332"/>
      <c r="W342" s="332"/>
      <c r="X342" s="332"/>
      <c r="Y342" s="332"/>
      <c r="Z342" s="332"/>
      <c r="AA342" s="332"/>
      <c r="AB342" s="332"/>
      <c r="AC342" s="332"/>
      <c r="AD342" s="332"/>
      <c r="AE342" s="332"/>
    </row>
    <row r="343" spans="1:31" hidden="1" x14ac:dyDescent="0.25">
      <c r="A343" s="527">
        <f>ROW()</f>
        <v>343</v>
      </c>
      <c r="B343" s="686">
        <v>0</v>
      </c>
      <c r="C343" s="687">
        <v>0</v>
      </c>
      <c r="D343" s="687"/>
      <c r="E343" s="687"/>
      <c r="F343" s="687"/>
      <c r="G343" s="674">
        <f>G187*$E187</f>
        <v>0</v>
      </c>
      <c r="H343" s="674">
        <f t="shared" si="74"/>
        <v>0</v>
      </c>
      <c r="I343" s="674">
        <f t="shared" si="74"/>
        <v>0</v>
      </c>
      <c r="J343" s="674">
        <f t="shared" si="74"/>
        <v>0</v>
      </c>
      <c r="K343" s="674">
        <f t="shared" si="74"/>
        <v>0</v>
      </c>
      <c r="L343" s="674">
        <f t="shared" si="74"/>
        <v>0</v>
      </c>
      <c r="M343" s="674">
        <f t="shared" si="74"/>
        <v>0</v>
      </c>
      <c r="N343" s="688"/>
      <c r="O343" s="104"/>
      <c r="Q343" s="332"/>
      <c r="R343" s="332"/>
      <c r="S343" s="332"/>
      <c r="T343" s="332"/>
      <c r="U343" s="332"/>
      <c r="V343" s="332"/>
      <c r="W343" s="332"/>
      <c r="X343" s="332"/>
      <c r="Y343" s="332"/>
      <c r="Z343" s="332"/>
      <c r="AA343" s="332"/>
      <c r="AB343" s="332"/>
      <c r="AC343" s="332"/>
      <c r="AD343" s="332"/>
      <c r="AE343" s="332"/>
    </row>
    <row r="344" spans="1:31" hidden="1" x14ac:dyDescent="0.25">
      <c r="A344" s="527">
        <f>ROW()</f>
        <v>344</v>
      </c>
      <c r="B344" s="686"/>
      <c r="C344" s="687">
        <v>0</v>
      </c>
      <c r="D344" s="687"/>
      <c r="E344" s="687"/>
      <c r="F344" s="687"/>
      <c r="G344" s="674"/>
      <c r="H344" s="674"/>
      <c r="I344" s="674"/>
      <c r="J344" s="674"/>
      <c r="K344" s="674"/>
      <c r="L344" s="674"/>
      <c r="M344" s="674"/>
      <c r="N344" s="688"/>
      <c r="O344" s="104"/>
      <c r="Q344" s="332"/>
      <c r="R344" s="332"/>
      <c r="S344" s="332"/>
      <c r="T344" s="332"/>
      <c r="U344" s="332"/>
      <c r="V344" s="332"/>
      <c r="W344" s="332"/>
      <c r="X344" s="332"/>
      <c r="Y344" s="332"/>
      <c r="Z344" s="332"/>
      <c r="AA344" s="332"/>
      <c r="AB344" s="332"/>
      <c r="AC344" s="332"/>
      <c r="AD344" s="332"/>
      <c r="AE344" s="332"/>
    </row>
    <row r="345" spans="1:31" hidden="1" x14ac:dyDescent="0.25">
      <c r="A345" s="527">
        <f>ROW()</f>
        <v>345</v>
      </c>
      <c r="B345" s="686" t="s">
        <v>604</v>
      </c>
      <c r="C345" s="687">
        <v>0</v>
      </c>
      <c r="D345" s="687"/>
      <c r="E345" s="687"/>
      <c r="F345" s="687"/>
      <c r="G345" s="674">
        <f t="shared" ref="G345:G350" si="75">G189*$E189</f>
        <v>0</v>
      </c>
      <c r="H345" s="674">
        <f t="shared" ref="H345:M350" si="76">(H189*$E189)</f>
        <v>0</v>
      </c>
      <c r="I345" s="674">
        <f t="shared" si="76"/>
        <v>0</v>
      </c>
      <c r="J345" s="674">
        <f t="shared" si="76"/>
        <v>0</v>
      </c>
      <c r="K345" s="674">
        <f t="shared" si="76"/>
        <v>0</v>
      </c>
      <c r="L345" s="674">
        <f t="shared" si="76"/>
        <v>0</v>
      </c>
      <c r="M345" s="674">
        <f t="shared" si="76"/>
        <v>0</v>
      </c>
      <c r="N345" s="688"/>
      <c r="O345" s="104"/>
      <c r="Q345" s="332"/>
      <c r="R345" s="332"/>
      <c r="S345" s="332"/>
      <c r="T345" s="332"/>
      <c r="U345" s="332"/>
      <c r="V345" s="332"/>
      <c r="W345" s="332"/>
      <c r="X345" s="332"/>
      <c r="Y345" s="332"/>
      <c r="Z345" s="332"/>
      <c r="AA345" s="332"/>
      <c r="AB345" s="332"/>
      <c r="AC345" s="332"/>
      <c r="AD345" s="332"/>
      <c r="AE345" s="332"/>
    </row>
    <row r="346" spans="1:31" hidden="1" x14ac:dyDescent="0.25">
      <c r="A346" s="527">
        <f>ROW()</f>
        <v>346</v>
      </c>
      <c r="B346" s="686" t="s">
        <v>604</v>
      </c>
      <c r="C346" s="687">
        <v>0</v>
      </c>
      <c r="D346" s="687"/>
      <c r="E346" s="687"/>
      <c r="F346" s="687"/>
      <c r="G346" s="674">
        <f t="shared" si="75"/>
        <v>0</v>
      </c>
      <c r="H346" s="674">
        <f t="shared" si="76"/>
        <v>0</v>
      </c>
      <c r="I346" s="674">
        <f t="shared" si="76"/>
        <v>0</v>
      </c>
      <c r="J346" s="674">
        <f t="shared" si="76"/>
        <v>0</v>
      </c>
      <c r="K346" s="674">
        <f t="shared" si="76"/>
        <v>0</v>
      </c>
      <c r="L346" s="674">
        <f t="shared" si="76"/>
        <v>0</v>
      </c>
      <c r="M346" s="674">
        <f t="shared" si="76"/>
        <v>0</v>
      </c>
      <c r="N346" s="688"/>
      <c r="O346" s="104"/>
      <c r="Q346" s="332"/>
      <c r="R346" s="332"/>
      <c r="S346" s="332"/>
      <c r="T346" s="332"/>
      <c r="U346" s="332"/>
      <c r="V346" s="332"/>
      <c r="W346" s="332"/>
      <c r="X346" s="332"/>
      <c r="Y346" s="332"/>
      <c r="Z346" s="332"/>
      <c r="AA346" s="332"/>
      <c r="AB346" s="332"/>
      <c r="AC346" s="332"/>
      <c r="AD346" s="332"/>
      <c r="AE346" s="332"/>
    </row>
    <row r="347" spans="1:31" hidden="1" x14ac:dyDescent="0.25">
      <c r="A347" s="527">
        <f>ROW()</f>
        <v>347</v>
      </c>
      <c r="B347" s="686" t="s">
        <v>604</v>
      </c>
      <c r="C347" s="687">
        <v>0</v>
      </c>
      <c r="D347" s="687"/>
      <c r="E347" s="687"/>
      <c r="F347" s="687"/>
      <c r="G347" s="674">
        <f t="shared" si="75"/>
        <v>0</v>
      </c>
      <c r="H347" s="674">
        <f t="shared" si="76"/>
        <v>0</v>
      </c>
      <c r="I347" s="674">
        <f t="shared" si="76"/>
        <v>0</v>
      </c>
      <c r="J347" s="674">
        <f t="shared" si="76"/>
        <v>0</v>
      </c>
      <c r="K347" s="674">
        <f t="shared" si="76"/>
        <v>0</v>
      </c>
      <c r="L347" s="674">
        <f t="shared" si="76"/>
        <v>0</v>
      </c>
      <c r="M347" s="674">
        <f t="shared" si="76"/>
        <v>0</v>
      </c>
      <c r="N347" s="688"/>
      <c r="O347" s="104"/>
      <c r="Q347" s="332"/>
      <c r="R347" s="332"/>
      <c r="S347" s="332"/>
      <c r="T347" s="332"/>
      <c r="U347" s="332"/>
      <c r="V347" s="332"/>
      <c r="W347" s="332"/>
      <c r="X347" s="332"/>
      <c r="Y347" s="332"/>
      <c r="Z347" s="332"/>
      <c r="AA347" s="332"/>
      <c r="AB347" s="332"/>
      <c r="AC347" s="332"/>
      <c r="AD347" s="332"/>
      <c r="AE347" s="332"/>
    </row>
    <row r="348" spans="1:31" hidden="1" x14ac:dyDescent="0.25">
      <c r="A348" s="527">
        <f>ROW()</f>
        <v>348</v>
      </c>
      <c r="B348" s="686" t="s">
        <v>604</v>
      </c>
      <c r="C348" s="687">
        <v>0</v>
      </c>
      <c r="D348" s="687"/>
      <c r="E348" s="687"/>
      <c r="F348" s="687"/>
      <c r="G348" s="674">
        <f t="shared" si="75"/>
        <v>0</v>
      </c>
      <c r="H348" s="674">
        <f t="shared" si="76"/>
        <v>0</v>
      </c>
      <c r="I348" s="674">
        <f t="shared" si="76"/>
        <v>0</v>
      </c>
      <c r="J348" s="674">
        <f t="shared" si="76"/>
        <v>0</v>
      </c>
      <c r="K348" s="674">
        <f t="shared" si="76"/>
        <v>0</v>
      </c>
      <c r="L348" s="674">
        <f t="shared" si="76"/>
        <v>0</v>
      </c>
      <c r="M348" s="674">
        <f t="shared" si="76"/>
        <v>0</v>
      </c>
      <c r="N348" s="688"/>
      <c r="O348" s="104"/>
      <c r="Q348" s="332"/>
      <c r="R348" s="332"/>
      <c r="S348" s="332"/>
      <c r="T348" s="332"/>
      <c r="U348" s="332"/>
      <c r="V348" s="332"/>
      <c r="W348" s="332"/>
      <c r="X348" s="332"/>
      <c r="Y348" s="332"/>
      <c r="Z348" s="332"/>
      <c r="AA348" s="332"/>
      <c r="AB348" s="332"/>
      <c r="AC348" s="332"/>
      <c r="AD348" s="332"/>
      <c r="AE348" s="332"/>
    </row>
    <row r="349" spans="1:31" hidden="1" x14ac:dyDescent="0.25">
      <c r="A349" s="527">
        <f>ROW()</f>
        <v>349</v>
      </c>
      <c r="B349" s="686">
        <v>0</v>
      </c>
      <c r="C349" s="687">
        <v>0</v>
      </c>
      <c r="D349" s="687"/>
      <c r="E349" s="687"/>
      <c r="F349" s="687"/>
      <c r="G349" s="674">
        <f t="shared" si="75"/>
        <v>0</v>
      </c>
      <c r="H349" s="674">
        <f t="shared" si="76"/>
        <v>0</v>
      </c>
      <c r="I349" s="674">
        <f t="shared" si="76"/>
        <v>0</v>
      </c>
      <c r="J349" s="674">
        <f t="shared" si="76"/>
        <v>0</v>
      </c>
      <c r="K349" s="674">
        <f t="shared" si="76"/>
        <v>0</v>
      </c>
      <c r="L349" s="674">
        <f t="shared" si="76"/>
        <v>0</v>
      </c>
      <c r="M349" s="674">
        <f t="shared" si="76"/>
        <v>0</v>
      </c>
      <c r="N349" s="688"/>
      <c r="O349" s="104"/>
      <c r="Q349" s="332"/>
      <c r="R349" s="332"/>
      <c r="S349" s="332"/>
      <c r="T349" s="332"/>
      <c r="U349" s="332"/>
      <c r="V349" s="332"/>
      <c r="W349" s="332"/>
      <c r="X349" s="332"/>
      <c r="Y349" s="332"/>
      <c r="Z349" s="332"/>
      <c r="AA349" s="332"/>
      <c r="AB349" s="332"/>
      <c r="AC349" s="332"/>
      <c r="AD349" s="332"/>
      <c r="AE349" s="332"/>
    </row>
    <row r="350" spans="1:31" hidden="1" x14ac:dyDescent="0.25">
      <c r="A350" s="527">
        <f>ROW()</f>
        <v>350</v>
      </c>
      <c r="B350" s="686">
        <v>0</v>
      </c>
      <c r="C350" s="687">
        <v>0</v>
      </c>
      <c r="D350" s="687"/>
      <c r="E350" s="687"/>
      <c r="F350" s="687"/>
      <c r="G350" s="674">
        <f t="shared" si="75"/>
        <v>0</v>
      </c>
      <c r="H350" s="674">
        <f t="shared" si="76"/>
        <v>0</v>
      </c>
      <c r="I350" s="674">
        <f t="shared" si="76"/>
        <v>0</v>
      </c>
      <c r="J350" s="674">
        <f t="shared" si="76"/>
        <v>0</v>
      </c>
      <c r="K350" s="674">
        <f t="shared" si="76"/>
        <v>0</v>
      </c>
      <c r="L350" s="674">
        <f t="shared" si="76"/>
        <v>0</v>
      </c>
      <c r="M350" s="674">
        <f t="shared" si="76"/>
        <v>0</v>
      </c>
      <c r="N350" s="688"/>
      <c r="O350" s="104"/>
      <c r="Q350" s="332"/>
      <c r="R350" s="332"/>
      <c r="S350" s="332"/>
      <c r="T350" s="332"/>
      <c r="U350" s="332"/>
      <c r="V350" s="332"/>
      <c r="W350" s="332"/>
      <c r="X350" s="332"/>
      <c r="Y350" s="332"/>
      <c r="Z350" s="332"/>
      <c r="AA350" s="332"/>
      <c r="AB350" s="332"/>
      <c r="AC350" s="332"/>
      <c r="AD350" s="332"/>
      <c r="AE350" s="332"/>
    </row>
    <row r="351" spans="1:31" hidden="1" x14ac:dyDescent="0.25">
      <c r="A351" s="527">
        <f>ROW()</f>
        <v>351</v>
      </c>
      <c r="B351" s="686"/>
      <c r="C351" s="687">
        <v>0</v>
      </c>
      <c r="D351" s="687"/>
      <c r="E351" s="687"/>
      <c r="F351" s="687"/>
      <c r="G351" s="674"/>
      <c r="H351" s="674"/>
      <c r="I351" s="674"/>
      <c r="J351" s="674"/>
      <c r="K351" s="674"/>
      <c r="L351" s="674"/>
      <c r="M351" s="674"/>
      <c r="N351" s="688"/>
      <c r="O351" s="104"/>
      <c r="Q351" s="332"/>
      <c r="R351" s="332"/>
      <c r="S351" s="332"/>
      <c r="T351" s="332"/>
      <c r="U351" s="332"/>
      <c r="V351" s="332"/>
      <c r="W351" s="332"/>
      <c r="X351" s="332"/>
      <c r="Y351" s="332"/>
      <c r="Z351" s="332"/>
      <c r="AA351" s="332"/>
      <c r="AB351" s="332"/>
      <c r="AC351" s="332"/>
      <c r="AD351" s="332"/>
      <c r="AE351" s="332"/>
    </row>
    <row r="352" spans="1:31" hidden="1" x14ac:dyDescent="0.25">
      <c r="A352" s="527">
        <f>ROW()</f>
        <v>352</v>
      </c>
      <c r="B352" s="686" t="s">
        <v>605</v>
      </c>
      <c r="C352" s="687">
        <v>0</v>
      </c>
      <c r="D352" s="687"/>
      <c r="E352" s="687"/>
      <c r="F352" s="687"/>
      <c r="G352" s="674">
        <f>G196*$E196</f>
        <v>0</v>
      </c>
      <c r="H352" s="674">
        <f t="shared" ref="H352:M356" si="77">(H196*$E196)</f>
        <v>0</v>
      </c>
      <c r="I352" s="674">
        <f t="shared" si="77"/>
        <v>0</v>
      </c>
      <c r="J352" s="674">
        <f t="shared" si="77"/>
        <v>0</v>
      </c>
      <c r="K352" s="674">
        <f t="shared" si="77"/>
        <v>0</v>
      </c>
      <c r="L352" s="674">
        <f t="shared" si="77"/>
        <v>0</v>
      </c>
      <c r="M352" s="674">
        <f t="shared" si="77"/>
        <v>0</v>
      </c>
      <c r="N352" s="688"/>
      <c r="O352" s="104"/>
      <c r="Q352" s="332"/>
      <c r="R352" s="332"/>
      <c r="S352" s="332"/>
      <c r="T352" s="332"/>
      <c r="U352" s="332"/>
      <c r="V352" s="332"/>
      <c r="W352" s="332"/>
      <c r="X352" s="332"/>
      <c r="Y352" s="332"/>
      <c r="Z352" s="332"/>
      <c r="AA352" s="332"/>
      <c r="AB352" s="332"/>
      <c r="AC352" s="332"/>
      <c r="AD352" s="332"/>
      <c r="AE352" s="332"/>
    </row>
    <row r="353" spans="1:31" hidden="1" x14ac:dyDescent="0.25">
      <c r="A353" s="527">
        <f>ROW()</f>
        <v>353</v>
      </c>
      <c r="B353" s="686" t="s">
        <v>605</v>
      </c>
      <c r="C353" s="687">
        <v>0</v>
      </c>
      <c r="D353" s="687"/>
      <c r="E353" s="687"/>
      <c r="F353" s="687"/>
      <c r="G353" s="674">
        <f>G197*$E197</f>
        <v>0</v>
      </c>
      <c r="H353" s="674">
        <f t="shared" si="77"/>
        <v>0</v>
      </c>
      <c r="I353" s="674">
        <f t="shared" si="77"/>
        <v>0</v>
      </c>
      <c r="J353" s="674">
        <f t="shared" si="77"/>
        <v>0</v>
      </c>
      <c r="K353" s="674">
        <f t="shared" si="77"/>
        <v>0</v>
      </c>
      <c r="L353" s="674">
        <f t="shared" si="77"/>
        <v>0</v>
      </c>
      <c r="M353" s="674">
        <f t="shared" si="77"/>
        <v>0</v>
      </c>
      <c r="N353" s="688"/>
      <c r="O353" s="104"/>
      <c r="Q353" s="332"/>
      <c r="R353" s="332"/>
      <c r="S353" s="332"/>
      <c r="T353" s="332"/>
      <c r="U353" s="332"/>
      <c r="V353" s="332"/>
      <c r="W353" s="332"/>
      <c r="X353" s="332"/>
      <c r="Y353" s="332"/>
      <c r="Z353" s="332"/>
      <c r="AA353" s="332"/>
      <c r="AB353" s="332"/>
      <c r="AC353" s="332"/>
      <c r="AD353" s="332"/>
      <c r="AE353" s="332"/>
    </row>
    <row r="354" spans="1:31" hidden="1" x14ac:dyDescent="0.25">
      <c r="A354" s="527">
        <f>ROW()</f>
        <v>354</v>
      </c>
      <c r="B354" s="686" t="s">
        <v>605</v>
      </c>
      <c r="C354" s="687">
        <v>0</v>
      </c>
      <c r="D354" s="687"/>
      <c r="E354" s="687"/>
      <c r="F354" s="687"/>
      <c r="G354" s="674">
        <f>G198*$E198</f>
        <v>0</v>
      </c>
      <c r="H354" s="674">
        <f t="shared" si="77"/>
        <v>0</v>
      </c>
      <c r="I354" s="674">
        <f t="shared" si="77"/>
        <v>0</v>
      </c>
      <c r="J354" s="674">
        <f t="shared" si="77"/>
        <v>0</v>
      </c>
      <c r="K354" s="674">
        <f t="shared" si="77"/>
        <v>0</v>
      </c>
      <c r="L354" s="674">
        <f t="shared" si="77"/>
        <v>0</v>
      </c>
      <c r="M354" s="674">
        <f t="shared" si="77"/>
        <v>0</v>
      </c>
      <c r="N354" s="688"/>
      <c r="O354" s="104"/>
      <c r="Q354" s="332"/>
      <c r="R354" s="332"/>
      <c r="S354" s="332"/>
      <c r="T354" s="332"/>
      <c r="U354" s="332"/>
      <c r="V354" s="332"/>
      <c r="W354" s="332"/>
      <c r="X354" s="332"/>
      <c r="Y354" s="332"/>
      <c r="Z354" s="332"/>
      <c r="AA354" s="332"/>
      <c r="AB354" s="332"/>
      <c r="AC354" s="332"/>
      <c r="AD354" s="332"/>
      <c r="AE354" s="332"/>
    </row>
    <row r="355" spans="1:31" hidden="1" x14ac:dyDescent="0.25">
      <c r="A355" s="527">
        <f>ROW()</f>
        <v>355</v>
      </c>
      <c r="B355" s="686" t="s">
        <v>605</v>
      </c>
      <c r="C355" s="687">
        <v>0</v>
      </c>
      <c r="D355" s="687"/>
      <c r="E355" s="687"/>
      <c r="F355" s="687"/>
      <c r="G355" s="674">
        <f>G199*$E199</f>
        <v>0</v>
      </c>
      <c r="H355" s="674">
        <f t="shared" si="77"/>
        <v>0</v>
      </c>
      <c r="I355" s="674">
        <f t="shared" si="77"/>
        <v>0</v>
      </c>
      <c r="J355" s="674">
        <f t="shared" si="77"/>
        <v>0</v>
      </c>
      <c r="K355" s="674">
        <f t="shared" si="77"/>
        <v>0</v>
      </c>
      <c r="L355" s="674">
        <f t="shared" si="77"/>
        <v>0</v>
      </c>
      <c r="M355" s="674">
        <f t="shared" si="77"/>
        <v>0</v>
      </c>
      <c r="N355" s="688"/>
      <c r="O355" s="104"/>
      <c r="Q355" s="332"/>
      <c r="R355" s="332"/>
      <c r="S355" s="332"/>
      <c r="T355" s="332"/>
      <c r="U355" s="332"/>
      <c r="V355" s="332"/>
      <c r="W355" s="332"/>
      <c r="X355" s="332"/>
      <c r="Y355" s="332"/>
      <c r="Z355" s="332"/>
      <c r="AA355" s="332"/>
      <c r="AB355" s="332"/>
      <c r="AC355" s="332"/>
      <c r="AD355" s="332"/>
      <c r="AE355" s="332"/>
    </row>
    <row r="356" spans="1:31" hidden="1" x14ac:dyDescent="0.25">
      <c r="A356" s="527">
        <f>ROW()</f>
        <v>356</v>
      </c>
      <c r="B356" s="686">
        <v>0</v>
      </c>
      <c r="C356" s="687">
        <v>0</v>
      </c>
      <c r="D356" s="687"/>
      <c r="E356" s="687"/>
      <c r="F356" s="687"/>
      <c r="G356" s="674">
        <f>G200*$E200</f>
        <v>0</v>
      </c>
      <c r="H356" s="674">
        <f t="shared" si="77"/>
        <v>0</v>
      </c>
      <c r="I356" s="674">
        <f t="shared" si="77"/>
        <v>0</v>
      </c>
      <c r="J356" s="674">
        <f t="shared" si="77"/>
        <v>0</v>
      </c>
      <c r="K356" s="674">
        <f t="shared" si="77"/>
        <v>0</v>
      </c>
      <c r="L356" s="674">
        <f t="shared" si="77"/>
        <v>0</v>
      </c>
      <c r="M356" s="674">
        <f t="shared" si="77"/>
        <v>0</v>
      </c>
      <c r="N356" s="688"/>
      <c r="O356" s="104"/>
      <c r="Q356" s="332"/>
      <c r="R356" s="332"/>
      <c r="S356" s="332"/>
      <c r="T356" s="332"/>
      <c r="U356" s="332"/>
      <c r="V356" s="332"/>
      <c r="W356" s="332"/>
      <c r="X356" s="332"/>
      <c r="Y356" s="332"/>
      <c r="Z356" s="332"/>
      <c r="AA356" s="332"/>
      <c r="AB356" s="332"/>
      <c r="AC356" s="332"/>
      <c r="AD356" s="332"/>
      <c r="AE356" s="332"/>
    </row>
    <row r="357" spans="1:31" hidden="1" x14ac:dyDescent="0.25">
      <c r="A357" s="527">
        <f>ROW()</f>
        <v>357</v>
      </c>
      <c r="B357" s="686"/>
      <c r="C357" s="687">
        <v>0</v>
      </c>
      <c r="D357" s="687"/>
      <c r="E357" s="687"/>
      <c r="F357" s="687"/>
      <c r="G357" s="674"/>
      <c r="H357" s="674"/>
      <c r="I357" s="674"/>
      <c r="J357" s="674"/>
      <c r="K357" s="674"/>
      <c r="L357" s="674"/>
      <c r="M357" s="674"/>
      <c r="N357" s="688"/>
      <c r="O357" s="104"/>
      <c r="Q357" s="332"/>
      <c r="R357" s="332"/>
      <c r="S357" s="332"/>
      <c r="T357" s="332"/>
      <c r="U357" s="332"/>
      <c r="V357" s="332"/>
      <c r="W357" s="332"/>
      <c r="X357" s="332"/>
      <c r="Y357" s="332"/>
      <c r="Z357" s="332"/>
      <c r="AA357" s="332"/>
      <c r="AB357" s="332"/>
      <c r="AC357" s="332"/>
      <c r="AD357" s="332"/>
      <c r="AE357" s="332"/>
    </row>
    <row r="358" spans="1:31" hidden="1" x14ac:dyDescent="0.25">
      <c r="A358" s="527">
        <f>ROW()</f>
        <v>358</v>
      </c>
      <c r="B358" s="686" t="s">
        <v>606</v>
      </c>
      <c r="C358" s="687">
        <v>0</v>
      </c>
      <c r="D358" s="687"/>
      <c r="E358" s="687"/>
      <c r="F358" s="687"/>
      <c r="G358" s="674">
        <f>G202*$E202</f>
        <v>0</v>
      </c>
      <c r="H358" s="674">
        <f t="shared" ref="H358:M362" si="78">(H202*$E202)</f>
        <v>0</v>
      </c>
      <c r="I358" s="674">
        <f t="shared" si="78"/>
        <v>0</v>
      </c>
      <c r="J358" s="674">
        <f t="shared" si="78"/>
        <v>0</v>
      </c>
      <c r="K358" s="674">
        <f t="shared" si="78"/>
        <v>0</v>
      </c>
      <c r="L358" s="674">
        <f t="shared" si="78"/>
        <v>0</v>
      </c>
      <c r="M358" s="674">
        <f t="shared" si="78"/>
        <v>0</v>
      </c>
      <c r="N358" s="688"/>
      <c r="O358" s="104"/>
      <c r="Q358" s="332"/>
      <c r="R358" s="332"/>
      <c r="S358" s="332"/>
      <c r="T358" s="332"/>
      <c r="U358" s="332"/>
      <c r="V358" s="332"/>
      <c r="W358" s="332"/>
      <c r="X358" s="332"/>
      <c r="Y358" s="332"/>
      <c r="Z358" s="332"/>
      <c r="AA358" s="332"/>
      <c r="AB358" s="332"/>
      <c r="AC358" s="332"/>
      <c r="AD358" s="332"/>
      <c r="AE358" s="332"/>
    </row>
    <row r="359" spans="1:31" hidden="1" x14ac:dyDescent="0.25">
      <c r="A359" s="527">
        <f>ROW()</f>
        <v>359</v>
      </c>
      <c r="B359" s="686" t="s">
        <v>606</v>
      </c>
      <c r="C359" s="687">
        <v>0</v>
      </c>
      <c r="D359" s="687"/>
      <c r="E359" s="687"/>
      <c r="F359" s="687"/>
      <c r="G359" s="674">
        <f>G203*$E203</f>
        <v>0</v>
      </c>
      <c r="H359" s="674">
        <f t="shared" si="78"/>
        <v>0</v>
      </c>
      <c r="I359" s="674">
        <f t="shared" si="78"/>
        <v>0</v>
      </c>
      <c r="J359" s="674">
        <f t="shared" si="78"/>
        <v>0</v>
      </c>
      <c r="K359" s="674">
        <f t="shared" si="78"/>
        <v>0</v>
      </c>
      <c r="L359" s="674">
        <f t="shared" si="78"/>
        <v>0</v>
      </c>
      <c r="M359" s="674">
        <f t="shared" si="78"/>
        <v>0</v>
      </c>
      <c r="N359" s="688"/>
      <c r="O359" s="104"/>
      <c r="Q359" s="332"/>
      <c r="R359" s="332"/>
      <c r="S359" s="332"/>
      <c r="T359" s="332"/>
      <c r="U359" s="332"/>
      <c r="V359" s="332"/>
      <c r="W359" s="332"/>
      <c r="X359" s="332"/>
      <c r="Y359" s="332"/>
      <c r="Z359" s="332"/>
      <c r="AA359" s="332"/>
      <c r="AB359" s="332"/>
      <c r="AC359" s="332"/>
      <c r="AD359" s="332"/>
      <c r="AE359" s="332"/>
    </row>
    <row r="360" spans="1:31" hidden="1" x14ac:dyDescent="0.25">
      <c r="A360" s="527">
        <f>ROW()</f>
        <v>360</v>
      </c>
      <c r="B360" s="686" t="s">
        <v>571</v>
      </c>
      <c r="C360" s="687">
        <v>0</v>
      </c>
      <c r="D360" s="687"/>
      <c r="E360" s="687"/>
      <c r="F360" s="687"/>
      <c r="G360" s="674">
        <f>G204*$E204</f>
        <v>0</v>
      </c>
      <c r="H360" s="674">
        <f t="shared" si="78"/>
        <v>0</v>
      </c>
      <c r="I360" s="674">
        <f t="shared" si="78"/>
        <v>0</v>
      </c>
      <c r="J360" s="674">
        <f t="shared" si="78"/>
        <v>0</v>
      </c>
      <c r="K360" s="674">
        <f t="shared" si="78"/>
        <v>0</v>
      </c>
      <c r="L360" s="674">
        <f t="shared" si="78"/>
        <v>0</v>
      </c>
      <c r="M360" s="674">
        <f t="shared" si="78"/>
        <v>0</v>
      </c>
      <c r="N360" s="688"/>
      <c r="O360" s="104"/>
      <c r="Q360" s="332"/>
      <c r="R360" s="332"/>
      <c r="S360" s="332"/>
      <c r="T360" s="332"/>
      <c r="U360" s="332"/>
      <c r="V360" s="332"/>
      <c r="W360" s="332"/>
      <c r="X360" s="332"/>
      <c r="Y360" s="332"/>
      <c r="Z360" s="332"/>
      <c r="AA360" s="332"/>
      <c r="AB360" s="332"/>
      <c r="AC360" s="332"/>
      <c r="AD360" s="332"/>
      <c r="AE360" s="332"/>
    </row>
    <row r="361" spans="1:31" hidden="1" x14ac:dyDescent="0.25">
      <c r="A361" s="527">
        <f>ROW()</f>
        <v>361</v>
      </c>
      <c r="B361" s="686" t="s">
        <v>571</v>
      </c>
      <c r="C361" s="687">
        <v>0</v>
      </c>
      <c r="D361" s="687"/>
      <c r="E361" s="687"/>
      <c r="F361" s="687"/>
      <c r="G361" s="674">
        <f>G205*$E205</f>
        <v>0</v>
      </c>
      <c r="H361" s="674">
        <f t="shared" si="78"/>
        <v>0</v>
      </c>
      <c r="I361" s="674">
        <f t="shared" si="78"/>
        <v>0</v>
      </c>
      <c r="J361" s="674">
        <f t="shared" si="78"/>
        <v>0</v>
      </c>
      <c r="K361" s="674">
        <f t="shared" si="78"/>
        <v>0</v>
      </c>
      <c r="L361" s="674">
        <f t="shared" si="78"/>
        <v>0</v>
      </c>
      <c r="M361" s="674">
        <f t="shared" si="78"/>
        <v>0</v>
      </c>
      <c r="N361" s="688"/>
      <c r="O361" s="104"/>
      <c r="Q361" s="332"/>
      <c r="R361" s="332"/>
      <c r="S361" s="332"/>
      <c r="T361" s="332"/>
      <c r="U361" s="332"/>
      <c r="V361" s="332"/>
      <c r="W361" s="332"/>
      <c r="X361" s="332"/>
      <c r="Y361" s="332"/>
      <c r="Z361" s="332"/>
      <c r="AA361" s="332"/>
      <c r="AB361" s="332"/>
      <c r="AC361" s="332"/>
      <c r="AD361" s="332"/>
      <c r="AE361" s="332"/>
    </row>
    <row r="362" spans="1:31" hidden="1" x14ac:dyDescent="0.25">
      <c r="A362" s="527">
        <f>ROW()</f>
        <v>362</v>
      </c>
      <c r="B362" s="686" t="s">
        <v>571</v>
      </c>
      <c r="C362" s="687">
        <v>0</v>
      </c>
      <c r="D362" s="687"/>
      <c r="E362" s="687"/>
      <c r="F362" s="687"/>
      <c r="G362" s="674">
        <f>G206*$E206</f>
        <v>0</v>
      </c>
      <c r="H362" s="674">
        <f t="shared" si="78"/>
        <v>0</v>
      </c>
      <c r="I362" s="674">
        <f t="shared" si="78"/>
        <v>0</v>
      </c>
      <c r="J362" s="674">
        <f t="shared" si="78"/>
        <v>0</v>
      </c>
      <c r="K362" s="674">
        <f t="shared" si="78"/>
        <v>0</v>
      </c>
      <c r="L362" s="674">
        <f t="shared" si="78"/>
        <v>0</v>
      </c>
      <c r="M362" s="674">
        <f t="shared" si="78"/>
        <v>0</v>
      </c>
      <c r="N362" s="688"/>
      <c r="O362" s="104"/>
      <c r="Q362" s="332"/>
      <c r="R362" s="332"/>
      <c r="S362" s="332"/>
      <c r="T362" s="332"/>
      <c r="U362" s="332"/>
      <c r="V362" s="332"/>
      <c r="W362" s="332"/>
      <c r="X362" s="332"/>
      <c r="Y362" s="332"/>
      <c r="Z362" s="332"/>
      <c r="AA362" s="332"/>
      <c r="AB362" s="332"/>
      <c r="AC362" s="332"/>
      <c r="AD362" s="332"/>
      <c r="AE362" s="332"/>
    </row>
    <row r="363" spans="1:31" hidden="1" x14ac:dyDescent="0.25">
      <c r="A363" s="527">
        <f>ROW()</f>
        <v>363</v>
      </c>
      <c r="B363" s="686"/>
      <c r="C363" s="687">
        <v>0</v>
      </c>
      <c r="D363" s="687"/>
      <c r="E363" s="687"/>
      <c r="F363" s="687"/>
      <c r="G363" s="674"/>
      <c r="H363" s="674"/>
      <c r="I363" s="674"/>
      <c r="J363" s="674"/>
      <c r="K363" s="674"/>
      <c r="L363" s="674"/>
      <c r="M363" s="674"/>
      <c r="N363" s="688"/>
      <c r="O363" s="104"/>
      <c r="Q363" s="332"/>
      <c r="R363" s="332"/>
      <c r="S363" s="332"/>
      <c r="T363" s="332"/>
      <c r="U363" s="332"/>
      <c r="V363" s="332"/>
      <c r="W363" s="332"/>
      <c r="X363" s="332"/>
      <c r="Y363" s="332"/>
      <c r="Z363" s="332"/>
      <c r="AA363" s="332"/>
      <c r="AB363" s="332"/>
      <c r="AC363" s="332"/>
      <c r="AD363" s="332"/>
      <c r="AE363" s="332"/>
    </row>
    <row r="364" spans="1:31" hidden="1" x14ac:dyDescent="0.25">
      <c r="A364" s="527">
        <f>ROW()</f>
        <v>364</v>
      </c>
      <c r="B364" s="686" t="s">
        <v>607</v>
      </c>
      <c r="C364" s="687">
        <v>0</v>
      </c>
      <c r="D364" s="687"/>
      <c r="E364" s="687"/>
      <c r="F364" s="687"/>
      <c r="G364" s="674">
        <f>G208*$E208</f>
        <v>0</v>
      </c>
      <c r="H364" s="674">
        <f t="shared" ref="H364:M368" si="79">(H208*$E208)</f>
        <v>0</v>
      </c>
      <c r="I364" s="674">
        <f t="shared" si="79"/>
        <v>0</v>
      </c>
      <c r="J364" s="674">
        <f t="shared" si="79"/>
        <v>0</v>
      </c>
      <c r="K364" s="674">
        <f t="shared" si="79"/>
        <v>0</v>
      </c>
      <c r="L364" s="674">
        <f t="shared" si="79"/>
        <v>0</v>
      </c>
      <c r="M364" s="674">
        <f t="shared" si="79"/>
        <v>0</v>
      </c>
      <c r="N364" s="688"/>
      <c r="O364" s="104"/>
      <c r="Q364" s="332"/>
      <c r="R364" s="332"/>
      <c r="S364" s="332"/>
      <c r="T364" s="332"/>
      <c r="U364" s="332"/>
      <c r="V364" s="332"/>
      <c r="W364" s="332"/>
      <c r="X364" s="332"/>
      <c r="Y364" s="332"/>
      <c r="Z364" s="332"/>
      <c r="AA364" s="332"/>
      <c r="AB364" s="332"/>
      <c r="AC364" s="332"/>
      <c r="AD364" s="332"/>
      <c r="AE364" s="332"/>
    </row>
    <row r="365" spans="1:31" hidden="1" x14ac:dyDescent="0.25">
      <c r="A365" s="527">
        <f>ROW()</f>
        <v>365</v>
      </c>
      <c r="B365" s="686" t="s">
        <v>607</v>
      </c>
      <c r="C365" s="687">
        <v>0</v>
      </c>
      <c r="D365" s="687"/>
      <c r="E365" s="687"/>
      <c r="F365" s="687"/>
      <c r="G365" s="674">
        <f>G209*$E209</f>
        <v>0</v>
      </c>
      <c r="H365" s="674">
        <f t="shared" si="79"/>
        <v>0</v>
      </c>
      <c r="I365" s="674">
        <f t="shared" si="79"/>
        <v>0</v>
      </c>
      <c r="J365" s="674">
        <f t="shared" si="79"/>
        <v>0</v>
      </c>
      <c r="K365" s="674">
        <f t="shared" si="79"/>
        <v>0</v>
      </c>
      <c r="L365" s="674">
        <f t="shared" si="79"/>
        <v>0</v>
      </c>
      <c r="M365" s="674">
        <f t="shared" si="79"/>
        <v>0</v>
      </c>
      <c r="N365" s="688"/>
      <c r="O365" s="104"/>
      <c r="Q365" s="332"/>
      <c r="R365" s="332"/>
      <c r="S365" s="332"/>
      <c r="T365" s="332"/>
      <c r="U365" s="332"/>
      <c r="V365" s="332"/>
      <c r="W365" s="332"/>
      <c r="X365" s="332"/>
      <c r="Y365" s="332"/>
      <c r="Z365" s="332"/>
      <c r="AA365" s="332"/>
      <c r="AB365" s="332"/>
      <c r="AC365" s="332"/>
      <c r="AD365" s="332"/>
      <c r="AE365" s="332"/>
    </row>
    <row r="366" spans="1:31" hidden="1" x14ac:dyDescent="0.25">
      <c r="A366" s="527">
        <f>ROW()</f>
        <v>366</v>
      </c>
      <c r="B366" s="686" t="s">
        <v>571</v>
      </c>
      <c r="C366" s="687">
        <v>0</v>
      </c>
      <c r="D366" s="687"/>
      <c r="E366" s="687"/>
      <c r="F366" s="687"/>
      <c r="G366" s="674">
        <f>G210*$E210</f>
        <v>0</v>
      </c>
      <c r="H366" s="674">
        <f t="shared" si="79"/>
        <v>0</v>
      </c>
      <c r="I366" s="674">
        <f t="shared" si="79"/>
        <v>0</v>
      </c>
      <c r="J366" s="674">
        <f t="shared" si="79"/>
        <v>0</v>
      </c>
      <c r="K366" s="674">
        <f t="shared" si="79"/>
        <v>0</v>
      </c>
      <c r="L366" s="674">
        <f t="shared" si="79"/>
        <v>0</v>
      </c>
      <c r="M366" s="674">
        <f t="shared" si="79"/>
        <v>0</v>
      </c>
      <c r="N366" s="688"/>
      <c r="O366" s="104"/>
      <c r="Q366" s="332"/>
      <c r="R366" s="332"/>
      <c r="S366" s="332"/>
      <c r="T366" s="332"/>
      <c r="U366" s="332"/>
      <c r="V366" s="332"/>
      <c r="W366" s="332"/>
      <c r="X366" s="332"/>
      <c r="Y366" s="332"/>
      <c r="Z366" s="332"/>
      <c r="AA366" s="332"/>
      <c r="AB366" s="332"/>
      <c r="AC366" s="332"/>
      <c r="AD366" s="332"/>
      <c r="AE366" s="332"/>
    </row>
    <row r="367" spans="1:31" hidden="1" x14ac:dyDescent="0.25">
      <c r="A367" s="527">
        <f>ROW()</f>
        <v>367</v>
      </c>
      <c r="B367" s="686" t="s">
        <v>571</v>
      </c>
      <c r="C367" s="687">
        <v>0</v>
      </c>
      <c r="D367" s="687"/>
      <c r="E367" s="687"/>
      <c r="F367" s="687"/>
      <c r="G367" s="674">
        <f>G211*$E211</f>
        <v>0</v>
      </c>
      <c r="H367" s="674">
        <f t="shared" si="79"/>
        <v>0</v>
      </c>
      <c r="I367" s="674">
        <f t="shared" si="79"/>
        <v>0</v>
      </c>
      <c r="J367" s="674">
        <f t="shared" si="79"/>
        <v>0</v>
      </c>
      <c r="K367" s="674">
        <f t="shared" si="79"/>
        <v>0</v>
      </c>
      <c r="L367" s="674">
        <f t="shared" si="79"/>
        <v>0</v>
      </c>
      <c r="M367" s="674">
        <f t="shared" si="79"/>
        <v>0</v>
      </c>
      <c r="N367" s="688"/>
      <c r="O367" s="104"/>
      <c r="Q367" s="332"/>
      <c r="R367" s="332"/>
      <c r="S367" s="332"/>
      <c r="T367" s="332"/>
      <c r="U367" s="332"/>
      <c r="V367" s="332"/>
      <c r="W367" s="332"/>
      <c r="X367" s="332"/>
      <c r="Y367" s="332"/>
      <c r="Z367" s="332"/>
      <c r="AA367" s="332"/>
      <c r="AB367" s="332"/>
      <c r="AC367" s="332"/>
      <c r="AD367" s="332"/>
      <c r="AE367" s="332"/>
    </row>
    <row r="368" spans="1:31" hidden="1" x14ac:dyDescent="0.25">
      <c r="A368" s="527">
        <f>ROW()</f>
        <v>368</v>
      </c>
      <c r="B368" s="686" t="s">
        <v>571</v>
      </c>
      <c r="C368" s="687">
        <v>0</v>
      </c>
      <c r="D368" s="687"/>
      <c r="E368" s="687"/>
      <c r="F368" s="687"/>
      <c r="G368" s="674">
        <f>G212*$E212</f>
        <v>0</v>
      </c>
      <c r="H368" s="674">
        <f t="shared" si="79"/>
        <v>0</v>
      </c>
      <c r="I368" s="674">
        <f t="shared" si="79"/>
        <v>0</v>
      </c>
      <c r="J368" s="674">
        <f t="shared" si="79"/>
        <v>0</v>
      </c>
      <c r="K368" s="674">
        <f t="shared" si="79"/>
        <v>0</v>
      </c>
      <c r="L368" s="674">
        <f t="shared" si="79"/>
        <v>0</v>
      </c>
      <c r="M368" s="674">
        <f t="shared" si="79"/>
        <v>0</v>
      </c>
      <c r="N368" s="688"/>
      <c r="O368" s="104"/>
      <c r="Q368" s="332"/>
      <c r="R368" s="332"/>
      <c r="S368" s="332"/>
      <c r="T368" s="332"/>
      <c r="U368" s="332"/>
      <c r="V368" s="332"/>
      <c r="W368" s="332"/>
      <c r="X368" s="332"/>
      <c r="Y368" s="332"/>
      <c r="Z368" s="332"/>
      <c r="AA368" s="332"/>
      <c r="AB368" s="332"/>
      <c r="AC368" s="332"/>
      <c r="AD368" s="332"/>
      <c r="AE368" s="332"/>
    </row>
    <row r="369" spans="1:31" hidden="1" x14ac:dyDescent="0.25">
      <c r="A369" s="527">
        <f>ROW()</f>
        <v>369</v>
      </c>
      <c r="B369" s="686"/>
      <c r="C369" s="687">
        <v>0</v>
      </c>
      <c r="D369" s="687"/>
      <c r="E369" s="687"/>
      <c r="F369" s="687"/>
      <c r="G369" s="674"/>
      <c r="H369" s="674"/>
      <c r="I369" s="674"/>
      <c r="J369" s="674"/>
      <c r="K369" s="674"/>
      <c r="L369" s="674"/>
      <c r="M369" s="674"/>
      <c r="N369" s="688"/>
      <c r="O369" s="104"/>
      <c r="Q369" s="332"/>
      <c r="R369" s="332"/>
      <c r="S369" s="332"/>
      <c r="T369" s="332"/>
      <c r="U369" s="332"/>
      <c r="V369" s="332"/>
      <c r="W369" s="332"/>
      <c r="X369" s="332"/>
      <c r="Y369" s="332"/>
      <c r="Z369" s="332"/>
      <c r="AA369" s="332"/>
      <c r="AB369" s="332"/>
      <c r="AC369" s="332"/>
      <c r="AD369" s="332"/>
      <c r="AE369" s="332"/>
    </row>
    <row r="370" spans="1:31" hidden="1" x14ac:dyDescent="0.25">
      <c r="A370" s="527">
        <f>ROW()</f>
        <v>370</v>
      </c>
      <c r="B370" s="686" t="s">
        <v>608</v>
      </c>
      <c r="C370" s="687">
        <v>0</v>
      </c>
      <c r="D370" s="687"/>
      <c r="E370" s="687"/>
      <c r="F370" s="687"/>
      <c r="G370" s="674">
        <f>G214*$E214</f>
        <v>0</v>
      </c>
      <c r="H370" s="674">
        <f t="shared" ref="H370:M374" si="80">(H214*$E214)</f>
        <v>0</v>
      </c>
      <c r="I370" s="674">
        <f t="shared" si="80"/>
        <v>0</v>
      </c>
      <c r="J370" s="674">
        <f t="shared" si="80"/>
        <v>0</v>
      </c>
      <c r="K370" s="674">
        <f t="shared" si="80"/>
        <v>0</v>
      </c>
      <c r="L370" s="674">
        <f t="shared" si="80"/>
        <v>0</v>
      </c>
      <c r="M370" s="674">
        <f t="shared" si="80"/>
        <v>0</v>
      </c>
      <c r="N370" s="688"/>
      <c r="O370" s="104"/>
      <c r="Q370" s="332"/>
      <c r="R370" s="332"/>
      <c r="S370" s="332"/>
      <c r="T370" s="332"/>
      <c r="U370" s="332"/>
      <c r="V370" s="332"/>
      <c r="W370" s="332"/>
      <c r="X370" s="332"/>
      <c r="Y370" s="332"/>
      <c r="Z370" s="332"/>
      <c r="AA370" s="332"/>
      <c r="AB370" s="332"/>
      <c r="AC370" s="332"/>
      <c r="AD370" s="332"/>
      <c r="AE370" s="332"/>
    </row>
    <row r="371" spans="1:31" hidden="1" x14ac:dyDescent="0.25">
      <c r="A371" s="527">
        <f>ROW()</f>
        <v>371</v>
      </c>
      <c r="B371" s="686" t="s">
        <v>609</v>
      </c>
      <c r="C371" s="687">
        <v>0</v>
      </c>
      <c r="D371" s="687"/>
      <c r="E371" s="687"/>
      <c r="F371" s="687"/>
      <c r="G371" s="674">
        <f>G215*$E215</f>
        <v>0</v>
      </c>
      <c r="H371" s="674">
        <f t="shared" si="80"/>
        <v>0</v>
      </c>
      <c r="I371" s="674">
        <f t="shared" si="80"/>
        <v>0</v>
      </c>
      <c r="J371" s="674">
        <f t="shared" si="80"/>
        <v>0</v>
      </c>
      <c r="K371" s="674">
        <f t="shared" si="80"/>
        <v>0</v>
      </c>
      <c r="L371" s="674">
        <f t="shared" si="80"/>
        <v>0</v>
      </c>
      <c r="M371" s="674">
        <f t="shared" si="80"/>
        <v>0</v>
      </c>
      <c r="N371" s="688"/>
      <c r="O371" s="104"/>
      <c r="Q371" s="332"/>
      <c r="R371" s="332"/>
      <c r="S371" s="332"/>
      <c r="T371" s="332"/>
      <c r="U371" s="332"/>
      <c r="V371" s="332"/>
      <c r="W371" s="332"/>
      <c r="X371" s="332"/>
      <c r="Y371" s="332"/>
      <c r="Z371" s="332"/>
      <c r="AA371" s="332"/>
      <c r="AB371" s="332"/>
      <c r="AC371" s="332"/>
      <c r="AD371" s="332"/>
      <c r="AE371" s="332"/>
    </row>
    <row r="372" spans="1:31" hidden="1" x14ac:dyDescent="0.25">
      <c r="A372" s="527">
        <f>ROW()</f>
        <v>372</v>
      </c>
      <c r="B372" s="686" t="s">
        <v>571</v>
      </c>
      <c r="C372" s="687">
        <v>0</v>
      </c>
      <c r="D372" s="687"/>
      <c r="E372" s="687"/>
      <c r="F372" s="687"/>
      <c r="G372" s="674">
        <f>G216*$E216</f>
        <v>0</v>
      </c>
      <c r="H372" s="674">
        <f t="shared" si="80"/>
        <v>0</v>
      </c>
      <c r="I372" s="674">
        <f t="shared" si="80"/>
        <v>0</v>
      </c>
      <c r="J372" s="674">
        <f t="shared" si="80"/>
        <v>0</v>
      </c>
      <c r="K372" s="674">
        <f t="shared" si="80"/>
        <v>0</v>
      </c>
      <c r="L372" s="674">
        <f t="shared" si="80"/>
        <v>0</v>
      </c>
      <c r="M372" s="674">
        <f t="shared" si="80"/>
        <v>0</v>
      </c>
      <c r="N372" s="688"/>
      <c r="O372" s="104"/>
      <c r="Q372" s="332"/>
      <c r="R372" s="332"/>
      <c r="S372" s="332"/>
      <c r="T372" s="332"/>
      <c r="U372" s="332"/>
      <c r="V372" s="332"/>
      <c r="W372" s="332"/>
      <c r="X372" s="332"/>
      <c r="Y372" s="332"/>
      <c r="Z372" s="332"/>
      <c r="AA372" s="332"/>
      <c r="AB372" s="332"/>
      <c r="AC372" s="332"/>
      <c r="AD372" s="332"/>
      <c r="AE372" s="332"/>
    </row>
    <row r="373" spans="1:31" hidden="1" x14ac:dyDescent="0.25">
      <c r="A373" s="527">
        <f>ROW()</f>
        <v>373</v>
      </c>
      <c r="B373" s="686" t="s">
        <v>571</v>
      </c>
      <c r="C373" s="687">
        <v>0</v>
      </c>
      <c r="D373" s="687"/>
      <c r="E373" s="687"/>
      <c r="F373" s="687"/>
      <c r="G373" s="674">
        <f>G217*$E217</f>
        <v>0</v>
      </c>
      <c r="H373" s="674">
        <f t="shared" si="80"/>
        <v>0</v>
      </c>
      <c r="I373" s="674">
        <f t="shared" si="80"/>
        <v>0</v>
      </c>
      <c r="J373" s="674">
        <f t="shared" si="80"/>
        <v>0</v>
      </c>
      <c r="K373" s="674">
        <f t="shared" si="80"/>
        <v>0</v>
      </c>
      <c r="L373" s="674">
        <f t="shared" si="80"/>
        <v>0</v>
      </c>
      <c r="M373" s="674">
        <f t="shared" si="80"/>
        <v>0</v>
      </c>
      <c r="N373" s="688"/>
      <c r="O373" s="104"/>
      <c r="Q373" s="332"/>
      <c r="R373" s="332"/>
      <c r="S373" s="332"/>
      <c r="T373" s="332"/>
      <c r="U373" s="332"/>
      <c r="V373" s="332"/>
      <c r="W373" s="332"/>
      <c r="X373" s="332"/>
      <c r="Y373" s="332"/>
      <c r="Z373" s="332"/>
      <c r="AA373" s="332"/>
      <c r="AB373" s="332"/>
      <c r="AC373" s="332"/>
      <c r="AD373" s="332"/>
      <c r="AE373" s="332"/>
    </row>
    <row r="374" spans="1:31" hidden="1" x14ac:dyDescent="0.25">
      <c r="A374" s="527">
        <f>ROW()</f>
        <v>374</v>
      </c>
      <c r="B374" s="686" t="s">
        <v>571</v>
      </c>
      <c r="C374" s="687">
        <v>0</v>
      </c>
      <c r="D374" s="687"/>
      <c r="E374" s="687"/>
      <c r="F374" s="687"/>
      <c r="G374" s="674">
        <f>G218*$E218</f>
        <v>0</v>
      </c>
      <c r="H374" s="674">
        <f t="shared" si="80"/>
        <v>0</v>
      </c>
      <c r="I374" s="674">
        <f t="shared" si="80"/>
        <v>0</v>
      </c>
      <c r="J374" s="674">
        <f t="shared" si="80"/>
        <v>0</v>
      </c>
      <c r="K374" s="674">
        <f t="shared" si="80"/>
        <v>0</v>
      </c>
      <c r="L374" s="674">
        <f t="shared" si="80"/>
        <v>0</v>
      </c>
      <c r="M374" s="674">
        <f t="shared" si="80"/>
        <v>0</v>
      </c>
      <c r="N374" s="688"/>
      <c r="O374" s="104"/>
      <c r="Q374" s="332"/>
      <c r="R374" s="332"/>
      <c r="S374" s="332"/>
      <c r="T374" s="332"/>
      <c r="U374" s="332"/>
      <c r="V374" s="332"/>
      <c r="W374" s="332"/>
      <c r="X374" s="332"/>
      <c r="Y374" s="332"/>
      <c r="Z374" s="332"/>
      <c r="AA374" s="332"/>
      <c r="AB374" s="332"/>
      <c r="AC374" s="332"/>
      <c r="AD374" s="332"/>
      <c r="AE374" s="332"/>
    </row>
    <row r="375" spans="1:31" hidden="1" x14ac:dyDescent="0.25">
      <c r="A375" s="527">
        <f>ROW()</f>
        <v>375</v>
      </c>
      <c r="B375" s="686"/>
      <c r="C375" s="687">
        <v>0</v>
      </c>
      <c r="D375" s="687"/>
      <c r="E375" s="687"/>
      <c r="F375" s="687"/>
      <c r="G375" s="674"/>
      <c r="H375" s="674"/>
      <c r="I375" s="674"/>
      <c r="J375" s="674"/>
      <c r="K375" s="674"/>
      <c r="L375" s="674"/>
      <c r="M375" s="674"/>
      <c r="N375" s="688"/>
      <c r="O375" s="104"/>
      <c r="Q375" s="332"/>
      <c r="R375" s="332"/>
      <c r="S375" s="332"/>
      <c r="T375" s="332"/>
      <c r="U375" s="332"/>
      <c r="V375" s="332"/>
      <c r="W375" s="332"/>
      <c r="X375" s="332"/>
      <c r="Y375" s="332"/>
      <c r="Z375" s="332"/>
      <c r="AA375" s="332"/>
      <c r="AB375" s="332"/>
      <c r="AC375" s="332"/>
      <c r="AD375" s="332"/>
      <c r="AE375" s="332"/>
    </row>
    <row r="376" spans="1:31" hidden="1" x14ac:dyDescent="0.25">
      <c r="A376" s="527">
        <f>ROW()</f>
        <v>376</v>
      </c>
      <c r="B376" s="686" t="s">
        <v>571</v>
      </c>
      <c r="C376" s="687">
        <v>0</v>
      </c>
      <c r="D376" s="687"/>
      <c r="E376" s="687"/>
      <c r="F376" s="687"/>
      <c r="G376" s="674">
        <f>G220*$E220</f>
        <v>0</v>
      </c>
      <c r="H376" s="674">
        <f t="shared" ref="H376:M380" si="81">(H220*$E220)</f>
        <v>0</v>
      </c>
      <c r="I376" s="674">
        <f t="shared" si="81"/>
        <v>0</v>
      </c>
      <c r="J376" s="674">
        <f t="shared" si="81"/>
        <v>0</v>
      </c>
      <c r="K376" s="674">
        <f t="shared" si="81"/>
        <v>0</v>
      </c>
      <c r="L376" s="674">
        <f t="shared" si="81"/>
        <v>0</v>
      </c>
      <c r="M376" s="674">
        <f t="shared" si="81"/>
        <v>0</v>
      </c>
      <c r="N376" s="688"/>
      <c r="O376" s="104"/>
      <c r="Q376" s="332"/>
      <c r="R376" s="332"/>
      <c r="S376" s="332"/>
      <c r="T376" s="332"/>
      <c r="U376" s="332"/>
      <c r="V376" s="332"/>
      <c r="W376" s="332"/>
      <c r="X376" s="332"/>
      <c r="Y376" s="332"/>
      <c r="Z376" s="332"/>
      <c r="AA376" s="332"/>
      <c r="AB376" s="332"/>
      <c r="AC376" s="332"/>
      <c r="AD376" s="332"/>
      <c r="AE376" s="332"/>
    </row>
    <row r="377" spans="1:31" hidden="1" x14ac:dyDescent="0.25">
      <c r="A377" s="527">
        <f>ROW()</f>
        <v>377</v>
      </c>
      <c r="B377" s="686" t="s">
        <v>571</v>
      </c>
      <c r="C377" s="687">
        <v>0</v>
      </c>
      <c r="D377" s="687"/>
      <c r="E377" s="687"/>
      <c r="F377" s="687"/>
      <c r="G377" s="674">
        <f>G221*$E221</f>
        <v>0</v>
      </c>
      <c r="H377" s="674">
        <f t="shared" si="81"/>
        <v>0</v>
      </c>
      <c r="I377" s="674">
        <f t="shared" si="81"/>
        <v>0</v>
      </c>
      <c r="J377" s="674">
        <f t="shared" si="81"/>
        <v>0</v>
      </c>
      <c r="K377" s="674">
        <f t="shared" si="81"/>
        <v>0</v>
      </c>
      <c r="L377" s="674">
        <f t="shared" si="81"/>
        <v>0</v>
      </c>
      <c r="M377" s="674">
        <f t="shared" si="81"/>
        <v>0</v>
      </c>
      <c r="N377" s="688"/>
      <c r="O377" s="104"/>
      <c r="Q377" s="332"/>
      <c r="R377" s="332"/>
      <c r="S377" s="332"/>
      <c r="T377" s="332"/>
      <c r="U377" s="332"/>
      <c r="V377" s="332"/>
      <c r="W377" s="332"/>
      <c r="X377" s="332"/>
      <c r="Y377" s="332"/>
      <c r="Z377" s="332"/>
      <c r="AA377" s="332"/>
      <c r="AB377" s="332"/>
      <c r="AC377" s="332"/>
      <c r="AD377" s="332"/>
      <c r="AE377" s="332"/>
    </row>
    <row r="378" spans="1:31" hidden="1" x14ac:dyDescent="0.25">
      <c r="A378" s="527">
        <f>ROW()</f>
        <v>378</v>
      </c>
      <c r="B378" s="686" t="s">
        <v>571</v>
      </c>
      <c r="C378" s="687">
        <v>0</v>
      </c>
      <c r="D378" s="687"/>
      <c r="E378" s="687"/>
      <c r="F378" s="687"/>
      <c r="G378" s="674">
        <f>G222*$E222</f>
        <v>0</v>
      </c>
      <c r="H378" s="674">
        <f t="shared" si="81"/>
        <v>0</v>
      </c>
      <c r="I378" s="674">
        <f t="shared" si="81"/>
        <v>0</v>
      </c>
      <c r="J378" s="674">
        <f t="shared" si="81"/>
        <v>0</v>
      </c>
      <c r="K378" s="674">
        <f t="shared" si="81"/>
        <v>0</v>
      </c>
      <c r="L378" s="674">
        <f t="shared" si="81"/>
        <v>0</v>
      </c>
      <c r="M378" s="674">
        <f t="shared" si="81"/>
        <v>0</v>
      </c>
      <c r="N378" s="688"/>
      <c r="O378" s="104"/>
      <c r="Q378" s="332"/>
      <c r="R378" s="332"/>
      <c r="S378" s="332"/>
      <c r="T378" s="332"/>
      <c r="U378" s="332"/>
      <c r="V378" s="332"/>
      <c r="W378" s="332"/>
      <c r="X378" s="332"/>
      <c r="Y378" s="332"/>
      <c r="Z378" s="332"/>
      <c r="AA378" s="332"/>
      <c r="AB378" s="332"/>
      <c r="AC378" s="332"/>
      <c r="AD378" s="332"/>
      <c r="AE378" s="332"/>
    </row>
    <row r="379" spans="1:31" hidden="1" x14ac:dyDescent="0.25">
      <c r="A379" s="527">
        <f>ROW()</f>
        <v>379</v>
      </c>
      <c r="B379" s="686" t="s">
        <v>571</v>
      </c>
      <c r="C379" s="687">
        <v>0</v>
      </c>
      <c r="D379" s="687"/>
      <c r="E379" s="687"/>
      <c r="F379" s="687"/>
      <c r="G379" s="674">
        <f>G223*$E223</f>
        <v>0</v>
      </c>
      <c r="H379" s="674">
        <f t="shared" si="81"/>
        <v>0</v>
      </c>
      <c r="I379" s="674">
        <f t="shared" si="81"/>
        <v>0</v>
      </c>
      <c r="J379" s="674">
        <f t="shared" si="81"/>
        <v>0</v>
      </c>
      <c r="K379" s="674">
        <f t="shared" si="81"/>
        <v>0</v>
      </c>
      <c r="L379" s="674">
        <f t="shared" si="81"/>
        <v>0</v>
      </c>
      <c r="M379" s="674">
        <f t="shared" si="81"/>
        <v>0</v>
      </c>
      <c r="N379" s="688"/>
      <c r="O379" s="104"/>
      <c r="Q379" s="332"/>
      <c r="R379" s="332"/>
      <c r="S379" s="332"/>
      <c r="T379" s="332"/>
      <c r="U379" s="332"/>
      <c r="V379" s="332"/>
      <c r="W379" s="332"/>
      <c r="X379" s="332"/>
      <c r="Y379" s="332"/>
      <c r="Z379" s="332"/>
      <c r="AA379" s="332"/>
      <c r="AB379" s="332"/>
      <c r="AC379" s="332"/>
      <c r="AD379" s="332"/>
      <c r="AE379" s="332"/>
    </row>
    <row r="380" spans="1:31" hidden="1" x14ac:dyDescent="0.25">
      <c r="A380" s="527">
        <f>ROW()</f>
        <v>380</v>
      </c>
      <c r="B380" s="686" t="s">
        <v>571</v>
      </c>
      <c r="C380" s="687">
        <v>0</v>
      </c>
      <c r="D380" s="687"/>
      <c r="E380" s="687"/>
      <c r="F380" s="687"/>
      <c r="G380" s="674">
        <f>G224*$E224</f>
        <v>0</v>
      </c>
      <c r="H380" s="674">
        <f t="shared" si="81"/>
        <v>0</v>
      </c>
      <c r="I380" s="674">
        <f t="shared" si="81"/>
        <v>0</v>
      </c>
      <c r="J380" s="674">
        <f t="shared" si="81"/>
        <v>0</v>
      </c>
      <c r="K380" s="674">
        <f t="shared" si="81"/>
        <v>0</v>
      </c>
      <c r="L380" s="674">
        <f t="shared" si="81"/>
        <v>0</v>
      </c>
      <c r="M380" s="674">
        <f t="shared" si="81"/>
        <v>0</v>
      </c>
      <c r="N380" s="688"/>
      <c r="O380" s="104"/>
      <c r="Q380" s="332"/>
      <c r="R380" s="332"/>
      <c r="S380" s="332"/>
      <c r="T380" s="332"/>
      <c r="U380" s="332"/>
      <c r="V380" s="332"/>
      <c r="W380" s="332"/>
      <c r="X380" s="332"/>
      <c r="Y380" s="332"/>
      <c r="Z380" s="332"/>
      <c r="AA380" s="332"/>
      <c r="AB380" s="332"/>
      <c r="AC380" s="332"/>
      <c r="AD380" s="332"/>
      <c r="AE380" s="332"/>
    </row>
    <row r="381" spans="1:31" hidden="1" x14ac:dyDescent="0.25">
      <c r="A381" s="527">
        <f>ROW()</f>
        <v>381</v>
      </c>
      <c r="B381" s="686"/>
      <c r="C381" s="687">
        <v>0</v>
      </c>
      <c r="D381" s="687"/>
      <c r="E381" s="687"/>
      <c r="F381" s="687"/>
      <c r="G381" s="674"/>
      <c r="H381" s="674"/>
      <c r="I381" s="674"/>
      <c r="J381" s="674"/>
      <c r="K381" s="674"/>
      <c r="L381" s="674"/>
      <c r="M381" s="674"/>
      <c r="N381" s="688"/>
      <c r="O381" s="104"/>
      <c r="Q381" s="332"/>
      <c r="R381" s="332"/>
      <c r="S381" s="332"/>
      <c r="T381" s="332"/>
      <c r="U381" s="332"/>
      <c r="V381" s="332"/>
      <c r="W381" s="332"/>
      <c r="X381" s="332"/>
      <c r="Y381" s="332"/>
      <c r="Z381" s="332"/>
      <c r="AA381" s="332"/>
      <c r="AB381" s="332"/>
      <c r="AC381" s="332"/>
      <c r="AD381" s="332"/>
      <c r="AE381" s="332"/>
    </row>
    <row r="382" spans="1:31" hidden="1" x14ac:dyDescent="0.25">
      <c r="A382" s="527">
        <f>ROW()</f>
        <v>382</v>
      </c>
      <c r="B382" s="686" t="s">
        <v>571</v>
      </c>
      <c r="C382" s="687">
        <v>0</v>
      </c>
      <c r="D382" s="687"/>
      <c r="E382" s="687"/>
      <c r="F382" s="687"/>
      <c r="G382" s="674">
        <f>G226*$E226</f>
        <v>0</v>
      </c>
      <c r="H382" s="674">
        <f t="shared" ref="H382:M386" si="82">(H226*$E226)</f>
        <v>0</v>
      </c>
      <c r="I382" s="674">
        <f t="shared" si="82"/>
        <v>0</v>
      </c>
      <c r="J382" s="674">
        <f t="shared" si="82"/>
        <v>0</v>
      </c>
      <c r="K382" s="674">
        <f t="shared" si="82"/>
        <v>0</v>
      </c>
      <c r="L382" s="674">
        <f t="shared" si="82"/>
        <v>0</v>
      </c>
      <c r="M382" s="674">
        <f t="shared" si="82"/>
        <v>0</v>
      </c>
      <c r="N382" s="688"/>
      <c r="O382" s="104"/>
      <c r="Q382" s="332"/>
      <c r="R382" s="332"/>
      <c r="S382" s="332"/>
      <c r="T382" s="332"/>
      <c r="U382" s="332"/>
      <c r="V382" s="332"/>
      <c r="W382" s="332"/>
      <c r="X382" s="332"/>
      <c r="Y382" s="332"/>
      <c r="Z382" s="332"/>
      <c r="AA382" s="332"/>
      <c r="AB382" s="332"/>
      <c r="AC382" s="332"/>
      <c r="AD382" s="332"/>
      <c r="AE382" s="332"/>
    </row>
    <row r="383" spans="1:31" hidden="1" x14ac:dyDescent="0.25">
      <c r="A383" s="527">
        <f>ROW()</f>
        <v>383</v>
      </c>
      <c r="B383" s="686" t="s">
        <v>571</v>
      </c>
      <c r="C383" s="687">
        <v>0</v>
      </c>
      <c r="D383" s="687"/>
      <c r="E383" s="687"/>
      <c r="F383" s="687"/>
      <c r="G383" s="674">
        <f>G227*$E227</f>
        <v>0</v>
      </c>
      <c r="H383" s="674">
        <f t="shared" si="82"/>
        <v>0</v>
      </c>
      <c r="I383" s="674">
        <f t="shared" si="82"/>
        <v>0</v>
      </c>
      <c r="J383" s="674">
        <f t="shared" si="82"/>
        <v>0</v>
      </c>
      <c r="K383" s="674">
        <f t="shared" si="82"/>
        <v>0</v>
      </c>
      <c r="L383" s="674">
        <f t="shared" si="82"/>
        <v>0</v>
      </c>
      <c r="M383" s="674">
        <f t="shared" si="82"/>
        <v>0</v>
      </c>
      <c r="N383" s="688"/>
      <c r="O383" s="104"/>
      <c r="Q383" s="332"/>
      <c r="R383" s="332"/>
      <c r="S383" s="332"/>
      <c r="T383" s="332"/>
      <c r="U383" s="332"/>
      <c r="V383" s="332"/>
      <c r="W383" s="332"/>
      <c r="X383" s="332"/>
      <c r="Y383" s="332"/>
      <c r="Z383" s="332"/>
      <c r="AA383" s="332"/>
      <c r="AB383" s="332"/>
      <c r="AC383" s="332"/>
      <c r="AD383" s="332"/>
      <c r="AE383" s="332"/>
    </row>
    <row r="384" spans="1:31" hidden="1" x14ac:dyDescent="0.25">
      <c r="A384" s="527">
        <f>ROW()</f>
        <v>384</v>
      </c>
      <c r="B384" s="686" t="s">
        <v>571</v>
      </c>
      <c r="C384" s="687">
        <v>0</v>
      </c>
      <c r="D384" s="687"/>
      <c r="E384" s="687"/>
      <c r="F384" s="687"/>
      <c r="G384" s="674">
        <f>G228*$E228</f>
        <v>0</v>
      </c>
      <c r="H384" s="674">
        <f t="shared" si="82"/>
        <v>0</v>
      </c>
      <c r="I384" s="674">
        <f t="shared" si="82"/>
        <v>0</v>
      </c>
      <c r="J384" s="674">
        <f t="shared" si="82"/>
        <v>0</v>
      </c>
      <c r="K384" s="674">
        <f t="shared" si="82"/>
        <v>0</v>
      </c>
      <c r="L384" s="674">
        <f t="shared" si="82"/>
        <v>0</v>
      </c>
      <c r="M384" s="674">
        <f t="shared" si="82"/>
        <v>0</v>
      </c>
      <c r="N384" s="688"/>
      <c r="O384" s="104"/>
      <c r="Q384" s="332"/>
      <c r="R384" s="332"/>
      <c r="S384" s="332"/>
      <c r="T384" s="332"/>
      <c r="U384" s="332"/>
      <c r="V384" s="332"/>
      <c r="W384" s="332"/>
      <c r="X384" s="332"/>
      <c r="Y384" s="332"/>
      <c r="Z384" s="332"/>
      <c r="AA384" s="332"/>
      <c r="AB384" s="332"/>
      <c r="AC384" s="332"/>
      <c r="AD384" s="332"/>
      <c r="AE384" s="332"/>
    </row>
    <row r="385" spans="1:31" hidden="1" x14ac:dyDescent="0.25">
      <c r="A385" s="527">
        <f>ROW()</f>
        <v>385</v>
      </c>
      <c r="B385" s="686" t="s">
        <v>571</v>
      </c>
      <c r="C385" s="687">
        <v>0</v>
      </c>
      <c r="D385" s="687"/>
      <c r="E385" s="687"/>
      <c r="F385" s="687"/>
      <c r="G385" s="674">
        <f>G229*$E229</f>
        <v>0</v>
      </c>
      <c r="H385" s="674">
        <f t="shared" si="82"/>
        <v>0</v>
      </c>
      <c r="I385" s="674">
        <f t="shared" si="82"/>
        <v>0</v>
      </c>
      <c r="J385" s="674">
        <f t="shared" si="82"/>
        <v>0</v>
      </c>
      <c r="K385" s="674">
        <f t="shared" si="82"/>
        <v>0</v>
      </c>
      <c r="L385" s="674">
        <f t="shared" si="82"/>
        <v>0</v>
      </c>
      <c r="M385" s="674">
        <f t="shared" si="82"/>
        <v>0</v>
      </c>
      <c r="N385" s="688"/>
      <c r="O385" s="104"/>
      <c r="Q385" s="332"/>
      <c r="R385" s="332"/>
      <c r="S385" s="332"/>
      <c r="T385" s="332"/>
      <c r="U385" s="332"/>
      <c r="V385" s="332"/>
      <c r="W385" s="332"/>
      <c r="X385" s="332"/>
      <c r="Y385" s="332"/>
      <c r="Z385" s="332"/>
      <c r="AA385" s="332"/>
      <c r="AB385" s="332"/>
      <c r="AC385" s="332"/>
      <c r="AD385" s="332"/>
      <c r="AE385" s="332"/>
    </row>
    <row r="386" spans="1:31" hidden="1" x14ac:dyDescent="0.25">
      <c r="A386" s="527">
        <f>ROW()</f>
        <v>386</v>
      </c>
      <c r="B386" s="686" t="s">
        <v>571</v>
      </c>
      <c r="C386" s="687">
        <v>0</v>
      </c>
      <c r="D386" s="687"/>
      <c r="E386" s="687"/>
      <c r="F386" s="687"/>
      <c r="G386" s="674">
        <f>G230*$E230</f>
        <v>0</v>
      </c>
      <c r="H386" s="674">
        <f t="shared" si="82"/>
        <v>0</v>
      </c>
      <c r="I386" s="674">
        <f t="shared" si="82"/>
        <v>0</v>
      </c>
      <c r="J386" s="674">
        <f t="shared" si="82"/>
        <v>0</v>
      </c>
      <c r="K386" s="674">
        <f t="shared" si="82"/>
        <v>0</v>
      </c>
      <c r="L386" s="674">
        <f t="shared" si="82"/>
        <v>0</v>
      </c>
      <c r="M386" s="674">
        <f t="shared" si="82"/>
        <v>0</v>
      </c>
      <c r="N386" s="688"/>
      <c r="O386" s="104"/>
      <c r="Q386" s="332"/>
      <c r="R386" s="332"/>
      <c r="S386" s="332"/>
      <c r="T386" s="332"/>
      <c r="U386" s="332"/>
      <c r="V386" s="332"/>
      <c r="W386" s="332"/>
      <c r="X386" s="332"/>
      <c r="Y386" s="332"/>
      <c r="Z386" s="332"/>
      <c r="AA386" s="332"/>
      <c r="AB386" s="332"/>
      <c r="AC386" s="332"/>
      <c r="AD386" s="332"/>
      <c r="AE386" s="332"/>
    </row>
    <row r="387" spans="1:31" hidden="1" x14ac:dyDescent="0.25">
      <c r="A387" s="527">
        <f>ROW()</f>
        <v>387</v>
      </c>
      <c r="B387" s="686"/>
      <c r="C387" s="687">
        <v>0</v>
      </c>
      <c r="D387" s="687"/>
      <c r="E387" s="687"/>
      <c r="F387" s="687"/>
      <c r="G387" s="674"/>
      <c r="H387" s="674"/>
      <c r="I387" s="674"/>
      <c r="J387" s="674"/>
      <c r="K387" s="674"/>
      <c r="L387" s="674"/>
      <c r="M387" s="674"/>
      <c r="N387" s="688"/>
      <c r="O387" s="104"/>
      <c r="Q387" s="332"/>
      <c r="R387" s="332"/>
      <c r="S387" s="332"/>
      <c r="T387" s="332"/>
      <c r="U387" s="332"/>
      <c r="V387" s="332"/>
      <c r="W387" s="332"/>
      <c r="X387" s="332"/>
      <c r="Y387" s="332"/>
      <c r="Z387" s="332"/>
      <c r="AA387" s="332"/>
      <c r="AB387" s="332"/>
      <c r="AC387" s="332"/>
      <c r="AD387" s="332"/>
      <c r="AE387" s="332"/>
    </row>
    <row r="388" spans="1:31" hidden="1" x14ac:dyDescent="0.25">
      <c r="A388" s="527">
        <f>ROW()</f>
        <v>388</v>
      </c>
      <c r="B388" s="686" t="s">
        <v>571</v>
      </c>
      <c r="C388" s="687">
        <v>0</v>
      </c>
      <c r="D388" s="687"/>
      <c r="E388" s="687"/>
      <c r="F388" s="687"/>
      <c r="G388" s="674">
        <f>G232*$E232</f>
        <v>0</v>
      </c>
      <c r="H388" s="674">
        <f t="shared" ref="H388:M392" si="83">(H232*$E232)</f>
        <v>0</v>
      </c>
      <c r="I388" s="674">
        <f t="shared" si="83"/>
        <v>0</v>
      </c>
      <c r="J388" s="674">
        <f t="shared" si="83"/>
        <v>0</v>
      </c>
      <c r="K388" s="674">
        <f t="shared" si="83"/>
        <v>0</v>
      </c>
      <c r="L388" s="674">
        <f t="shared" si="83"/>
        <v>0</v>
      </c>
      <c r="M388" s="674">
        <f t="shared" si="83"/>
        <v>0</v>
      </c>
      <c r="N388" s="688"/>
      <c r="O388" s="104"/>
      <c r="Q388" s="332"/>
      <c r="R388" s="332"/>
      <c r="S388" s="332"/>
      <c r="T388" s="332"/>
      <c r="U388" s="332"/>
      <c r="V388" s="332"/>
      <c r="W388" s="332"/>
      <c r="X388" s="332"/>
      <c r="Y388" s="332"/>
      <c r="Z388" s="332"/>
      <c r="AA388" s="332"/>
      <c r="AB388" s="332"/>
      <c r="AC388" s="332"/>
      <c r="AD388" s="332"/>
      <c r="AE388" s="332"/>
    </row>
    <row r="389" spans="1:31" hidden="1" x14ac:dyDescent="0.25">
      <c r="A389" s="527">
        <f>ROW()</f>
        <v>389</v>
      </c>
      <c r="B389" s="686" t="s">
        <v>571</v>
      </c>
      <c r="C389" s="687">
        <v>0</v>
      </c>
      <c r="D389" s="687"/>
      <c r="E389" s="687"/>
      <c r="F389" s="687"/>
      <c r="G389" s="674">
        <f>G233*$E233</f>
        <v>0</v>
      </c>
      <c r="H389" s="674">
        <f t="shared" si="83"/>
        <v>0</v>
      </c>
      <c r="I389" s="674">
        <f t="shared" si="83"/>
        <v>0</v>
      </c>
      <c r="J389" s="674">
        <f t="shared" si="83"/>
        <v>0</v>
      </c>
      <c r="K389" s="674">
        <f t="shared" si="83"/>
        <v>0</v>
      </c>
      <c r="L389" s="674">
        <f t="shared" si="83"/>
        <v>0</v>
      </c>
      <c r="M389" s="674">
        <f t="shared" si="83"/>
        <v>0</v>
      </c>
      <c r="N389" s="688"/>
      <c r="O389" s="104"/>
      <c r="Q389" s="332"/>
      <c r="R389" s="332"/>
      <c r="S389" s="332"/>
      <c r="T389" s="332"/>
      <c r="U389" s="332"/>
      <c r="V389" s="332"/>
      <c r="W389" s="332"/>
      <c r="X389" s="332"/>
      <c r="Y389" s="332"/>
      <c r="Z389" s="332"/>
      <c r="AA389" s="332"/>
      <c r="AB389" s="332"/>
      <c r="AC389" s="332"/>
      <c r="AD389" s="332"/>
      <c r="AE389" s="332"/>
    </row>
    <row r="390" spans="1:31" hidden="1" x14ac:dyDescent="0.25">
      <c r="A390" s="527">
        <f>ROW()</f>
        <v>390</v>
      </c>
      <c r="B390" s="686" t="s">
        <v>571</v>
      </c>
      <c r="C390" s="687">
        <v>0</v>
      </c>
      <c r="D390" s="687"/>
      <c r="E390" s="687"/>
      <c r="F390" s="687"/>
      <c r="G390" s="674">
        <f>G234*$E234</f>
        <v>0</v>
      </c>
      <c r="H390" s="674">
        <f t="shared" si="83"/>
        <v>0</v>
      </c>
      <c r="I390" s="674">
        <f t="shared" si="83"/>
        <v>0</v>
      </c>
      <c r="J390" s="674">
        <f t="shared" si="83"/>
        <v>0</v>
      </c>
      <c r="K390" s="674">
        <f t="shared" si="83"/>
        <v>0</v>
      </c>
      <c r="L390" s="674">
        <f t="shared" si="83"/>
        <v>0</v>
      </c>
      <c r="M390" s="674">
        <f t="shared" si="83"/>
        <v>0</v>
      </c>
      <c r="N390" s="688"/>
      <c r="O390" s="104"/>
      <c r="Q390" s="332"/>
      <c r="R390" s="332"/>
      <c r="S390" s="332"/>
      <c r="T390" s="332"/>
      <c r="U390" s="332"/>
      <c r="V390" s="332"/>
      <c r="W390" s="332"/>
      <c r="X390" s="332"/>
      <c r="Y390" s="332"/>
      <c r="Z390" s="332"/>
      <c r="AA390" s="332"/>
      <c r="AB390" s="332"/>
      <c r="AC390" s="332"/>
      <c r="AD390" s="332"/>
      <c r="AE390" s="332"/>
    </row>
    <row r="391" spans="1:31" hidden="1" x14ac:dyDescent="0.25">
      <c r="A391" s="527">
        <f>ROW()</f>
        <v>391</v>
      </c>
      <c r="B391" s="686" t="s">
        <v>571</v>
      </c>
      <c r="C391" s="687">
        <v>0</v>
      </c>
      <c r="D391" s="687"/>
      <c r="E391" s="687"/>
      <c r="F391" s="687"/>
      <c r="G391" s="674">
        <f>G235*$E235</f>
        <v>0</v>
      </c>
      <c r="H391" s="674">
        <f t="shared" si="83"/>
        <v>0</v>
      </c>
      <c r="I391" s="674">
        <f t="shared" si="83"/>
        <v>0</v>
      </c>
      <c r="J391" s="674">
        <f t="shared" si="83"/>
        <v>0</v>
      </c>
      <c r="K391" s="674">
        <f t="shared" si="83"/>
        <v>0</v>
      </c>
      <c r="L391" s="674">
        <f t="shared" si="83"/>
        <v>0</v>
      </c>
      <c r="M391" s="674">
        <f t="shared" si="83"/>
        <v>0</v>
      </c>
      <c r="N391" s="688"/>
      <c r="O391" s="104"/>
      <c r="Q391" s="332"/>
      <c r="R391" s="332"/>
      <c r="S391" s="332"/>
      <c r="T391" s="332"/>
      <c r="U391" s="332"/>
      <c r="V391" s="332"/>
      <c r="W391" s="332"/>
      <c r="X391" s="332"/>
      <c r="Y391" s="332"/>
      <c r="Z391" s="332"/>
      <c r="AA391" s="332"/>
      <c r="AB391" s="332"/>
      <c r="AC391" s="332"/>
      <c r="AD391" s="332"/>
      <c r="AE391" s="332"/>
    </row>
    <row r="392" spans="1:31" x14ac:dyDescent="0.25">
      <c r="A392" s="527">
        <f>ROW()</f>
        <v>392</v>
      </c>
      <c r="B392" s="686" t="s">
        <v>571</v>
      </c>
      <c r="C392" s="687">
        <v>0</v>
      </c>
      <c r="D392" s="687"/>
      <c r="E392" s="687"/>
      <c r="F392" s="687"/>
      <c r="G392" s="674">
        <f>G236*$E236</f>
        <v>0</v>
      </c>
      <c r="H392" s="674">
        <f t="shared" si="83"/>
        <v>0</v>
      </c>
      <c r="I392" s="674">
        <f t="shared" si="83"/>
        <v>0</v>
      </c>
      <c r="J392" s="674">
        <f t="shared" si="83"/>
        <v>0</v>
      </c>
      <c r="K392" s="674">
        <f t="shared" si="83"/>
        <v>0</v>
      </c>
      <c r="L392" s="674">
        <f t="shared" si="83"/>
        <v>0</v>
      </c>
      <c r="M392" s="674">
        <f t="shared" si="83"/>
        <v>0</v>
      </c>
      <c r="N392" s="688"/>
      <c r="O392" s="104"/>
      <c r="Q392" s="332"/>
      <c r="R392" s="332"/>
      <c r="S392" s="332"/>
      <c r="T392" s="332"/>
      <c r="U392" s="332"/>
      <c r="V392" s="332"/>
      <c r="W392" s="332"/>
      <c r="X392" s="332"/>
      <c r="Y392" s="332"/>
      <c r="Z392" s="332"/>
      <c r="AA392" s="332"/>
      <c r="AB392" s="332"/>
      <c r="AC392" s="332"/>
      <c r="AD392" s="332"/>
      <c r="AE392" s="332"/>
    </row>
    <row r="393" spans="1:31" x14ac:dyDescent="0.25">
      <c r="A393" s="527">
        <f>ROW()</f>
        <v>393</v>
      </c>
      <c r="B393" s="688"/>
      <c r="C393" s="687"/>
      <c r="D393" s="687"/>
      <c r="E393" s="687"/>
      <c r="F393" s="687"/>
      <c r="G393" s="689"/>
      <c r="H393" s="689">
        <v>0</v>
      </c>
      <c r="I393" s="689"/>
      <c r="J393" s="689"/>
      <c r="K393" s="689"/>
      <c r="L393" s="689"/>
      <c r="M393" s="689"/>
      <c r="N393" s="688"/>
      <c r="O393" s="104"/>
      <c r="Q393" s="332"/>
      <c r="R393" s="332"/>
      <c r="S393" s="332"/>
      <c r="T393" s="332"/>
      <c r="U393" s="332"/>
      <c r="V393" s="332"/>
      <c r="W393" s="332"/>
      <c r="X393" s="332"/>
      <c r="Y393" s="332"/>
      <c r="Z393" s="332"/>
      <c r="AA393" s="332"/>
      <c r="AB393" s="332"/>
      <c r="AC393" s="332"/>
      <c r="AD393" s="332"/>
      <c r="AE393" s="332"/>
    </row>
    <row r="394" spans="1:31" ht="15.75" x14ac:dyDescent="0.25">
      <c r="A394" s="527">
        <f>ROW()</f>
        <v>394</v>
      </c>
      <c r="B394" s="690" t="s">
        <v>615</v>
      </c>
      <c r="C394" s="691">
        <f>SUM(G394:M394)</f>
        <v>33599142.569999993</v>
      </c>
      <c r="D394" s="690"/>
      <c r="E394" s="690"/>
      <c r="F394" s="690"/>
      <c r="G394" s="691">
        <f t="shared" ref="G394:M394" si="84">SUM(G299:G392)</f>
        <v>4799877.51</v>
      </c>
      <c r="H394" s="691">
        <f t="shared" si="84"/>
        <v>4799877.51</v>
      </c>
      <c r="I394" s="691">
        <f>SUM(I299:I392)</f>
        <v>4799877.51</v>
      </c>
      <c r="J394" s="691">
        <f t="shared" si="84"/>
        <v>4799877.51</v>
      </c>
      <c r="K394" s="691">
        <f t="shared" si="84"/>
        <v>4799877.51</v>
      </c>
      <c r="L394" s="691">
        <f t="shared" si="84"/>
        <v>4799877.51</v>
      </c>
      <c r="M394" s="691">
        <f t="shared" si="84"/>
        <v>4799877.51</v>
      </c>
      <c r="O394" s="104"/>
      <c r="Q394" s="332"/>
      <c r="R394" s="332"/>
      <c r="S394" s="332"/>
      <c r="T394" s="332"/>
      <c r="U394" s="332"/>
      <c r="V394" s="332"/>
      <c r="W394" s="332"/>
      <c r="X394" s="332"/>
      <c r="Y394" s="332"/>
      <c r="Z394" s="332"/>
      <c r="AA394" s="332"/>
      <c r="AB394" s="332"/>
      <c r="AC394" s="332"/>
      <c r="AD394" s="332"/>
      <c r="AE394" s="332"/>
    </row>
    <row r="395" spans="1:31" x14ac:dyDescent="0.25">
      <c r="A395" s="527">
        <f>ROW()</f>
        <v>395</v>
      </c>
      <c r="C395" s="196"/>
      <c r="D395" s="196"/>
      <c r="E395" s="196"/>
      <c r="F395" s="196"/>
      <c r="G395" s="100"/>
      <c r="H395" s="126"/>
      <c r="I395" s="126"/>
      <c r="J395" s="126"/>
      <c r="K395" s="126"/>
      <c r="L395" s="126"/>
      <c r="M395" s="126"/>
      <c r="O395" s="104"/>
      <c r="Q395" s="332"/>
      <c r="R395" s="332"/>
      <c r="S395" s="332"/>
      <c r="T395" s="332"/>
      <c r="U395" s="332"/>
      <c r="V395" s="332"/>
      <c r="W395" s="332"/>
      <c r="X395" s="332"/>
      <c r="Y395" s="332"/>
      <c r="Z395" s="332"/>
      <c r="AA395" s="332"/>
      <c r="AB395" s="332"/>
      <c r="AC395" s="332"/>
      <c r="AD395" s="332"/>
      <c r="AE395" s="332"/>
    </row>
    <row r="396" spans="1:31" x14ac:dyDescent="0.25">
      <c r="A396" s="527">
        <f>ROW()</f>
        <v>396</v>
      </c>
      <c r="B396" s="692" t="s">
        <v>616</v>
      </c>
      <c r="C396" s="693"/>
      <c r="D396" s="694"/>
      <c r="E396" s="694"/>
      <c r="F396" s="694"/>
      <c r="G396" s="154">
        <v>0</v>
      </c>
      <c r="H396" s="154">
        <v>0</v>
      </c>
      <c r="I396" s="154">
        <v>0</v>
      </c>
      <c r="J396" s="154">
        <v>0</v>
      </c>
      <c r="K396" s="154">
        <v>0</v>
      </c>
      <c r="L396" s="154">
        <v>0</v>
      </c>
      <c r="M396" s="154">
        <v>0</v>
      </c>
      <c r="O396" s="104"/>
      <c r="Q396" s="332"/>
      <c r="R396" s="332"/>
      <c r="S396" s="332"/>
      <c r="T396" s="332"/>
      <c r="U396" s="332"/>
      <c r="V396" s="332"/>
      <c r="W396" s="332"/>
      <c r="X396" s="332"/>
      <c r="Y396" s="332"/>
      <c r="Z396" s="332"/>
      <c r="AA396" s="332"/>
      <c r="AB396" s="332"/>
      <c r="AC396" s="332"/>
      <c r="AD396" s="332"/>
      <c r="AE396" s="332"/>
    </row>
    <row r="397" spans="1:31" x14ac:dyDescent="0.25">
      <c r="A397" s="527">
        <f>ROW()</f>
        <v>397</v>
      </c>
      <c r="C397" s="196"/>
      <c r="D397" s="196"/>
      <c r="E397" s="196"/>
      <c r="F397" s="196"/>
      <c r="G397" s="174"/>
      <c r="H397" s="695"/>
      <c r="I397" s="695"/>
      <c r="J397" s="695"/>
      <c r="K397" s="695"/>
      <c r="L397" s="695"/>
      <c r="M397" s="695"/>
      <c r="O397" s="104"/>
      <c r="Q397" s="332"/>
      <c r="R397" s="332"/>
      <c r="S397" s="332"/>
      <c r="T397" s="332"/>
      <c r="U397" s="332"/>
      <c r="V397" s="332"/>
      <c r="W397" s="332"/>
      <c r="X397" s="332"/>
      <c r="Y397" s="332"/>
      <c r="Z397" s="332"/>
      <c r="AA397" s="332"/>
      <c r="AB397" s="332"/>
      <c r="AC397" s="332"/>
      <c r="AD397" s="332"/>
      <c r="AE397" s="332"/>
    </row>
    <row r="398" spans="1:31" ht="15.75" x14ac:dyDescent="0.25">
      <c r="A398" s="527">
        <f>ROW()</f>
        <v>398</v>
      </c>
      <c r="B398" s="696" t="s">
        <v>502</v>
      </c>
      <c r="C398" s="697"/>
      <c r="D398" s="696"/>
      <c r="E398" s="696"/>
      <c r="F398" s="696"/>
      <c r="G398" s="698">
        <f>SUM(G394,G283,G258,G271,G297,G396)*((1+$C$68)^G8-1)</f>
        <v>0</v>
      </c>
      <c r="H398" s="698">
        <f>SUM(H394,H283,H258,H271,H297,H396)*((1+$C$68)^H8-1)</f>
        <v>0</v>
      </c>
      <c r="I398" s="697">
        <f>SUM(I394,I283,I258,I271,I297,I396)*((1+$C$68)^I8-1)</f>
        <v>0</v>
      </c>
      <c r="J398" s="697">
        <f t="shared" ref="J398:M398" si="85">SUM(J394,J283,J258,J271,J297,J396)*((1+$C$68)^J8-1)</f>
        <v>0</v>
      </c>
      <c r="K398" s="697">
        <f t="shared" si="85"/>
        <v>0</v>
      </c>
      <c r="L398" s="697">
        <f t="shared" si="85"/>
        <v>0</v>
      </c>
      <c r="M398" s="697">
        <f t="shared" si="85"/>
        <v>0</v>
      </c>
      <c r="O398" s="104"/>
      <c r="Q398" s="332"/>
      <c r="R398" s="332"/>
      <c r="S398" s="332"/>
      <c r="T398" s="332"/>
      <c r="U398" s="332"/>
      <c r="V398" s="332"/>
      <c r="W398" s="332"/>
      <c r="X398" s="332"/>
      <c r="Y398" s="332"/>
      <c r="Z398" s="332"/>
      <c r="AA398" s="332"/>
      <c r="AB398" s="332"/>
      <c r="AC398" s="332"/>
      <c r="AD398" s="332"/>
      <c r="AE398" s="332"/>
    </row>
    <row r="399" spans="1:31" ht="15.75" thickBot="1" x14ac:dyDescent="0.3">
      <c r="A399" s="527">
        <f>ROW()</f>
        <v>399</v>
      </c>
      <c r="C399" s="196"/>
      <c r="D399" s="196"/>
      <c r="E399" s="196"/>
      <c r="F399" s="196"/>
      <c r="G399" s="100"/>
      <c r="H399" s="100"/>
      <c r="I399" s="100"/>
      <c r="J399" s="100"/>
      <c r="K399" s="100"/>
      <c r="L399" s="100"/>
      <c r="M399" s="100"/>
      <c r="O399" s="104"/>
      <c r="Q399" s="332"/>
      <c r="R399" s="332"/>
      <c r="S399" s="332"/>
      <c r="T399" s="332"/>
      <c r="U399" s="332"/>
      <c r="V399" s="332"/>
      <c r="W399" s="332"/>
      <c r="X399" s="332"/>
      <c r="Y399" s="332"/>
      <c r="Z399" s="332"/>
      <c r="AA399" s="332"/>
      <c r="AB399" s="332"/>
      <c r="AC399" s="332"/>
      <c r="AD399" s="332"/>
      <c r="AE399" s="332"/>
    </row>
    <row r="400" spans="1:31" ht="15.75" thickBot="1" x14ac:dyDescent="0.3">
      <c r="A400" s="527">
        <f>ROW()</f>
        <v>400</v>
      </c>
      <c r="B400" s="699" t="s">
        <v>461</v>
      </c>
      <c r="C400" s="700">
        <f>SUM(G400:M400)</f>
        <v>78099762.859999985</v>
      </c>
      <c r="D400" s="701"/>
      <c r="E400" s="701"/>
      <c r="F400" s="701"/>
      <c r="G400" s="700">
        <f t="shared" ref="G400:M400" si="86">G394+G283+G258+G271+G297+G396+G398</f>
        <v>11157108.979999999</v>
      </c>
      <c r="H400" s="700">
        <f t="shared" si="86"/>
        <v>11157108.979999999</v>
      </c>
      <c r="I400" s="700">
        <f t="shared" si="86"/>
        <v>11157108.979999999</v>
      </c>
      <c r="J400" s="700">
        <f t="shared" si="86"/>
        <v>11157108.979999999</v>
      </c>
      <c r="K400" s="700">
        <f t="shared" si="86"/>
        <v>11157108.979999999</v>
      </c>
      <c r="L400" s="700">
        <f t="shared" si="86"/>
        <v>11157108.979999999</v>
      </c>
      <c r="M400" s="700">
        <f t="shared" si="86"/>
        <v>11157108.979999999</v>
      </c>
      <c r="O400" s="104"/>
      <c r="Q400" s="332"/>
      <c r="R400" s="332"/>
      <c r="S400" s="332"/>
      <c r="T400" s="332"/>
      <c r="U400" s="332"/>
      <c r="V400" s="332"/>
      <c r="W400" s="332"/>
      <c r="X400" s="332"/>
      <c r="Y400" s="332"/>
      <c r="Z400" s="332"/>
      <c r="AA400" s="332"/>
      <c r="AB400" s="332"/>
      <c r="AC400" s="332"/>
      <c r="AD400" s="332"/>
      <c r="AE400" s="332"/>
    </row>
    <row r="401" spans="1:31" x14ac:dyDescent="0.25">
      <c r="A401" s="527">
        <f>ROW()</f>
        <v>401</v>
      </c>
      <c r="C401" s="126"/>
      <c r="G401" s="161"/>
      <c r="H401" s="702"/>
      <c r="I401" s="702"/>
      <c r="J401" s="702"/>
      <c r="K401" s="702"/>
      <c r="L401" s="702"/>
      <c r="M401" s="702"/>
      <c r="N401" s="196"/>
      <c r="O401" s="104"/>
      <c r="Q401" s="332"/>
      <c r="R401" s="332"/>
      <c r="S401" s="332"/>
      <c r="T401" s="332"/>
      <c r="U401" s="332"/>
      <c r="V401" s="332"/>
      <c r="W401" s="332"/>
      <c r="X401" s="332"/>
      <c r="Y401" s="332"/>
      <c r="Z401" s="332"/>
      <c r="AA401" s="332"/>
      <c r="AB401" s="332"/>
      <c r="AC401" s="332"/>
      <c r="AD401" s="332"/>
      <c r="AE401" s="332"/>
    </row>
    <row r="402" spans="1:31" ht="15.75" x14ac:dyDescent="0.25">
      <c r="A402" s="527">
        <f>ROW()</f>
        <v>402</v>
      </c>
      <c r="B402" s="703" t="s">
        <v>462</v>
      </c>
      <c r="C402" s="704"/>
      <c r="D402" s="703"/>
      <c r="E402" s="703"/>
      <c r="F402" s="703"/>
      <c r="G402" s="705"/>
      <c r="H402" s="706"/>
      <c r="I402" s="706"/>
      <c r="J402" s="706"/>
      <c r="K402" s="706"/>
      <c r="L402" s="706"/>
      <c r="M402" s="706"/>
      <c r="N402" s="707"/>
      <c r="O402" s="104"/>
      <c r="Q402" s="332"/>
      <c r="R402" s="332"/>
      <c r="S402" s="332"/>
      <c r="T402" s="332"/>
      <c r="U402" s="332"/>
      <c r="V402" s="332"/>
      <c r="W402" s="332"/>
      <c r="X402" s="332"/>
      <c r="Y402" s="332"/>
      <c r="Z402" s="332"/>
      <c r="AA402" s="332"/>
      <c r="AB402" s="332"/>
      <c r="AC402" s="332"/>
      <c r="AD402" s="332"/>
      <c r="AE402" s="332"/>
    </row>
    <row r="403" spans="1:31" ht="15.75" x14ac:dyDescent="0.25">
      <c r="A403" s="527">
        <f>ROW()</f>
        <v>403</v>
      </c>
      <c r="B403" s="688"/>
      <c r="C403" s="708"/>
      <c r="D403" s="688"/>
      <c r="E403" s="688"/>
      <c r="F403" s="688"/>
      <c r="G403" s="161"/>
      <c r="H403" s="702"/>
      <c r="I403" s="702"/>
      <c r="J403" s="702"/>
      <c r="K403" s="702"/>
      <c r="L403" s="702"/>
      <c r="M403" s="702"/>
      <c r="N403" s="707"/>
      <c r="O403" s="104"/>
      <c r="Q403" s="332"/>
      <c r="R403" s="332"/>
      <c r="S403" s="332"/>
      <c r="T403" s="332"/>
      <c r="U403" s="332"/>
      <c r="V403" s="332"/>
      <c r="W403" s="332"/>
      <c r="X403" s="332"/>
      <c r="Y403" s="332"/>
      <c r="Z403" s="332"/>
      <c r="AA403" s="332"/>
      <c r="AB403" s="332"/>
      <c r="AC403" s="332"/>
      <c r="AD403" s="332"/>
      <c r="AE403" s="332"/>
    </row>
    <row r="404" spans="1:31" ht="15.75" x14ac:dyDescent="0.25">
      <c r="A404" s="527">
        <f>ROW()</f>
        <v>404</v>
      </c>
      <c r="B404" s="696" t="s">
        <v>463</v>
      </c>
      <c r="C404" s="697"/>
      <c r="D404" s="696"/>
      <c r="E404" s="696"/>
      <c r="F404" s="696"/>
      <c r="G404" s="709"/>
      <c r="H404" s="710"/>
      <c r="I404" s="710"/>
      <c r="J404" s="710"/>
      <c r="K404" s="710"/>
      <c r="L404" s="710"/>
      <c r="M404" s="710"/>
      <c r="N404" s="707"/>
      <c r="O404" s="104"/>
      <c r="Q404" s="332"/>
      <c r="R404" s="332"/>
      <c r="S404" s="332"/>
      <c r="T404" s="332"/>
      <c r="U404" s="332"/>
      <c r="V404" s="332"/>
      <c r="W404" s="332"/>
      <c r="X404" s="332"/>
      <c r="Y404" s="332"/>
      <c r="Z404" s="332"/>
      <c r="AA404" s="332"/>
      <c r="AB404" s="332"/>
      <c r="AC404" s="332"/>
      <c r="AD404" s="332"/>
      <c r="AE404" s="332"/>
    </row>
    <row r="405" spans="1:31" ht="15.75" x14ac:dyDescent="0.25">
      <c r="A405" s="527">
        <f>ROW()</f>
        <v>405</v>
      </c>
      <c r="B405" s="491" t="s">
        <v>617</v>
      </c>
      <c r="C405" s="711"/>
      <c r="D405" s="491"/>
      <c r="E405" s="180"/>
      <c r="F405" s="180"/>
      <c r="G405" s="181">
        <f t="shared" ref="G405:M405" si="87">IFERROR((G23*$C$58*((1+$C$68)^(G$10-$G$10))),0)</f>
        <v>1402200</v>
      </c>
      <c r="H405" s="712">
        <f t="shared" si="87"/>
        <v>1402200</v>
      </c>
      <c r="I405" s="181">
        <f t="shared" si="87"/>
        <v>1402200</v>
      </c>
      <c r="J405" s="181">
        <f t="shared" si="87"/>
        <v>1402200</v>
      </c>
      <c r="K405" s="181">
        <f t="shared" si="87"/>
        <v>1402200</v>
      </c>
      <c r="L405" s="181">
        <f t="shared" si="87"/>
        <v>1402200</v>
      </c>
      <c r="M405" s="181">
        <f t="shared" si="87"/>
        <v>1402200</v>
      </c>
      <c r="N405" s="707"/>
      <c r="O405" s="104"/>
      <c r="Q405" s="332"/>
      <c r="R405" s="332"/>
      <c r="S405" s="332"/>
      <c r="T405" s="332"/>
      <c r="U405" s="332"/>
      <c r="V405" s="332"/>
      <c r="W405" s="332"/>
      <c r="X405" s="332"/>
      <c r="Y405" s="332"/>
      <c r="Z405" s="332"/>
      <c r="AA405" s="332"/>
      <c r="AB405" s="332"/>
      <c r="AC405" s="332"/>
      <c r="AD405" s="332"/>
      <c r="AE405" s="332"/>
    </row>
    <row r="406" spans="1:31" ht="15.75" x14ac:dyDescent="0.25">
      <c r="A406" s="527">
        <f>ROW()</f>
        <v>406</v>
      </c>
      <c r="B406" s="688"/>
      <c r="C406" s="713"/>
      <c r="D406" s="714"/>
      <c r="E406" s="688"/>
      <c r="F406" s="688"/>
      <c r="G406" s="117"/>
      <c r="H406" s="117"/>
      <c r="I406" s="117"/>
      <c r="J406" s="117"/>
      <c r="K406" s="117"/>
      <c r="L406" s="117"/>
      <c r="M406" s="117"/>
      <c r="N406" s="707"/>
      <c r="O406" s="104"/>
      <c r="Q406" s="332"/>
      <c r="R406" s="332"/>
      <c r="S406" s="332"/>
      <c r="T406" s="332"/>
      <c r="U406" s="332"/>
      <c r="V406" s="332"/>
      <c r="W406" s="332"/>
      <c r="X406" s="332"/>
      <c r="Y406" s="332"/>
      <c r="Z406" s="332"/>
      <c r="AA406" s="332"/>
      <c r="AB406" s="332"/>
      <c r="AC406" s="332"/>
      <c r="AD406" s="332"/>
      <c r="AE406" s="332"/>
    </row>
    <row r="407" spans="1:31" ht="15.75" x14ac:dyDescent="0.25">
      <c r="A407" s="527">
        <f>ROW()</f>
        <v>407</v>
      </c>
      <c r="B407" s="696" t="s">
        <v>618</v>
      </c>
      <c r="C407" s="697"/>
      <c r="D407" s="696"/>
      <c r="E407" s="696"/>
      <c r="F407" s="696"/>
      <c r="G407" s="709"/>
      <c r="H407" s="710"/>
      <c r="I407" s="710"/>
      <c r="J407" s="710"/>
      <c r="K407" s="710"/>
      <c r="L407" s="710"/>
      <c r="M407" s="710"/>
      <c r="N407" s="707"/>
      <c r="O407" s="104"/>
      <c r="Q407" s="332"/>
      <c r="R407" s="332"/>
      <c r="S407" s="332"/>
      <c r="T407" s="332"/>
      <c r="U407" s="332"/>
      <c r="V407" s="332"/>
      <c r="W407" s="332"/>
      <c r="X407" s="332"/>
      <c r="Y407" s="332"/>
      <c r="Z407" s="332"/>
      <c r="AA407" s="332"/>
      <c r="AB407" s="332"/>
      <c r="AC407" s="332"/>
      <c r="AD407" s="332"/>
      <c r="AE407" s="332"/>
    </row>
    <row r="408" spans="1:31" ht="15.75" x14ac:dyDescent="0.25">
      <c r="A408" s="527">
        <f>ROW()</f>
        <v>408</v>
      </c>
      <c r="B408" s="715" t="s">
        <v>619</v>
      </c>
      <c r="C408" s="716"/>
      <c r="D408" s="715"/>
      <c r="E408" s="717"/>
      <c r="F408" s="717"/>
      <c r="G408" s="181">
        <f t="shared" ref="G408:M408" si="88">G400*$C$59</f>
        <v>161778.08020999999</v>
      </c>
      <c r="H408" s="181">
        <f t="shared" si="88"/>
        <v>161778.08020999999</v>
      </c>
      <c r="I408" s="181">
        <f t="shared" si="88"/>
        <v>161778.08020999999</v>
      </c>
      <c r="J408" s="181">
        <f t="shared" si="88"/>
        <v>161778.08020999999</v>
      </c>
      <c r="K408" s="181">
        <f t="shared" si="88"/>
        <v>161778.08020999999</v>
      </c>
      <c r="L408" s="181">
        <f t="shared" si="88"/>
        <v>161778.08020999999</v>
      </c>
      <c r="M408" s="181">
        <f t="shared" si="88"/>
        <v>161778.08020999999</v>
      </c>
      <c r="N408" s="707"/>
      <c r="O408" s="104"/>
      <c r="Q408" s="332"/>
      <c r="R408" s="332"/>
      <c r="S408" s="332"/>
      <c r="T408" s="332"/>
      <c r="U408" s="332"/>
      <c r="V408" s="332"/>
      <c r="W408" s="332"/>
      <c r="X408" s="332"/>
      <c r="Y408" s="332"/>
      <c r="Z408" s="332"/>
      <c r="AA408" s="332"/>
      <c r="AB408" s="332"/>
      <c r="AC408" s="332"/>
      <c r="AD408" s="332"/>
      <c r="AE408" s="332"/>
    </row>
    <row r="409" spans="1:31" ht="15.75" x14ac:dyDescent="0.25">
      <c r="A409" s="527">
        <f>ROW()</f>
        <v>409</v>
      </c>
      <c r="B409" s="688"/>
      <c r="C409" s="713"/>
      <c r="D409" s="714"/>
      <c r="E409" s="688"/>
      <c r="F409" s="688"/>
      <c r="G409" s="718"/>
      <c r="H409" s="718"/>
      <c r="I409" s="718"/>
      <c r="J409" s="718"/>
      <c r="K409" s="718"/>
      <c r="L409" s="718"/>
      <c r="M409" s="718"/>
      <c r="N409" s="707"/>
      <c r="O409" s="104"/>
      <c r="Q409" s="332"/>
      <c r="R409" s="332"/>
      <c r="S409" s="332"/>
      <c r="T409" s="332"/>
      <c r="U409" s="332"/>
      <c r="V409" s="332"/>
      <c r="W409" s="332"/>
      <c r="X409" s="332"/>
      <c r="Y409" s="332"/>
      <c r="Z409" s="332"/>
      <c r="AA409" s="332"/>
      <c r="AB409" s="332"/>
      <c r="AC409" s="332"/>
      <c r="AD409" s="332"/>
      <c r="AE409" s="332"/>
    </row>
    <row r="410" spans="1:31" ht="15.75" x14ac:dyDescent="0.25">
      <c r="A410" s="527">
        <f>ROW()</f>
        <v>410</v>
      </c>
      <c r="B410" s="696" t="s">
        <v>620</v>
      </c>
      <c r="C410" s="697"/>
      <c r="D410" s="696"/>
      <c r="E410" s="696"/>
      <c r="F410" s="696"/>
      <c r="G410" s="709"/>
      <c r="H410" s="710"/>
      <c r="I410" s="710"/>
      <c r="J410" s="710"/>
      <c r="K410" s="710"/>
      <c r="L410" s="710"/>
      <c r="M410" s="710"/>
      <c r="N410" s="707"/>
      <c r="O410" s="104"/>
      <c r="Q410" s="332"/>
      <c r="R410" s="332"/>
      <c r="S410" s="332"/>
      <c r="T410" s="332"/>
      <c r="U410" s="332"/>
      <c r="V410" s="332"/>
      <c r="W410" s="332"/>
      <c r="X410" s="332"/>
      <c r="Y410" s="332"/>
      <c r="Z410" s="332"/>
      <c r="AA410" s="332"/>
      <c r="AB410" s="332"/>
      <c r="AC410" s="332"/>
      <c r="AD410" s="332"/>
      <c r="AE410" s="332"/>
    </row>
    <row r="411" spans="1:31" ht="15.75" x14ac:dyDescent="0.25">
      <c r="A411" s="527">
        <f>ROW()</f>
        <v>411</v>
      </c>
      <c r="B411" s="715" t="s">
        <v>621</v>
      </c>
      <c r="C411" s="716"/>
      <c r="D411" s="715"/>
      <c r="E411" s="717"/>
      <c r="F411" s="717"/>
      <c r="G411" s="181">
        <f t="shared" ref="G411:M411" si="89">G400*$C$60</f>
        <v>3737631.5082999999</v>
      </c>
      <c r="H411" s="181">
        <f t="shared" si="89"/>
        <v>3737631.5082999999</v>
      </c>
      <c r="I411" s="181">
        <f t="shared" si="89"/>
        <v>3737631.5082999999</v>
      </c>
      <c r="J411" s="181">
        <f t="shared" si="89"/>
        <v>3737631.5082999999</v>
      </c>
      <c r="K411" s="181">
        <f t="shared" si="89"/>
        <v>3737631.5082999999</v>
      </c>
      <c r="L411" s="181">
        <f t="shared" si="89"/>
        <v>3737631.5082999999</v>
      </c>
      <c r="M411" s="181">
        <f t="shared" si="89"/>
        <v>3737631.5082999999</v>
      </c>
      <c r="N411" s="707"/>
      <c r="O411" s="104"/>
      <c r="Q411" s="332"/>
      <c r="R411" s="332"/>
      <c r="S411" s="332"/>
      <c r="T411" s="332"/>
      <c r="U411" s="332"/>
      <c r="V411" s="332"/>
      <c r="W411" s="332"/>
      <c r="X411" s="332"/>
      <c r="Y411" s="332"/>
      <c r="Z411" s="332"/>
      <c r="AA411" s="332"/>
      <c r="AB411" s="332"/>
      <c r="AC411" s="332"/>
      <c r="AD411" s="332"/>
      <c r="AE411" s="332"/>
    </row>
    <row r="412" spans="1:31" ht="15.75" x14ac:dyDescent="0.25">
      <c r="A412" s="527">
        <f>ROW()</f>
        <v>412</v>
      </c>
      <c r="B412" s="688"/>
      <c r="C412" s="713"/>
      <c r="D412" s="714"/>
      <c r="E412" s="688"/>
      <c r="F412" s="688"/>
      <c r="G412" s="161"/>
      <c r="H412" s="117"/>
      <c r="I412" s="117"/>
      <c r="J412" s="117"/>
      <c r="K412" s="117"/>
      <c r="L412" s="117"/>
      <c r="M412" s="117"/>
      <c r="N412" s="707"/>
      <c r="O412" s="104"/>
      <c r="Q412" s="332"/>
      <c r="R412" s="332"/>
      <c r="S412" s="332"/>
      <c r="T412" s="332"/>
      <c r="U412" s="332"/>
      <c r="V412" s="332"/>
      <c r="W412" s="332"/>
      <c r="X412" s="332"/>
      <c r="Y412" s="332"/>
      <c r="Z412" s="332"/>
      <c r="AA412" s="332"/>
      <c r="AB412" s="332"/>
      <c r="AC412" s="332"/>
      <c r="AD412" s="332"/>
      <c r="AE412" s="332"/>
    </row>
    <row r="413" spans="1:31" ht="15.75" x14ac:dyDescent="0.25">
      <c r="A413" s="527">
        <f>ROW()</f>
        <v>413</v>
      </c>
      <c r="B413" s="696" t="s">
        <v>490</v>
      </c>
      <c r="C413" s="697"/>
      <c r="D413" s="696"/>
      <c r="E413" s="696"/>
      <c r="F413" s="696"/>
      <c r="G413" s="709"/>
      <c r="H413" s="710"/>
      <c r="I413" s="710"/>
      <c r="J413" s="710"/>
      <c r="K413" s="710"/>
      <c r="L413" s="710"/>
      <c r="M413" s="710"/>
      <c r="N413" s="707"/>
      <c r="O413" s="104"/>
      <c r="Q413" s="332"/>
      <c r="R413" s="332"/>
      <c r="S413" s="332"/>
      <c r="T413" s="332"/>
      <c r="U413" s="332"/>
      <c r="V413" s="332"/>
      <c r="W413" s="332"/>
      <c r="X413" s="332"/>
      <c r="Y413" s="332"/>
      <c r="Z413" s="332"/>
      <c r="AA413" s="332"/>
      <c r="AB413" s="332"/>
      <c r="AC413" s="332"/>
      <c r="AD413" s="332"/>
      <c r="AE413" s="332"/>
    </row>
    <row r="414" spans="1:31" ht="15.75" x14ac:dyDescent="0.25">
      <c r="A414" s="527">
        <f>ROW()</f>
        <v>414</v>
      </c>
      <c r="B414" s="715" t="s">
        <v>622</v>
      </c>
      <c r="C414" s="716"/>
      <c r="D414" s="715"/>
      <c r="E414" s="717"/>
      <c r="F414" s="717"/>
      <c r="G414" s="181">
        <f t="shared" ref="G414:M414" si="90">G400*$C$61</f>
        <v>66942.653879999998</v>
      </c>
      <c r="H414" s="181">
        <f t="shared" si="90"/>
        <v>66942.653879999998</v>
      </c>
      <c r="I414" s="181">
        <f t="shared" si="90"/>
        <v>66942.653879999998</v>
      </c>
      <c r="J414" s="181">
        <f t="shared" si="90"/>
        <v>66942.653879999998</v>
      </c>
      <c r="K414" s="181">
        <f t="shared" si="90"/>
        <v>66942.653879999998</v>
      </c>
      <c r="L414" s="181">
        <f t="shared" si="90"/>
        <v>66942.653879999998</v>
      </c>
      <c r="M414" s="181">
        <f t="shared" si="90"/>
        <v>66942.653879999998</v>
      </c>
      <c r="N414" s="707"/>
      <c r="O414" s="104"/>
      <c r="Q414" s="332"/>
      <c r="R414" s="332"/>
      <c r="S414" s="332"/>
      <c r="T414" s="332"/>
      <c r="U414" s="332"/>
      <c r="V414" s="332"/>
      <c r="W414" s="332"/>
      <c r="X414" s="332"/>
      <c r="Y414" s="332"/>
      <c r="Z414" s="332"/>
      <c r="AA414" s="332"/>
      <c r="AB414" s="332"/>
      <c r="AC414" s="332"/>
      <c r="AD414" s="332"/>
      <c r="AE414" s="332"/>
    </row>
    <row r="415" spans="1:31" ht="15.75" x14ac:dyDescent="0.25">
      <c r="A415" s="527">
        <f>ROW()</f>
        <v>415</v>
      </c>
      <c r="B415" s="38"/>
      <c r="C415" s="523"/>
      <c r="D415" s="38"/>
      <c r="G415" s="161"/>
      <c r="H415" s="203"/>
      <c r="I415" s="203"/>
      <c r="J415" s="203"/>
      <c r="K415" s="203"/>
      <c r="L415" s="203"/>
      <c r="M415" s="203"/>
      <c r="N415" s="707"/>
      <c r="O415" s="104"/>
      <c r="Q415" s="332"/>
      <c r="R415" s="332"/>
      <c r="S415" s="332"/>
      <c r="T415" s="332"/>
      <c r="U415" s="332"/>
      <c r="V415" s="332"/>
      <c r="W415" s="332"/>
      <c r="X415" s="332"/>
      <c r="Y415" s="332"/>
      <c r="Z415" s="332"/>
      <c r="AA415" s="332"/>
      <c r="AB415" s="332"/>
      <c r="AC415" s="332"/>
      <c r="AD415" s="332"/>
      <c r="AE415" s="332"/>
    </row>
    <row r="416" spans="1:31" ht="15.75" x14ac:dyDescent="0.25">
      <c r="A416" s="527">
        <f>ROW()</f>
        <v>416</v>
      </c>
      <c r="B416" s="696" t="s">
        <v>623</v>
      </c>
      <c r="C416" s="697"/>
      <c r="D416" s="696"/>
      <c r="E416" s="696"/>
      <c r="F416" s="696"/>
      <c r="G416" s="709"/>
      <c r="H416" s="710"/>
      <c r="I416" s="710"/>
      <c r="J416" s="710"/>
      <c r="K416" s="710"/>
      <c r="L416" s="710"/>
      <c r="M416" s="710"/>
      <c r="N416" s="707"/>
      <c r="O416" s="104"/>
      <c r="Q416" s="332"/>
      <c r="R416" s="332"/>
      <c r="S416" s="332"/>
      <c r="T416" s="332"/>
      <c r="U416" s="332"/>
      <c r="V416" s="332"/>
      <c r="W416" s="332"/>
      <c r="X416" s="332"/>
      <c r="Y416" s="332"/>
      <c r="Z416" s="332"/>
      <c r="AA416" s="332"/>
      <c r="AB416" s="332"/>
      <c r="AC416" s="332"/>
      <c r="AD416" s="332"/>
      <c r="AE416" s="332"/>
    </row>
    <row r="417" spans="1:31" ht="15.75" x14ac:dyDescent="0.25">
      <c r="A417" s="527">
        <f>ROW()</f>
        <v>417</v>
      </c>
      <c r="B417" s="538" t="s">
        <v>624</v>
      </c>
      <c r="C417" s="711"/>
      <c r="D417" s="491"/>
      <c r="E417" s="180"/>
      <c r="F417" s="180"/>
      <c r="G417" s="181">
        <f t="shared" ref="G417:M417" si="91">G23*$C$62</f>
        <v>0</v>
      </c>
      <c r="H417" s="181">
        <f t="shared" si="91"/>
        <v>0</v>
      </c>
      <c r="I417" s="181">
        <f t="shared" si="91"/>
        <v>0</v>
      </c>
      <c r="J417" s="181">
        <f t="shared" si="91"/>
        <v>0</v>
      </c>
      <c r="K417" s="181">
        <f t="shared" si="91"/>
        <v>0</v>
      </c>
      <c r="L417" s="181">
        <f t="shared" si="91"/>
        <v>0</v>
      </c>
      <c r="M417" s="181">
        <f t="shared" si="91"/>
        <v>0</v>
      </c>
      <c r="N417" s="707"/>
      <c r="O417" s="104"/>
      <c r="Q417" s="332"/>
      <c r="R417" s="332"/>
      <c r="S417" s="332"/>
      <c r="T417" s="332"/>
      <c r="U417" s="332"/>
      <c r="V417" s="332"/>
      <c r="W417" s="332"/>
      <c r="X417" s="332"/>
      <c r="Y417" s="332"/>
      <c r="Z417" s="332"/>
      <c r="AA417" s="332"/>
      <c r="AB417" s="332"/>
      <c r="AC417" s="332"/>
      <c r="AD417" s="332"/>
      <c r="AE417" s="332"/>
    </row>
    <row r="418" spans="1:31" ht="15.75" x14ac:dyDescent="0.25">
      <c r="A418" s="527">
        <f>ROW()</f>
        <v>418</v>
      </c>
      <c r="B418" s="38"/>
      <c r="C418" s="523"/>
      <c r="D418" s="38"/>
      <c r="G418" s="161"/>
      <c r="H418" s="203"/>
      <c r="I418" s="203"/>
      <c r="J418" s="203"/>
      <c r="K418" s="203"/>
      <c r="L418" s="203"/>
      <c r="M418" s="203"/>
      <c r="N418" s="707"/>
      <c r="O418" s="104"/>
      <c r="Q418" s="332"/>
      <c r="R418" s="332"/>
      <c r="S418" s="332"/>
      <c r="T418" s="332"/>
      <c r="U418" s="332"/>
      <c r="V418" s="332"/>
      <c r="W418" s="332"/>
      <c r="X418" s="332"/>
      <c r="Y418" s="332"/>
      <c r="Z418" s="332"/>
      <c r="AA418" s="332"/>
      <c r="AB418" s="332"/>
      <c r="AC418" s="332"/>
      <c r="AD418" s="332"/>
      <c r="AE418" s="332"/>
    </row>
    <row r="419" spans="1:31" ht="15.75" x14ac:dyDescent="0.25">
      <c r="A419" s="527">
        <f>ROW()</f>
        <v>419</v>
      </c>
      <c r="B419" s="696" t="s">
        <v>625</v>
      </c>
      <c r="C419" s="697"/>
      <c r="D419" s="696"/>
      <c r="E419" s="696"/>
      <c r="F419" s="696"/>
      <c r="G419" s="709"/>
      <c r="H419" s="710"/>
      <c r="I419" s="710"/>
      <c r="J419" s="710"/>
      <c r="K419" s="710"/>
      <c r="L419" s="710"/>
      <c r="M419" s="710"/>
      <c r="N419" s="707"/>
      <c r="O419" s="104"/>
      <c r="Q419" s="332"/>
      <c r="R419" s="332"/>
      <c r="S419" s="332"/>
      <c r="T419" s="332"/>
      <c r="U419" s="332"/>
      <c r="V419" s="332"/>
      <c r="W419" s="332"/>
      <c r="X419" s="332"/>
      <c r="Y419" s="332"/>
      <c r="Z419" s="332"/>
      <c r="AA419" s="332"/>
      <c r="AB419" s="332"/>
      <c r="AC419" s="332"/>
      <c r="AD419" s="332"/>
      <c r="AE419" s="332"/>
    </row>
    <row r="420" spans="1:31" ht="15.75" x14ac:dyDescent="0.25">
      <c r="A420" s="527">
        <f>ROW()</f>
        <v>420</v>
      </c>
      <c r="B420" s="491" t="s">
        <v>626</v>
      </c>
      <c r="C420" s="711"/>
      <c r="D420" s="491"/>
      <c r="E420" s="180"/>
      <c r="F420" s="180"/>
      <c r="G420" s="181">
        <f>G400*$C$63</f>
        <v>59976.549371152381</v>
      </c>
      <c r="H420" s="181">
        <f t="shared" ref="H420:M420" si="92">H400*$C$63</f>
        <v>59976.549371152381</v>
      </c>
      <c r="I420" s="181">
        <f t="shared" si="92"/>
        <v>59976.549371152381</v>
      </c>
      <c r="J420" s="181">
        <f t="shared" si="92"/>
        <v>59976.549371152381</v>
      </c>
      <c r="K420" s="181">
        <f t="shared" si="92"/>
        <v>59976.549371152381</v>
      </c>
      <c r="L420" s="181">
        <f t="shared" si="92"/>
        <v>59976.549371152381</v>
      </c>
      <c r="M420" s="181">
        <f t="shared" si="92"/>
        <v>59976.549371152381</v>
      </c>
      <c r="N420" s="707"/>
      <c r="O420" s="104"/>
      <c r="Q420" s="332"/>
      <c r="R420" s="332"/>
      <c r="S420" s="332"/>
      <c r="T420" s="332"/>
      <c r="U420" s="332"/>
      <c r="V420" s="332"/>
      <c r="W420" s="332"/>
      <c r="X420" s="332"/>
      <c r="Y420" s="332"/>
      <c r="Z420" s="332"/>
      <c r="AA420" s="332"/>
      <c r="AB420" s="332"/>
      <c r="AC420" s="332"/>
      <c r="AD420" s="332"/>
      <c r="AE420" s="332"/>
    </row>
    <row r="421" spans="1:31" x14ac:dyDescent="0.25">
      <c r="A421" s="527">
        <f>ROW()</f>
        <v>421</v>
      </c>
      <c r="B421" s="38"/>
      <c r="C421" s="523"/>
      <c r="D421" s="38"/>
      <c r="G421" s="203"/>
      <c r="H421" s="203"/>
      <c r="I421" s="203"/>
      <c r="J421" s="203"/>
      <c r="K421" s="203"/>
      <c r="L421" s="203"/>
      <c r="M421" s="203"/>
      <c r="O421" s="104"/>
      <c r="Q421" s="332"/>
      <c r="R421" s="332"/>
      <c r="S421" s="332"/>
      <c r="T421" s="332"/>
      <c r="U421" s="332"/>
      <c r="V421" s="332"/>
      <c r="W421" s="332"/>
      <c r="X421" s="332"/>
      <c r="Y421" s="332"/>
      <c r="Z421" s="332"/>
      <c r="AA421" s="332"/>
      <c r="AB421" s="332"/>
      <c r="AC421" s="332"/>
      <c r="AD421" s="332"/>
      <c r="AE421" s="332"/>
    </row>
    <row r="422" spans="1:31" ht="15.75" x14ac:dyDescent="0.25">
      <c r="A422" s="527">
        <f>ROW()</f>
        <v>422</v>
      </c>
      <c r="B422" s="696" t="s">
        <v>497</v>
      </c>
      <c r="C422" s="697"/>
      <c r="D422" s="696"/>
      <c r="E422" s="696"/>
      <c r="F422" s="696"/>
      <c r="G422" s="709"/>
      <c r="H422" s="710"/>
      <c r="I422" s="710"/>
      <c r="J422" s="710"/>
      <c r="K422" s="710"/>
      <c r="L422" s="710"/>
      <c r="M422" s="710"/>
      <c r="O422" s="104"/>
      <c r="Q422" s="332"/>
      <c r="R422" s="332"/>
      <c r="S422" s="332"/>
      <c r="T422" s="332"/>
      <c r="U422" s="332"/>
      <c r="V422" s="332"/>
      <c r="W422" s="332"/>
      <c r="X422" s="332"/>
      <c r="Y422" s="332"/>
      <c r="Z422" s="332"/>
      <c r="AA422" s="332"/>
      <c r="AB422" s="332"/>
      <c r="AC422" s="332"/>
      <c r="AD422" s="332"/>
      <c r="AE422" s="332"/>
    </row>
    <row r="423" spans="1:31" x14ac:dyDescent="0.25">
      <c r="A423" s="527">
        <f>ROW()</f>
        <v>423</v>
      </c>
      <c r="B423" s="491" t="s">
        <v>627</v>
      </c>
      <c r="C423" s="711"/>
      <c r="D423" s="491"/>
      <c r="E423" s="180"/>
      <c r="F423" s="180"/>
      <c r="G423" s="181">
        <f>G400*$C$64</f>
        <v>19942.941293363478</v>
      </c>
      <c r="H423" s="181">
        <f t="shared" ref="H423:M423" si="93">H400*$C$64</f>
        <v>19942.941293363478</v>
      </c>
      <c r="I423" s="181">
        <f t="shared" si="93"/>
        <v>19942.941293363478</v>
      </c>
      <c r="J423" s="181">
        <f t="shared" si="93"/>
        <v>19942.941293363478</v>
      </c>
      <c r="K423" s="181">
        <f t="shared" si="93"/>
        <v>19942.941293363478</v>
      </c>
      <c r="L423" s="181">
        <f t="shared" si="93"/>
        <v>19942.941293363478</v>
      </c>
      <c r="M423" s="181">
        <f t="shared" si="93"/>
        <v>19942.941293363478</v>
      </c>
      <c r="O423" s="104"/>
      <c r="Q423" s="332"/>
      <c r="R423" s="332"/>
      <c r="S423" s="332"/>
      <c r="T423" s="332"/>
      <c r="U423" s="332"/>
      <c r="V423" s="332"/>
      <c r="W423" s="332"/>
      <c r="X423" s="332"/>
      <c r="Y423" s="332"/>
      <c r="Z423" s="332"/>
      <c r="AA423" s="332"/>
      <c r="AB423" s="332"/>
      <c r="AC423" s="332"/>
      <c r="AD423" s="332"/>
      <c r="AE423" s="332"/>
    </row>
    <row r="424" spans="1:31" ht="15.75" thickBot="1" x14ac:dyDescent="0.3">
      <c r="A424" s="527">
        <f>ROW()</f>
        <v>424</v>
      </c>
      <c r="C424" s="126"/>
      <c r="E424" s="29"/>
      <c r="F424" s="29"/>
      <c r="G424" s="161"/>
      <c r="H424" s="100"/>
      <c r="I424" s="100"/>
      <c r="J424" s="100"/>
      <c r="K424" s="100"/>
      <c r="L424" s="100"/>
      <c r="M424" s="100"/>
      <c r="O424" s="104"/>
      <c r="Q424" s="332"/>
      <c r="R424" s="332"/>
      <c r="S424" s="332"/>
      <c r="T424" s="332"/>
      <c r="U424" s="332"/>
      <c r="V424" s="332"/>
      <c r="W424" s="332"/>
      <c r="X424" s="332"/>
      <c r="Y424" s="332"/>
      <c r="Z424" s="332"/>
      <c r="AA424" s="332"/>
      <c r="AB424" s="332"/>
      <c r="AC424" s="332"/>
      <c r="AD424" s="332"/>
      <c r="AE424" s="332"/>
    </row>
    <row r="425" spans="1:31" ht="15.75" thickBot="1" x14ac:dyDescent="0.3">
      <c r="A425" s="527">
        <f>ROW()</f>
        <v>425</v>
      </c>
      <c r="B425" s="699" t="s">
        <v>628</v>
      </c>
      <c r="C425" s="700"/>
      <c r="D425" s="701"/>
      <c r="E425" s="701"/>
      <c r="F425" s="701"/>
      <c r="G425" s="700">
        <f t="shared" ref="G425:M425" si="94">G420+G417+G414+G411+G408+G405+G423</f>
        <v>5448471.7330545159</v>
      </c>
      <c r="H425" s="700">
        <f t="shared" si="94"/>
        <v>5448471.7330545159</v>
      </c>
      <c r="I425" s="700">
        <f t="shared" si="94"/>
        <v>5448471.7330545159</v>
      </c>
      <c r="J425" s="700">
        <f t="shared" si="94"/>
        <v>5448471.7330545159</v>
      </c>
      <c r="K425" s="700">
        <f t="shared" si="94"/>
        <v>5448471.7330545159</v>
      </c>
      <c r="L425" s="700">
        <f t="shared" si="94"/>
        <v>5448471.7330545159</v>
      </c>
      <c r="M425" s="700">
        <f t="shared" si="94"/>
        <v>5448471.7330545159</v>
      </c>
      <c r="O425" s="104"/>
      <c r="Q425" s="332"/>
      <c r="R425" s="332"/>
      <c r="S425" s="332"/>
      <c r="T425" s="332"/>
      <c r="U425" s="332"/>
      <c r="V425" s="332"/>
      <c r="W425" s="332"/>
      <c r="X425" s="332"/>
      <c r="Y425" s="332"/>
      <c r="Z425" s="332"/>
      <c r="AA425" s="332"/>
      <c r="AB425" s="332"/>
      <c r="AC425" s="332"/>
      <c r="AD425" s="332"/>
      <c r="AE425" s="332"/>
    </row>
    <row r="426" spans="1:31" x14ac:dyDescent="0.25">
      <c r="A426" s="527">
        <f>ROW()</f>
        <v>426</v>
      </c>
      <c r="B426" s="37" t="s">
        <v>629</v>
      </c>
      <c r="C426" s="128"/>
      <c r="D426" s="37"/>
      <c r="E426" s="37"/>
      <c r="F426" s="37"/>
      <c r="G426" s="719">
        <f>IFERROR(G425/G400,0)</f>
        <v>0.48834081864946671</v>
      </c>
      <c r="H426" s="719">
        <f t="shared" ref="H426:M426" si="95">IF(OR(H425=0,H400=0),0,H425/H400)</f>
        <v>0.48834081864946671</v>
      </c>
      <c r="I426" s="719">
        <f t="shared" si="95"/>
        <v>0.48834081864946671</v>
      </c>
      <c r="J426" s="719">
        <f t="shared" si="95"/>
        <v>0.48834081864946671</v>
      </c>
      <c r="K426" s="719">
        <f t="shared" si="95"/>
        <v>0.48834081864946671</v>
      </c>
      <c r="L426" s="719">
        <f t="shared" si="95"/>
        <v>0.48834081864946671</v>
      </c>
      <c r="M426" s="719">
        <f t="shared" si="95"/>
        <v>0.48834081864946671</v>
      </c>
      <c r="N426" s="37"/>
      <c r="O426" s="104"/>
      <c r="Q426" s="332"/>
      <c r="R426" s="332"/>
      <c r="S426" s="332"/>
      <c r="T426" s="332"/>
      <c r="U426" s="332"/>
      <c r="V426" s="332"/>
      <c r="W426" s="332"/>
      <c r="X426" s="332"/>
      <c r="Y426" s="332"/>
      <c r="Z426" s="332"/>
      <c r="AA426" s="332"/>
      <c r="AB426" s="332"/>
      <c r="AC426" s="332"/>
      <c r="AD426" s="332"/>
      <c r="AE426" s="332"/>
    </row>
    <row r="427" spans="1:31" x14ac:dyDescent="0.25">
      <c r="A427" s="527">
        <f>ROW()</f>
        <v>427</v>
      </c>
      <c r="C427" s="126"/>
      <c r="G427" s="332"/>
      <c r="H427" s="332"/>
      <c r="I427" s="332"/>
      <c r="J427" s="332"/>
      <c r="K427" s="332"/>
      <c r="L427" s="332"/>
      <c r="M427" s="332"/>
      <c r="O427" s="104"/>
      <c r="Q427" s="332"/>
      <c r="R427" s="332"/>
      <c r="S427" s="332"/>
      <c r="T427" s="332"/>
      <c r="U427" s="332"/>
      <c r="V427" s="332"/>
      <c r="W427" s="332"/>
      <c r="X427" s="332"/>
      <c r="Y427" s="332"/>
      <c r="Z427" s="332"/>
      <c r="AA427" s="332"/>
      <c r="AB427" s="332"/>
      <c r="AC427" s="332"/>
      <c r="AD427" s="332"/>
      <c r="AE427" s="332"/>
    </row>
    <row r="428" spans="1:31" x14ac:dyDescent="0.25">
      <c r="A428" s="527">
        <f>ROW()</f>
        <v>428</v>
      </c>
      <c r="B428" s="720" t="s">
        <v>630</v>
      </c>
      <c r="C428" s="721"/>
      <c r="D428" s="722"/>
      <c r="E428" s="722"/>
      <c r="F428" s="722"/>
      <c r="G428" s="723"/>
      <c r="H428" s="723"/>
      <c r="I428" s="723"/>
      <c r="J428" s="723"/>
      <c r="K428" s="723"/>
      <c r="L428" s="723"/>
      <c r="M428" s="723"/>
      <c r="O428" s="104"/>
      <c r="Q428" s="332"/>
      <c r="R428" s="332"/>
      <c r="S428" s="332"/>
      <c r="T428" s="332"/>
      <c r="U428" s="332"/>
      <c r="V428" s="332"/>
      <c r="W428" s="332"/>
      <c r="X428" s="332"/>
      <c r="Y428" s="332"/>
      <c r="Z428" s="332"/>
      <c r="AA428" s="332"/>
      <c r="AB428" s="332"/>
      <c r="AC428" s="332"/>
      <c r="AD428" s="332"/>
      <c r="AE428" s="332"/>
    </row>
    <row r="429" spans="1:31" x14ac:dyDescent="0.25">
      <c r="A429" s="527">
        <f>ROW()</f>
        <v>429</v>
      </c>
      <c r="C429" s="126" t="s">
        <v>631</v>
      </c>
      <c r="G429" s="332"/>
      <c r="H429" s="332"/>
      <c r="I429" s="332"/>
      <c r="J429" s="332"/>
      <c r="K429" s="332"/>
      <c r="L429" s="332"/>
      <c r="M429" s="332"/>
      <c r="O429" s="104"/>
      <c r="Q429" s="332"/>
      <c r="R429" s="332"/>
      <c r="S429" s="332"/>
      <c r="T429" s="332"/>
      <c r="U429" s="332"/>
      <c r="V429" s="332"/>
      <c r="W429" s="332"/>
      <c r="X429" s="332"/>
      <c r="Y429" s="332"/>
      <c r="Z429" s="332"/>
      <c r="AA429" s="332"/>
      <c r="AB429" s="332"/>
      <c r="AC429" s="332"/>
      <c r="AD429" s="332"/>
      <c r="AE429" s="332"/>
    </row>
    <row r="430" spans="1:31" x14ac:dyDescent="0.25">
      <c r="A430" s="527">
        <f>ROW()</f>
        <v>430</v>
      </c>
      <c r="B430" s="42" t="s">
        <v>632</v>
      </c>
      <c r="C430" s="126"/>
      <c r="G430" s="332"/>
      <c r="H430" s="332"/>
      <c r="I430" s="332"/>
      <c r="J430" s="332"/>
      <c r="K430" s="332"/>
      <c r="L430" s="332"/>
      <c r="M430" s="332"/>
      <c r="O430" s="104"/>
      <c r="Q430" s="332"/>
      <c r="R430" s="332"/>
      <c r="S430" s="332"/>
      <c r="T430" s="332"/>
      <c r="U430" s="332"/>
      <c r="V430" s="332"/>
      <c r="W430" s="332"/>
      <c r="X430" s="332"/>
      <c r="Y430" s="332"/>
      <c r="Z430" s="332"/>
      <c r="AA430" s="332"/>
      <c r="AB430" s="332"/>
      <c r="AC430" s="332"/>
      <c r="AD430" s="332"/>
      <c r="AE430" s="332"/>
    </row>
    <row r="431" spans="1:31" x14ac:dyDescent="0.25">
      <c r="A431" s="527">
        <f>ROW()</f>
        <v>431</v>
      </c>
      <c r="B431" s="42" t="s">
        <v>633</v>
      </c>
      <c r="C431" s="126"/>
      <c r="G431" s="724">
        <v>0</v>
      </c>
      <c r="H431" s="724">
        <v>0</v>
      </c>
      <c r="I431" s="724">
        <v>0</v>
      </c>
      <c r="J431" s="724">
        <v>0</v>
      </c>
      <c r="K431" s="724">
        <v>0</v>
      </c>
      <c r="L431" s="724">
        <v>0</v>
      </c>
      <c r="M431" s="724">
        <v>0</v>
      </c>
      <c r="O431" s="104"/>
      <c r="Q431" s="332"/>
      <c r="R431" s="332"/>
      <c r="S431" s="332"/>
      <c r="T431" s="332"/>
      <c r="U431" s="332"/>
      <c r="V431" s="332"/>
      <c r="W431" s="332"/>
      <c r="X431" s="332"/>
      <c r="Y431" s="332"/>
      <c r="Z431" s="332"/>
      <c r="AA431" s="332"/>
      <c r="AB431" s="332"/>
      <c r="AC431" s="332"/>
      <c r="AD431" s="332"/>
      <c r="AE431" s="332"/>
    </row>
    <row r="432" spans="1:31" x14ac:dyDescent="0.25">
      <c r="A432" s="527">
        <f>ROW()</f>
        <v>432</v>
      </c>
      <c r="B432" s="42" t="s">
        <v>634</v>
      </c>
      <c r="C432" s="725">
        <v>0</v>
      </c>
      <c r="G432" s="112">
        <f>$C$432*G431</f>
        <v>0</v>
      </c>
      <c r="H432" s="112">
        <f t="shared" ref="H432:M432" si="96">$C$432*H431</f>
        <v>0</v>
      </c>
      <c r="I432" s="112">
        <f t="shared" si="96"/>
        <v>0</v>
      </c>
      <c r="J432" s="112">
        <f t="shared" si="96"/>
        <v>0</v>
      </c>
      <c r="K432" s="112">
        <f t="shared" si="96"/>
        <v>0</v>
      </c>
      <c r="L432" s="112">
        <f t="shared" si="96"/>
        <v>0</v>
      </c>
      <c r="M432" s="112">
        <f t="shared" si="96"/>
        <v>0</v>
      </c>
      <c r="O432" s="104"/>
      <c r="Q432" s="332"/>
      <c r="R432" s="332"/>
      <c r="S432" s="332"/>
      <c r="T432" s="332"/>
      <c r="U432" s="332"/>
      <c r="V432" s="332"/>
      <c r="W432" s="332"/>
      <c r="X432" s="332"/>
      <c r="Y432" s="332"/>
      <c r="Z432" s="332"/>
      <c r="AA432" s="332"/>
      <c r="AB432" s="332"/>
      <c r="AC432" s="332"/>
      <c r="AD432" s="332"/>
      <c r="AE432" s="332"/>
    </row>
    <row r="433" spans="1:31" x14ac:dyDescent="0.25">
      <c r="A433" s="527">
        <f>ROW()</f>
        <v>433</v>
      </c>
      <c r="C433" s="523"/>
      <c r="D433" s="726"/>
      <c r="G433" s="100"/>
      <c r="H433" s="100"/>
      <c r="I433" s="100"/>
      <c r="J433" s="100"/>
      <c r="K433" s="100"/>
      <c r="L433" s="100"/>
      <c r="M433" s="100"/>
      <c r="O433" s="104"/>
      <c r="Q433" s="332"/>
      <c r="R433" s="332"/>
      <c r="S433" s="332"/>
      <c r="T433" s="332"/>
      <c r="U433" s="332"/>
      <c r="V433" s="332"/>
      <c r="W433" s="332"/>
      <c r="X433" s="332"/>
      <c r="Y433" s="332"/>
      <c r="Z433" s="332"/>
      <c r="AA433" s="332"/>
      <c r="AB433" s="332"/>
      <c r="AC433" s="332"/>
      <c r="AD433" s="332"/>
      <c r="AE433" s="332"/>
    </row>
    <row r="434" spans="1:31" x14ac:dyDescent="0.25">
      <c r="A434" s="527">
        <f>ROW()</f>
        <v>434</v>
      </c>
      <c r="B434" s="42" t="s">
        <v>635</v>
      </c>
      <c r="C434" s="126"/>
      <c r="G434" s="100"/>
      <c r="H434" s="100"/>
      <c r="I434" s="100"/>
      <c r="J434" s="100"/>
      <c r="K434" s="100"/>
      <c r="L434" s="100"/>
      <c r="M434" s="100"/>
      <c r="O434" s="104"/>
      <c r="Q434" s="332"/>
      <c r="R434" s="332"/>
      <c r="S434" s="332"/>
      <c r="T434" s="332"/>
      <c r="U434" s="332"/>
      <c r="V434" s="332"/>
      <c r="W434" s="332"/>
      <c r="X434" s="332"/>
      <c r="Y434" s="332"/>
      <c r="Z434" s="332"/>
      <c r="AA434" s="332"/>
      <c r="AB434" s="332"/>
      <c r="AC434" s="332"/>
      <c r="AD434" s="332"/>
      <c r="AE434" s="332"/>
    </row>
    <row r="435" spans="1:31" x14ac:dyDescent="0.25">
      <c r="A435" s="527">
        <f>ROW()</f>
        <v>435</v>
      </c>
      <c r="B435" s="42" t="s">
        <v>636</v>
      </c>
      <c r="C435" s="126"/>
      <c r="G435" s="727">
        <v>0</v>
      </c>
      <c r="H435" s="727">
        <v>0</v>
      </c>
      <c r="I435" s="727">
        <v>0</v>
      </c>
      <c r="J435" s="727">
        <v>0</v>
      </c>
      <c r="K435" s="727">
        <v>0</v>
      </c>
      <c r="L435" s="727">
        <v>0</v>
      </c>
      <c r="M435" s="727">
        <v>0</v>
      </c>
      <c r="O435" s="104"/>
      <c r="Q435" s="332"/>
      <c r="R435" s="332"/>
      <c r="S435" s="332"/>
      <c r="T435" s="332"/>
      <c r="U435" s="332"/>
      <c r="V435" s="332"/>
      <c r="W435" s="332"/>
      <c r="X435" s="332"/>
      <c r="Y435" s="332"/>
      <c r="Z435" s="332"/>
      <c r="AA435" s="332"/>
      <c r="AB435" s="332"/>
      <c r="AC435" s="332"/>
      <c r="AD435" s="332"/>
      <c r="AE435" s="332"/>
    </row>
    <row r="436" spans="1:31" x14ac:dyDescent="0.25">
      <c r="A436" s="527">
        <f>ROW()</f>
        <v>436</v>
      </c>
      <c r="B436" s="42" t="s">
        <v>634</v>
      </c>
      <c r="C436" s="725">
        <v>0</v>
      </c>
      <c r="G436" s="112">
        <f t="shared" ref="G436:M436" si="97">$C$436*G435</f>
        <v>0</v>
      </c>
      <c r="H436" s="112">
        <f t="shared" si="97"/>
        <v>0</v>
      </c>
      <c r="I436" s="112">
        <f t="shared" si="97"/>
        <v>0</v>
      </c>
      <c r="J436" s="112">
        <f t="shared" si="97"/>
        <v>0</v>
      </c>
      <c r="K436" s="112">
        <f t="shared" si="97"/>
        <v>0</v>
      </c>
      <c r="L436" s="112">
        <f t="shared" si="97"/>
        <v>0</v>
      </c>
      <c r="M436" s="112">
        <f t="shared" si="97"/>
        <v>0</v>
      </c>
      <c r="O436" s="104"/>
      <c r="Q436" s="332"/>
      <c r="R436" s="332"/>
      <c r="S436" s="332"/>
      <c r="T436" s="332"/>
      <c r="U436" s="332"/>
      <c r="V436" s="332"/>
      <c r="W436" s="332"/>
      <c r="X436" s="332"/>
      <c r="Y436" s="332"/>
      <c r="Z436" s="332"/>
      <c r="AA436" s="332"/>
      <c r="AB436" s="332"/>
      <c r="AC436" s="332"/>
      <c r="AD436" s="332"/>
      <c r="AE436" s="332"/>
    </row>
    <row r="437" spans="1:31" x14ac:dyDescent="0.25">
      <c r="A437" s="527">
        <f>ROW()</f>
        <v>437</v>
      </c>
      <c r="C437" s="126"/>
      <c r="G437" s="100"/>
      <c r="H437" s="100"/>
      <c r="I437" s="100"/>
      <c r="J437" s="100"/>
      <c r="K437" s="100"/>
      <c r="L437" s="100"/>
      <c r="M437" s="100"/>
      <c r="O437" s="104"/>
      <c r="Q437" s="332"/>
      <c r="R437" s="332"/>
      <c r="S437" s="332"/>
      <c r="T437" s="332"/>
      <c r="U437" s="332"/>
      <c r="V437" s="332"/>
      <c r="W437" s="332"/>
      <c r="X437" s="332"/>
      <c r="Y437" s="332"/>
      <c r="Z437" s="332"/>
      <c r="AA437" s="332"/>
      <c r="AB437" s="332"/>
      <c r="AC437" s="332"/>
      <c r="AD437" s="332"/>
      <c r="AE437" s="332"/>
    </row>
    <row r="438" spans="1:31" x14ac:dyDescent="0.25">
      <c r="A438" s="527">
        <f>ROW()</f>
        <v>438</v>
      </c>
      <c r="B438" s="42" t="s">
        <v>637</v>
      </c>
      <c r="C438" s="126"/>
      <c r="G438" s="100"/>
      <c r="H438" s="100"/>
      <c r="I438" s="100"/>
      <c r="J438" s="100"/>
      <c r="K438" s="100"/>
      <c r="L438" s="100"/>
      <c r="M438" s="100"/>
      <c r="O438" s="104"/>
      <c r="Q438" s="332"/>
      <c r="R438" s="332"/>
      <c r="S438" s="332"/>
      <c r="T438" s="332"/>
      <c r="U438" s="332"/>
      <c r="V438" s="332"/>
      <c r="W438" s="332"/>
      <c r="X438" s="332"/>
      <c r="Y438" s="332"/>
      <c r="Z438" s="332"/>
      <c r="AA438" s="332"/>
      <c r="AB438" s="332"/>
      <c r="AC438" s="332"/>
      <c r="AD438" s="332"/>
      <c r="AE438" s="332"/>
    </row>
    <row r="439" spans="1:31" x14ac:dyDescent="0.25">
      <c r="A439" s="527">
        <f>ROW()</f>
        <v>439</v>
      </c>
      <c r="B439" s="42" t="s">
        <v>636</v>
      </c>
      <c r="C439" s="126"/>
      <c r="G439" s="727">
        <v>0</v>
      </c>
      <c r="H439" s="727">
        <v>0</v>
      </c>
      <c r="I439" s="727">
        <v>0</v>
      </c>
      <c r="J439" s="727">
        <v>0</v>
      </c>
      <c r="K439" s="727">
        <v>0</v>
      </c>
      <c r="L439" s="727">
        <v>0</v>
      </c>
      <c r="M439" s="727">
        <v>0</v>
      </c>
      <c r="O439" s="104"/>
      <c r="Q439" s="332"/>
      <c r="R439" s="332"/>
      <c r="S439" s="332"/>
      <c r="T439" s="332"/>
      <c r="U439" s="332"/>
      <c r="V439" s="332"/>
      <c r="W439" s="332"/>
      <c r="X439" s="332"/>
      <c r="Y439" s="332"/>
      <c r="Z439" s="332"/>
      <c r="AA439" s="332"/>
      <c r="AB439" s="332"/>
      <c r="AC439" s="332"/>
      <c r="AD439" s="332"/>
      <c r="AE439" s="332"/>
    </row>
    <row r="440" spans="1:31" x14ac:dyDescent="0.25">
      <c r="A440" s="527">
        <f>ROW()</f>
        <v>440</v>
      </c>
      <c r="B440" s="42" t="s">
        <v>634</v>
      </c>
      <c r="C440" s="725">
        <v>0</v>
      </c>
      <c r="G440" s="112">
        <f>$C$440*G439</f>
        <v>0</v>
      </c>
      <c r="H440" s="112">
        <f>$C$440*H439</f>
        <v>0</v>
      </c>
      <c r="I440" s="112">
        <f>$C$440*I439</f>
        <v>0</v>
      </c>
      <c r="J440" s="112">
        <f>I440*' Enrol &amp; Rev'!$C$97</f>
        <v>0</v>
      </c>
      <c r="K440" s="112">
        <f>J440*' Enrol &amp; Rev'!$C$97</f>
        <v>0</v>
      </c>
      <c r="L440" s="112">
        <f>K440*' Enrol &amp; Rev'!$C$97</f>
        <v>0</v>
      </c>
      <c r="M440" s="112">
        <f>L440*' Enrol &amp; Rev'!$C$97</f>
        <v>0</v>
      </c>
      <c r="O440" s="104"/>
      <c r="Q440" s="332"/>
      <c r="R440" s="332"/>
      <c r="S440" s="332"/>
      <c r="T440" s="332"/>
      <c r="U440" s="332"/>
      <c r="V440" s="332"/>
      <c r="W440" s="332"/>
      <c r="X440" s="332"/>
      <c r="Y440" s="332"/>
      <c r="Z440" s="332"/>
      <c r="AA440" s="332"/>
      <c r="AB440" s="332"/>
      <c r="AC440" s="332"/>
      <c r="AD440" s="332"/>
      <c r="AE440" s="332"/>
    </row>
    <row r="441" spans="1:31" x14ac:dyDescent="0.25">
      <c r="A441" s="527">
        <f>ROW()</f>
        <v>441</v>
      </c>
      <c r="C441" s="126"/>
      <c r="G441" s="100"/>
      <c r="H441" s="100"/>
      <c r="I441" s="100"/>
      <c r="J441" s="100"/>
      <c r="K441" s="100"/>
      <c r="L441" s="100"/>
      <c r="M441" s="100"/>
      <c r="O441" s="104"/>
      <c r="Q441" s="332"/>
      <c r="R441" s="332"/>
      <c r="S441" s="332"/>
      <c r="T441" s="332"/>
      <c r="U441" s="332"/>
      <c r="V441" s="332"/>
      <c r="W441" s="332"/>
      <c r="X441" s="332"/>
      <c r="Y441" s="332"/>
      <c r="Z441" s="332"/>
      <c r="AA441" s="332"/>
      <c r="AB441" s="332"/>
      <c r="AC441" s="332"/>
      <c r="AD441" s="332"/>
      <c r="AE441" s="332"/>
    </row>
    <row r="442" spans="1:31" x14ac:dyDescent="0.25">
      <c r="A442" s="527">
        <f>ROW()</f>
        <v>442</v>
      </c>
      <c r="B442" s="42" t="s">
        <v>638</v>
      </c>
      <c r="C442" s="126"/>
      <c r="G442" s="100"/>
      <c r="H442" s="100"/>
      <c r="I442" s="100"/>
      <c r="J442" s="100"/>
      <c r="K442" s="100"/>
      <c r="L442" s="100"/>
      <c r="M442" s="100"/>
      <c r="O442" s="104"/>
      <c r="Q442" s="332"/>
      <c r="R442" s="332"/>
      <c r="S442" s="332"/>
      <c r="T442" s="332"/>
      <c r="U442" s="332"/>
      <c r="V442" s="332"/>
      <c r="W442" s="332"/>
      <c r="X442" s="332"/>
      <c r="Y442" s="332"/>
      <c r="Z442" s="332"/>
      <c r="AA442" s="332"/>
      <c r="AB442" s="332"/>
      <c r="AC442" s="332"/>
      <c r="AD442" s="332"/>
      <c r="AE442" s="332"/>
    </row>
    <row r="443" spans="1:31" x14ac:dyDescent="0.25">
      <c r="A443" s="527">
        <f>ROW()</f>
        <v>443</v>
      </c>
      <c r="B443" s="42" t="s">
        <v>636</v>
      </c>
      <c r="C443" s="126"/>
      <c r="G443" s="727">
        <v>0</v>
      </c>
      <c r="H443" s="727">
        <v>0</v>
      </c>
      <c r="I443" s="727">
        <v>0</v>
      </c>
      <c r="J443" s="727">
        <v>0</v>
      </c>
      <c r="K443" s="727">
        <v>0</v>
      </c>
      <c r="L443" s="727">
        <v>0</v>
      </c>
      <c r="M443" s="727">
        <v>0</v>
      </c>
      <c r="O443" s="104"/>
      <c r="Q443" s="332"/>
      <c r="R443" s="332"/>
      <c r="S443" s="332"/>
      <c r="T443" s="332"/>
      <c r="U443" s="332"/>
      <c r="V443" s="332"/>
      <c r="W443" s="332"/>
      <c r="X443" s="332"/>
      <c r="Y443" s="332"/>
      <c r="Z443" s="332"/>
      <c r="AA443" s="332"/>
      <c r="AB443" s="332"/>
      <c r="AC443" s="332"/>
      <c r="AD443" s="332"/>
      <c r="AE443" s="332"/>
    </row>
    <row r="444" spans="1:31" x14ac:dyDescent="0.25">
      <c r="A444" s="527">
        <f>ROW()</f>
        <v>444</v>
      </c>
      <c r="B444" s="42" t="s">
        <v>634</v>
      </c>
      <c r="C444" s="725">
        <v>0</v>
      </c>
      <c r="G444" s="112">
        <f t="shared" ref="G444:M444" si="98">$C$444*G443</f>
        <v>0</v>
      </c>
      <c r="H444" s="112">
        <f t="shared" si="98"/>
        <v>0</v>
      </c>
      <c r="I444" s="112">
        <f t="shared" si="98"/>
        <v>0</v>
      </c>
      <c r="J444" s="112">
        <f t="shared" si="98"/>
        <v>0</v>
      </c>
      <c r="K444" s="112">
        <f t="shared" si="98"/>
        <v>0</v>
      </c>
      <c r="L444" s="112">
        <f t="shared" si="98"/>
        <v>0</v>
      </c>
      <c r="M444" s="112">
        <f t="shared" si="98"/>
        <v>0</v>
      </c>
      <c r="O444" s="104"/>
      <c r="Q444" s="332"/>
      <c r="R444" s="332"/>
      <c r="S444" s="332"/>
      <c r="T444" s="332"/>
      <c r="U444" s="332"/>
      <c r="V444" s="332"/>
      <c r="W444" s="332"/>
      <c r="X444" s="332"/>
      <c r="Y444" s="332"/>
      <c r="Z444" s="332"/>
      <c r="AA444" s="332"/>
      <c r="AB444" s="332"/>
      <c r="AC444" s="332"/>
      <c r="AD444" s="332"/>
      <c r="AE444" s="332"/>
    </row>
    <row r="445" spans="1:31" x14ac:dyDescent="0.25">
      <c r="A445" s="527">
        <f>ROW()</f>
        <v>445</v>
      </c>
      <c r="C445" s="126"/>
      <c r="G445" s="100"/>
      <c r="H445" s="100"/>
      <c r="I445" s="100"/>
      <c r="J445" s="100"/>
      <c r="K445" s="100"/>
      <c r="L445" s="100"/>
      <c r="M445" s="100"/>
      <c r="O445" s="104"/>
      <c r="Q445" s="332"/>
      <c r="R445" s="332"/>
      <c r="S445" s="332"/>
      <c r="T445" s="332"/>
      <c r="U445" s="332"/>
      <c r="V445" s="332"/>
      <c r="W445" s="332"/>
      <c r="X445" s="332"/>
      <c r="Y445" s="332"/>
      <c r="Z445" s="332"/>
      <c r="AA445" s="332"/>
      <c r="AB445" s="332"/>
      <c r="AC445" s="332"/>
      <c r="AD445" s="332"/>
      <c r="AE445" s="332"/>
    </row>
    <row r="446" spans="1:31" x14ac:dyDescent="0.25">
      <c r="A446" s="527">
        <f>ROW()</f>
        <v>446</v>
      </c>
      <c r="B446" s="42" t="s">
        <v>639</v>
      </c>
      <c r="C446" s="126"/>
      <c r="G446" s="100"/>
      <c r="H446" s="100"/>
      <c r="I446" s="100"/>
      <c r="J446" s="100"/>
      <c r="K446" s="100"/>
      <c r="L446" s="100"/>
      <c r="M446" s="100"/>
      <c r="O446" s="104"/>
      <c r="Q446" s="332"/>
      <c r="R446" s="332"/>
      <c r="S446" s="332"/>
      <c r="T446" s="332"/>
      <c r="U446" s="332"/>
      <c r="V446" s="332"/>
      <c r="W446" s="332"/>
      <c r="X446" s="332"/>
      <c r="Y446" s="332"/>
      <c r="Z446" s="332"/>
      <c r="AA446" s="332"/>
      <c r="AB446" s="332"/>
      <c r="AC446" s="332"/>
      <c r="AD446" s="332"/>
      <c r="AE446" s="332"/>
    </row>
    <row r="447" spans="1:31" x14ac:dyDescent="0.25">
      <c r="A447" s="527">
        <f>ROW()</f>
        <v>447</v>
      </c>
      <c r="B447" s="42" t="s">
        <v>636</v>
      </c>
      <c r="C447" s="126"/>
      <c r="G447" s="727">
        <v>0</v>
      </c>
      <c r="H447" s="727">
        <v>0</v>
      </c>
      <c r="I447" s="727">
        <v>0</v>
      </c>
      <c r="J447" s="727">
        <v>0</v>
      </c>
      <c r="K447" s="727">
        <v>0</v>
      </c>
      <c r="L447" s="727">
        <v>0</v>
      </c>
      <c r="M447" s="727">
        <v>0</v>
      </c>
      <c r="O447" s="104"/>
      <c r="Q447" s="332"/>
      <c r="R447" s="332"/>
      <c r="S447" s="332"/>
      <c r="T447" s="332"/>
      <c r="U447" s="332"/>
      <c r="V447" s="332"/>
      <c r="W447" s="332"/>
      <c r="X447" s="332"/>
      <c r="Y447" s="332"/>
      <c r="Z447" s="332"/>
      <c r="AA447" s="332"/>
      <c r="AB447" s="332"/>
      <c r="AC447" s="332"/>
      <c r="AD447" s="332"/>
      <c r="AE447" s="332"/>
    </row>
    <row r="448" spans="1:31" x14ac:dyDescent="0.25">
      <c r="A448" s="527">
        <f>ROW()</f>
        <v>448</v>
      </c>
      <c r="B448" s="42" t="s">
        <v>634</v>
      </c>
      <c r="C448" s="725">
        <v>0</v>
      </c>
      <c r="G448" s="112">
        <f t="shared" ref="G448:M448" si="99">$C$448*G447</f>
        <v>0</v>
      </c>
      <c r="H448" s="112">
        <f t="shared" si="99"/>
        <v>0</v>
      </c>
      <c r="I448" s="112">
        <f t="shared" si="99"/>
        <v>0</v>
      </c>
      <c r="J448" s="112">
        <f t="shared" si="99"/>
        <v>0</v>
      </c>
      <c r="K448" s="112">
        <f t="shared" si="99"/>
        <v>0</v>
      </c>
      <c r="L448" s="112">
        <f t="shared" si="99"/>
        <v>0</v>
      </c>
      <c r="M448" s="112">
        <f t="shared" si="99"/>
        <v>0</v>
      </c>
      <c r="O448" s="104"/>
      <c r="Q448" s="332"/>
      <c r="R448" s="332"/>
      <c r="S448" s="332"/>
      <c r="T448" s="332"/>
      <c r="U448" s="332"/>
      <c r="V448" s="332"/>
      <c r="W448" s="332"/>
      <c r="X448" s="332"/>
      <c r="Y448" s="332"/>
      <c r="Z448" s="332"/>
      <c r="AA448" s="332"/>
      <c r="AB448" s="332"/>
      <c r="AC448" s="332"/>
      <c r="AD448" s="332"/>
      <c r="AE448" s="332"/>
    </row>
    <row r="449" spans="1:31" x14ac:dyDescent="0.25">
      <c r="A449" s="527">
        <f>ROW()</f>
        <v>449</v>
      </c>
      <c r="C449" s="126"/>
      <c r="G449" s="100"/>
      <c r="H449" s="100"/>
      <c r="I449" s="100"/>
      <c r="J449" s="100"/>
      <c r="K449" s="100"/>
      <c r="L449" s="100"/>
      <c r="M449" s="100"/>
      <c r="O449" s="104"/>
      <c r="Q449" s="332"/>
      <c r="R449" s="332"/>
      <c r="S449" s="332"/>
      <c r="T449" s="332"/>
      <c r="U449" s="332"/>
      <c r="V449" s="332"/>
      <c r="W449" s="332"/>
      <c r="X449" s="332"/>
      <c r="Y449" s="332"/>
      <c r="Z449" s="332"/>
      <c r="AA449" s="332"/>
      <c r="AB449" s="332"/>
      <c r="AC449" s="332"/>
      <c r="AD449" s="332"/>
      <c r="AE449" s="332"/>
    </row>
    <row r="450" spans="1:31" x14ac:dyDescent="0.25">
      <c r="A450" s="527">
        <f>ROW()</f>
        <v>450</v>
      </c>
      <c r="B450" s="42" t="s">
        <v>640</v>
      </c>
      <c r="C450" s="126"/>
      <c r="G450" s="174">
        <f>G448+G444+G440+G436+G432</f>
        <v>0</v>
      </c>
      <c r="H450" s="174">
        <f>H448+H444+H440+H436+H432</f>
        <v>0</v>
      </c>
      <c r="I450" s="174">
        <f t="shared" ref="I450:M450" si="100">I448+I444+I440+I436+I432</f>
        <v>0</v>
      </c>
      <c r="J450" s="174">
        <f t="shared" si="100"/>
        <v>0</v>
      </c>
      <c r="K450" s="174">
        <f t="shared" si="100"/>
        <v>0</v>
      </c>
      <c r="L450" s="174">
        <f t="shared" si="100"/>
        <v>0</v>
      </c>
      <c r="M450" s="174">
        <f t="shared" si="100"/>
        <v>0</v>
      </c>
      <c r="O450" s="104"/>
      <c r="Q450" s="332"/>
      <c r="R450" s="332"/>
      <c r="S450" s="332"/>
      <c r="T450" s="332"/>
      <c r="U450" s="332"/>
      <c r="V450" s="332"/>
      <c r="W450" s="332"/>
      <c r="X450" s="332"/>
      <c r="Y450" s="332"/>
      <c r="Z450" s="332"/>
      <c r="AA450" s="332"/>
      <c r="AB450" s="332"/>
      <c r="AC450" s="332"/>
      <c r="AD450" s="332"/>
      <c r="AE450" s="332"/>
    </row>
    <row r="451" spans="1:31" x14ac:dyDescent="0.25">
      <c r="A451" s="527">
        <f>ROW()</f>
        <v>451</v>
      </c>
      <c r="C451" s="126"/>
      <c r="G451" s="100"/>
      <c r="H451" s="100"/>
      <c r="I451" s="100"/>
      <c r="J451" s="100"/>
      <c r="K451" s="100"/>
      <c r="L451" s="100"/>
      <c r="M451" s="100"/>
      <c r="O451" s="104"/>
      <c r="Q451" s="332"/>
      <c r="R451" s="332"/>
      <c r="S451" s="332"/>
      <c r="T451" s="332"/>
      <c r="U451" s="332"/>
      <c r="V451" s="332"/>
      <c r="W451" s="332"/>
      <c r="X451" s="332"/>
      <c r="Y451" s="332"/>
      <c r="Z451" s="332"/>
      <c r="AA451" s="332"/>
      <c r="AB451" s="332"/>
      <c r="AC451" s="332"/>
      <c r="AD451" s="332"/>
      <c r="AE451" s="332"/>
    </row>
    <row r="452" spans="1:31" x14ac:dyDescent="0.25">
      <c r="A452" s="527">
        <f>ROW()</f>
        <v>452</v>
      </c>
      <c r="B452" s="42" t="s">
        <v>641</v>
      </c>
      <c r="C452" s="728">
        <v>7.6499999999999999E-2</v>
      </c>
      <c r="G452" s="100">
        <f>+$C$452*G450</f>
        <v>0</v>
      </c>
      <c r="H452" s="100">
        <f>+$C$452*H450</f>
        <v>0</v>
      </c>
      <c r="I452" s="100">
        <f t="shared" ref="I452:M452" si="101">+$C$452*I450</f>
        <v>0</v>
      </c>
      <c r="J452" s="100">
        <f t="shared" si="101"/>
        <v>0</v>
      </c>
      <c r="K452" s="100">
        <f t="shared" si="101"/>
        <v>0</v>
      </c>
      <c r="L452" s="100">
        <f t="shared" si="101"/>
        <v>0</v>
      </c>
      <c r="M452" s="100">
        <f t="shared" si="101"/>
        <v>0</v>
      </c>
      <c r="O452" s="104"/>
      <c r="Q452" s="332"/>
      <c r="R452" s="332"/>
      <c r="S452" s="332"/>
      <c r="T452" s="332"/>
      <c r="U452" s="332"/>
      <c r="V452" s="332"/>
      <c r="W452" s="332"/>
      <c r="X452" s="332"/>
      <c r="Y452" s="332"/>
      <c r="Z452" s="332"/>
      <c r="AA452" s="332"/>
      <c r="AB452" s="332"/>
      <c r="AC452" s="332"/>
      <c r="AD452" s="332"/>
      <c r="AE452" s="332"/>
    </row>
    <row r="453" spans="1:31" x14ac:dyDescent="0.25">
      <c r="A453" s="527"/>
      <c r="C453" s="126"/>
      <c r="G453" s="100"/>
      <c r="H453" s="100"/>
      <c r="I453" s="100"/>
      <c r="J453" s="100"/>
      <c r="K453" s="100"/>
      <c r="L453" s="100"/>
      <c r="M453" s="100"/>
      <c r="O453" s="104"/>
      <c r="Q453" s="332"/>
      <c r="R453" s="332"/>
      <c r="S453" s="332"/>
      <c r="T453" s="332"/>
      <c r="U453" s="332"/>
      <c r="V453" s="332"/>
      <c r="W453" s="332"/>
      <c r="X453" s="332"/>
      <c r="Y453" s="332"/>
      <c r="Z453" s="332"/>
      <c r="AA453" s="332"/>
      <c r="AB453" s="332"/>
      <c r="AC453" s="332"/>
      <c r="AD453" s="332"/>
      <c r="AE453" s="332"/>
    </row>
    <row r="454" spans="1:31" ht="15.75" thickBot="1" x14ac:dyDescent="0.3">
      <c r="A454" s="527"/>
      <c r="C454" s="126"/>
      <c r="G454" s="100"/>
      <c r="H454" s="100"/>
      <c r="I454" s="100"/>
      <c r="J454" s="100"/>
      <c r="K454" s="100"/>
      <c r="L454" s="100"/>
      <c r="M454" s="100"/>
      <c r="O454" s="104"/>
      <c r="Q454" s="332"/>
      <c r="R454" s="332"/>
      <c r="S454" s="332"/>
      <c r="T454" s="332"/>
      <c r="U454" s="332"/>
      <c r="V454" s="332"/>
      <c r="W454" s="332"/>
      <c r="X454" s="332"/>
      <c r="Y454" s="332"/>
      <c r="Z454" s="332"/>
      <c r="AA454" s="332"/>
      <c r="AB454" s="332"/>
      <c r="AC454" s="332"/>
      <c r="AD454" s="332"/>
      <c r="AE454" s="332"/>
    </row>
    <row r="455" spans="1:31" ht="15.75" thickBot="1" x14ac:dyDescent="0.3">
      <c r="A455" s="527">
        <f>ROW()</f>
        <v>455</v>
      </c>
      <c r="B455" s="699" t="s">
        <v>642</v>
      </c>
      <c r="C455" s="700">
        <f>SUM(G455:M455)</f>
        <v>0</v>
      </c>
      <c r="D455" s="729"/>
      <c r="E455" s="729"/>
      <c r="F455" s="729"/>
      <c r="G455" s="700">
        <f t="shared" ref="G455:M455" si="102">G448+G444+G440+G436+G432</f>
        <v>0</v>
      </c>
      <c r="H455" s="700">
        <f t="shared" si="102"/>
        <v>0</v>
      </c>
      <c r="I455" s="700">
        <f t="shared" si="102"/>
        <v>0</v>
      </c>
      <c r="J455" s="700">
        <f t="shared" si="102"/>
        <v>0</v>
      </c>
      <c r="K455" s="700">
        <f t="shared" si="102"/>
        <v>0</v>
      </c>
      <c r="L455" s="700">
        <f t="shared" si="102"/>
        <v>0</v>
      </c>
      <c r="M455" s="700">
        <f t="shared" si="102"/>
        <v>0</v>
      </c>
      <c r="O455" s="104"/>
      <c r="Q455" s="332"/>
      <c r="R455" s="332"/>
      <c r="S455" s="332"/>
      <c r="T455" s="332"/>
      <c r="U455" s="332"/>
      <c r="V455" s="332"/>
      <c r="W455" s="332"/>
      <c r="X455" s="332"/>
      <c r="Y455" s="332"/>
      <c r="Z455" s="332"/>
      <c r="AA455" s="332"/>
      <c r="AB455" s="332"/>
      <c r="AC455" s="332"/>
      <c r="AD455" s="332"/>
      <c r="AE455" s="332"/>
    </row>
    <row r="456" spans="1:31" x14ac:dyDescent="0.25">
      <c r="A456" s="527">
        <f>ROW()</f>
        <v>456</v>
      </c>
      <c r="B456" s="38"/>
      <c r="C456" s="523"/>
      <c r="D456" s="38"/>
      <c r="E456" s="38"/>
      <c r="F456" s="38"/>
      <c r="G456" s="203"/>
      <c r="H456" s="203"/>
      <c r="I456" s="203"/>
      <c r="J456" s="203"/>
      <c r="K456" s="203"/>
      <c r="L456" s="203"/>
      <c r="M456" s="203"/>
      <c r="O456" s="104"/>
      <c r="Q456" s="332"/>
      <c r="R456" s="332"/>
      <c r="S456" s="332"/>
      <c r="T456" s="332"/>
      <c r="U456" s="332"/>
      <c r="V456" s="332"/>
      <c r="W456" s="332"/>
      <c r="X456" s="332"/>
      <c r="Y456" s="332"/>
      <c r="Z456" s="332"/>
      <c r="AA456" s="332"/>
      <c r="AB456" s="332"/>
      <c r="AC456" s="332"/>
      <c r="AD456" s="332"/>
      <c r="AE456" s="332"/>
    </row>
    <row r="457" spans="1:31" x14ac:dyDescent="0.25">
      <c r="A457" s="527">
        <f>ROW()</f>
        <v>457</v>
      </c>
      <c r="B457" s="730" t="s">
        <v>643</v>
      </c>
      <c r="C457" s="711"/>
      <c r="D457" s="491"/>
      <c r="E457" s="491"/>
      <c r="F457" s="491"/>
      <c r="G457" s="731">
        <f t="shared" ref="G457:M457" si="103">SUM(G431,G435,G439,G443,G447)</f>
        <v>0</v>
      </c>
      <c r="H457" s="731">
        <f t="shared" si="103"/>
        <v>0</v>
      </c>
      <c r="I457" s="731">
        <f t="shared" si="103"/>
        <v>0</v>
      </c>
      <c r="J457" s="731">
        <f t="shared" si="103"/>
        <v>0</v>
      </c>
      <c r="K457" s="731">
        <f t="shared" si="103"/>
        <v>0</v>
      </c>
      <c r="L457" s="731">
        <f t="shared" si="103"/>
        <v>0</v>
      </c>
      <c r="M457" s="731">
        <f t="shared" si="103"/>
        <v>0</v>
      </c>
      <c r="O457" s="104"/>
      <c r="Q457" s="332"/>
      <c r="R457" s="332"/>
      <c r="S457" s="332"/>
      <c r="T457" s="332"/>
      <c r="U457" s="332"/>
      <c r="V457" s="332"/>
      <c r="W457" s="332"/>
      <c r="X457" s="332"/>
      <c r="Y457" s="332"/>
      <c r="Z457" s="332"/>
      <c r="AA457" s="332"/>
      <c r="AB457" s="332"/>
      <c r="AC457" s="332"/>
      <c r="AD457" s="332"/>
      <c r="AE457" s="332"/>
    </row>
    <row r="458" spans="1:31" ht="15.75" thickBot="1" x14ac:dyDescent="0.3">
      <c r="A458" s="527">
        <f>ROW()</f>
        <v>458</v>
      </c>
      <c r="B458" s="38"/>
      <c r="C458" s="523"/>
      <c r="D458" s="38"/>
      <c r="E458" s="38"/>
      <c r="F458" s="38"/>
      <c r="G458" s="203"/>
      <c r="H458" s="203"/>
      <c r="I458" s="203"/>
      <c r="J458" s="203"/>
      <c r="K458" s="203"/>
      <c r="L458" s="203"/>
      <c r="M458" s="203"/>
      <c r="O458" s="104"/>
      <c r="Q458" s="332"/>
      <c r="R458" s="332"/>
      <c r="S458" s="332"/>
      <c r="T458" s="332"/>
      <c r="U458" s="332"/>
      <c r="V458" s="332"/>
      <c r="W458" s="332"/>
      <c r="X458" s="332"/>
      <c r="Y458" s="332"/>
      <c r="Z458" s="332"/>
      <c r="AA458" s="332"/>
      <c r="AB458" s="332"/>
      <c r="AC458" s="332"/>
      <c r="AD458" s="332"/>
      <c r="AE458" s="332"/>
    </row>
    <row r="459" spans="1:31" ht="15.75" thickBot="1" x14ac:dyDescent="0.3">
      <c r="A459" s="527">
        <f>ROW()</f>
        <v>459</v>
      </c>
      <c r="B459" s="699" t="s">
        <v>644</v>
      </c>
      <c r="C459" s="700">
        <f>SUM(G459:M459)</f>
        <v>154980</v>
      </c>
      <c r="D459" s="732"/>
      <c r="E459" s="732"/>
      <c r="F459" s="732"/>
      <c r="G459" s="700">
        <f t="shared" ref="G459:M459" si="104">G23*$C$66*12</f>
        <v>22140</v>
      </c>
      <c r="H459" s="700">
        <f t="shared" si="104"/>
        <v>22140</v>
      </c>
      <c r="I459" s="700">
        <f t="shared" si="104"/>
        <v>22140</v>
      </c>
      <c r="J459" s="700">
        <f t="shared" si="104"/>
        <v>22140</v>
      </c>
      <c r="K459" s="700">
        <f t="shared" si="104"/>
        <v>22140</v>
      </c>
      <c r="L459" s="700">
        <f t="shared" si="104"/>
        <v>22140</v>
      </c>
      <c r="M459" s="700">
        <f t="shared" si="104"/>
        <v>22140</v>
      </c>
      <c r="O459" s="104"/>
      <c r="Q459" s="332"/>
      <c r="R459" s="332"/>
      <c r="S459" s="332"/>
      <c r="T459" s="332"/>
      <c r="U459" s="332"/>
      <c r="V459" s="332"/>
      <c r="W459" s="332"/>
      <c r="X459" s="332"/>
      <c r="Y459" s="332"/>
      <c r="Z459" s="332"/>
      <c r="AA459" s="332"/>
      <c r="AB459" s="332"/>
      <c r="AC459" s="332"/>
      <c r="AD459" s="332"/>
      <c r="AE459" s="332"/>
    </row>
    <row r="460" spans="1:31" ht="15.75" thickBot="1" x14ac:dyDescent="0.3">
      <c r="A460" s="527">
        <f>ROW()</f>
        <v>460</v>
      </c>
      <c r="O460" s="104"/>
      <c r="Q460" s="332"/>
      <c r="R460" s="332"/>
      <c r="S460" s="332"/>
      <c r="T460" s="332"/>
      <c r="U460" s="332"/>
      <c r="V460" s="332"/>
      <c r="W460" s="332"/>
      <c r="X460" s="332"/>
      <c r="Y460" s="332"/>
      <c r="Z460" s="332"/>
      <c r="AA460" s="332"/>
      <c r="AB460" s="332"/>
      <c r="AC460" s="332"/>
      <c r="AD460" s="332"/>
      <c r="AE460" s="332"/>
    </row>
    <row r="461" spans="1:31" ht="15.75" thickBot="1" x14ac:dyDescent="0.3">
      <c r="A461" s="527">
        <f>ROW()</f>
        <v>461</v>
      </c>
      <c r="B461" s="733" t="s">
        <v>645</v>
      </c>
      <c r="C461" s="734">
        <f>SUM(G461:M461)</f>
        <v>116394044.99138159</v>
      </c>
      <c r="D461" s="735"/>
      <c r="E461" s="735"/>
      <c r="F461" s="735"/>
      <c r="G461" s="734">
        <f>Staff!G400+Staff!G425+Staff!G455+Staff!G459</f>
        <v>16627720.713054515</v>
      </c>
      <c r="H461" s="734">
        <f>Staff!H400+Staff!H425+Staff!H455+Staff!H459</f>
        <v>16627720.713054515</v>
      </c>
      <c r="I461" s="734">
        <f>Staff!I400+Staff!I425+Staff!I455+Staff!I459</f>
        <v>16627720.713054515</v>
      </c>
      <c r="J461" s="734">
        <f>Staff!J400+Staff!J425+Staff!J455+Staff!J459</f>
        <v>16627720.713054515</v>
      </c>
      <c r="K461" s="734">
        <f>Staff!K400+Staff!K425+Staff!K455+Staff!K459</f>
        <v>16627720.713054515</v>
      </c>
      <c r="L461" s="734">
        <f>Staff!L400+Staff!L425+Staff!L455+Staff!L459</f>
        <v>16627720.713054515</v>
      </c>
      <c r="M461" s="734">
        <f>Staff!M400+Staff!M425+Staff!M455+Staff!M459</f>
        <v>16627720.713054515</v>
      </c>
      <c r="O461" s="104"/>
      <c r="Q461" s="332"/>
      <c r="R461" s="332"/>
      <c r="S461" s="332"/>
      <c r="T461" s="332"/>
      <c r="U461" s="332"/>
      <c r="V461" s="332"/>
      <c r="W461" s="332"/>
      <c r="X461" s="332"/>
      <c r="Y461" s="332"/>
      <c r="Z461" s="332"/>
      <c r="AA461" s="332"/>
      <c r="AB461" s="332"/>
      <c r="AC461" s="332"/>
      <c r="AD461" s="332"/>
      <c r="AE461" s="332"/>
    </row>
    <row r="464" spans="1:31" x14ac:dyDescent="0.25">
      <c r="B464" s="38" t="s">
        <v>646</v>
      </c>
    </row>
    <row r="465" spans="2:7" x14ac:dyDescent="0.25">
      <c r="C465" s="161" t="s">
        <v>647</v>
      </c>
      <c r="D465" s="161" t="s">
        <v>648</v>
      </c>
      <c r="E465" s="161" t="s">
        <v>649</v>
      </c>
      <c r="F465" s="161" t="s">
        <v>650</v>
      </c>
      <c r="G465" s="161" t="s">
        <v>651</v>
      </c>
    </row>
    <row r="466" spans="2:7" x14ac:dyDescent="0.25">
      <c r="B466" s="42" t="s">
        <v>652</v>
      </c>
      <c r="C466" s="158">
        <v>0</v>
      </c>
      <c r="D466" s="158">
        <v>0</v>
      </c>
      <c r="E466" s="158">
        <v>0</v>
      </c>
      <c r="F466" s="158">
        <v>0</v>
      </c>
      <c r="G466" s="158">
        <v>0</v>
      </c>
    </row>
    <row r="467" spans="2:7" x14ac:dyDescent="0.25">
      <c r="B467" s="42" t="s">
        <v>653</v>
      </c>
      <c r="C467" s="158">
        <v>0</v>
      </c>
      <c r="D467" s="158">
        <v>0</v>
      </c>
      <c r="E467" s="158">
        <v>0</v>
      </c>
      <c r="F467" s="158">
        <v>0</v>
      </c>
      <c r="G467" s="158">
        <v>0</v>
      </c>
    </row>
    <row r="468" spans="2:7" x14ac:dyDescent="0.25">
      <c r="B468" s="42" t="s">
        <v>654</v>
      </c>
      <c r="C468" s="736">
        <f>+C466*C467</f>
        <v>0</v>
      </c>
      <c r="D468" s="736">
        <f>+D466*D467</f>
        <v>0</v>
      </c>
      <c r="E468" s="736">
        <f>+E466*E467</f>
        <v>0</v>
      </c>
      <c r="F468" s="736">
        <f>+F466*F467</f>
        <v>0</v>
      </c>
      <c r="G468" s="736">
        <f>+G466*G467</f>
        <v>0</v>
      </c>
    </row>
    <row r="469" spans="2:7" x14ac:dyDescent="0.25">
      <c r="C469" s="329"/>
      <c r="D469" s="329"/>
      <c r="E469" s="329"/>
      <c r="F469" s="329"/>
      <c r="G469" s="329"/>
    </row>
    <row r="470" spans="2:7" x14ac:dyDescent="0.25">
      <c r="B470" s="42" t="s">
        <v>655</v>
      </c>
      <c r="C470" s="329">
        <v>2080</v>
      </c>
      <c r="D470" s="329">
        <v>2080</v>
      </c>
      <c r="E470" s="329">
        <v>2080</v>
      </c>
      <c r="F470" s="329">
        <v>2080</v>
      </c>
      <c r="G470" s="329">
        <v>2080</v>
      </c>
    </row>
    <row r="471" spans="2:7" x14ac:dyDescent="0.25">
      <c r="B471" s="180" t="s">
        <v>656</v>
      </c>
      <c r="C471" s="737">
        <f>+C468/C470</f>
        <v>0</v>
      </c>
      <c r="D471" s="738">
        <f>+D468/D470</f>
        <v>0</v>
      </c>
      <c r="E471" s="738">
        <f>+E468/E470</f>
        <v>0</v>
      </c>
      <c r="F471" s="738">
        <f>+F468/F470</f>
        <v>0</v>
      </c>
      <c r="G471" s="738">
        <f>+G468/G470</f>
        <v>0</v>
      </c>
    </row>
    <row r="472" spans="2:7" x14ac:dyDescent="0.25">
      <c r="C472" s="329"/>
      <c r="D472" s="329"/>
      <c r="E472" s="329"/>
      <c r="F472" s="329"/>
      <c r="G472" s="329"/>
    </row>
    <row r="473" spans="2:7" x14ac:dyDescent="0.25">
      <c r="B473" s="42" t="s">
        <v>657</v>
      </c>
      <c r="C473" s="158">
        <v>0</v>
      </c>
      <c r="D473" s="158">
        <v>0</v>
      </c>
      <c r="E473" s="158">
        <v>0</v>
      </c>
      <c r="F473" s="158">
        <v>0</v>
      </c>
      <c r="G473" s="158">
        <v>0</v>
      </c>
    </row>
    <row r="474" spans="2:7" x14ac:dyDescent="0.25">
      <c r="B474" s="42" t="s">
        <v>658</v>
      </c>
      <c r="C474" s="158">
        <v>0</v>
      </c>
      <c r="D474" s="158">
        <v>0</v>
      </c>
      <c r="E474" s="158">
        <v>0</v>
      </c>
      <c r="F474" s="158">
        <v>0</v>
      </c>
      <c r="G474" s="158">
        <v>0</v>
      </c>
    </row>
    <row r="475" spans="2:7" x14ac:dyDescent="0.25">
      <c r="B475" s="42" t="s">
        <v>659</v>
      </c>
      <c r="C475" s="739">
        <f>+C473*C474</f>
        <v>0</v>
      </c>
      <c r="D475" s="739">
        <f>+D473*D474</f>
        <v>0</v>
      </c>
      <c r="E475" s="739">
        <f>+E473*E474</f>
        <v>0</v>
      </c>
      <c r="F475" s="739">
        <f>+F473*F474</f>
        <v>0</v>
      </c>
      <c r="G475" s="739">
        <f>+G473*G474</f>
        <v>0</v>
      </c>
    </row>
    <row r="476" spans="2:7" x14ac:dyDescent="0.25">
      <c r="B476" s="180" t="s">
        <v>660</v>
      </c>
      <c r="C476" s="740">
        <f>IFERROR(C468/C475,0)</f>
        <v>0</v>
      </c>
      <c r="D476" s="740">
        <f t="shared" ref="D476:G476" si="105">IFERROR(D468/D475,0)</f>
        <v>0</v>
      </c>
      <c r="E476" s="740">
        <f t="shared" si="105"/>
        <v>0</v>
      </c>
      <c r="F476" s="740">
        <f t="shared" si="105"/>
        <v>0</v>
      </c>
      <c r="G476" s="740">
        <f t="shared" si="105"/>
        <v>0</v>
      </c>
    </row>
  </sheetData>
  <mergeCells count="14">
    <mergeCell ref="E66:M66"/>
    <mergeCell ref="E67:M67"/>
    <mergeCell ref="E60:M60"/>
    <mergeCell ref="E61:M61"/>
    <mergeCell ref="E62:M62"/>
    <mergeCell ref="E63:M63"/>
    <mergeCell ref="E64:M64"/>
    <mergeCell ref="E65:M65"/>
    <mergeCell ref="E59:M59"/>
    <mergeCell ref="E54:M54"/>
    <mergeCell ref="E55:M55"/>
    <mergeCell ref="E56:M56"/>
    <mergeCell ref="E57:M57"/>
    <mergeCell ref="E58:M58"/>
  </mergeCells>
  <conditionalFormatting sqref="D1">
    <cfRule type="expression" dxfId="38" priority="1" stopIfTrue="1">
      <formula>MOD(ROW(),2)=0</formula>
    </cfRule>
  </conditionalFormatting>
  <conditionalFormatting sqref="G17:M23">
    <cfRule type="cellIs" dxfId="37" priority="3" stopIfTrue="1" operator="equal">
      <formula>0</formula>
    </cfRule>
  </conditionalFormatting>
  <conditionalFormatting sqref="G25:M25">
    <cfRule type="cellIs" dxfId="36" priority="13" stopIfTrue="1" operator="equal">
      <formula>0</formula>
    </cfRule>
  </conditionalFormatting>
  <conditionalFormatting sqref="G27:M27">
    <cfRule type="cellIs" dxfId="35" priority="12" stopIfTrue="1" operator="equal">
      <formula>0</formula>
    </cfRule>
  </conditionalFormatting>
  <conditionalFormatting sqref="G30:M32 G34:M35">
    <cfRule type="cellIs" dxfId="34" priority="11" stopIfTrue="1" operator="equal">
      <formula>0</formula>
    </cfRule>
  </conditionalFormatting>
  <conditionalFormatting sqref="G37:M40">
    <cfRule type="cellIs" dxfId="33" priority="2" stopIfTrue="1" operator="equal">
      <formula>0</formula>
    </cfRule>
  </conditionalFormatting>
  <conditionalFormatting sqref="G42:M47">
    <cfRule type="cellIs" dxfId="32" priority="10" stopIfTrue="1" operator="equal">
      <formula>0</formula>
    </cfRule>
  </conditionalFormatting>
  <conditionalFormatting sqref="G86:M86">
    <cfRule type="cellIs" dxfId="31" priority="4" stopIfTrue="1" operator="equal">
      <formula>0</formula>
    </cfRule>
  </conditionalFormatting>
  <conditionalFormatting sqref="G94:M94">
    <cfRule type="cellIs" dxfId="30" priority="5" stopIfTrue="1" operator="equal">
      <formula>0</formula>
    </cfRule>
  </conditionalFormatting>
  <conditionalFormatting sqref="G106:M106">
    <cfRule type="cellIs" dxfId="29" priority="6" stopIfTrue="1" operator="equal">
      <formula>0</formula>
    </cfRule>
  </conditionalFormatting>
  <conditionalFormatting sqref="G120:M120">
    <cfRule type="cellIs" dxfId="28" priority="7" stopIfTrue="1" operator="equal">
      <formula>0</formula>
    </cfRule>
  </conditionalFormatting>
  <conditionalFormatting sqref="G134:M134">
    <cfRule type="cellIs" dxfId="27" priority="8" stopIfTrue="1" operator="equal">
      <formula>0</formula>
    </cfRule>
  </conditionalFormatting>
  <conditionalFormatting sqref="G136:M137">
    <cfRule type="cellIs" dxfId="26" priority="9" stopIfTrue="1" operator="equal">
      <formula>0</formula>
    </cfRule>
  </conditionalFormatting>
  <hyperlinks>
    <hyperlink ref="D1" location="HypLink1" display="HypLink1" xr:uid="{A7948B34-D6B2-4677-B056-2CC05271CE12}"/>
    <hyperlink ref="D2" r:id="rId1" display="You may wish to compare staff compensation with what is shown on the Transparent Nevada website." xr:uid="{73660970-0216-461B-9C75-D7CD090B4DE9}"/>
  </hyperlinks>
  <pageMargins left="0.7" right="0.7" top="0.75" bottom="0.75" header="0.3" footer="0.3"/>
  <pageSetup paperSize="119" scale="83" fitToHeight="0" orientation="landscape" r:id="rId2"/>
  <rowBreaks count="1" manualBreakCount="1">
    <brk id="426" max="16383" man="1"/>
  </rowBreaks>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5F72B-9637-4D7D-9E72-D5E93A8EF13A}">
  <sheetPr>
    <pageSetUpPr fitToPage="1"/>
  </sheetPr>
  <dimension ref="A1:T104"/>
  <sheetViews>
    <sheetView workbookViewId="0"/>
  </sheetViews>
  <sheetFormatPr defaultRowHeight="15" x14ac:dyDescent="0.25"/>
  <cols>
    <col min="1" max="1" width="6.28515625" style="42" customWidth="1"/>
    <col min="2" max="2" width="40.42578125" style="42" customWidth="1"/>
    <col min="3" max="3" width="19.28515625" style="42" customWidth="1"/>
    <col min="4" max="4" width="11.42578125" style="42" customWidth="1"/>
    <col min="5" max="5" width="17.7109375" style="42" customWidth="1"/>
    <col min="6" max="6" width="15.28515625" style="42" bestFit="1" customWidth="1"/>
    <col min="7" max="10" width="16" style="42" bestFit="1" customWidth="1"/>
    <col min="11" max="11" width="13.7109375" style="42" bestFit="1" customWidth="1"/>
    <col min="12" max="12" width="15.7109375" style="42" bestFit="1" customWidth="1"/>
    <col min="13" max="13" width="7.28515625" style="42" customWidth="1"/>
    <col min="14" max="14" width="59.7109375" style="78" customWidth="1"/>
    <col min="15" max="15" width="9.140625" style="42"/>
    <col min="16" max="16" width="9.42578125" style="42" customWidth="1"/>
    <col min="17" max="20" width="9.140625" style="42"/>
  </cols>
  <sheetData>
    <row r="1" spans="1:20" ht="15.75" x14ac:dyDescent="0.25">
      <c r="A1" s="167" t="s">
        <v>123</v>
      </c>
      <c r="B1" s="741"/>
      <c r="D1" s="242" t="s">
        <v>3</v>
      </c>
      <c r="G1" s="28" t="s">
        <v>661</v>
      </c>
      <c r="H1" s="28"/>
      <c r="I1" s="28"/>
      <c r="J1" s="29"/>
      <c r="K1" s="29"/>
    </row>
    <row r="2" spans="1:20" ht="15.75" x14ac:dyDescent="0.25">
      <c r="A2" s="520" t="str">
        <f>SchoolName</f>
        <v>Odyssey Charter School</v>
      </c>
      <c r="B2" s="81"/>
      <c r="G2" s="1615" t="str">
        <f>+Cover!C18</f>
        <v>We have one facility located at 2251 S Jones Blvd 89146 (3 leases from 2 landlords)</v>
      </c>
      <c r="H2" s="1615"/>
      <c r="I2" s="1615"/>
      <c r="J2" s="1615"/>
      <c r="K2" s="1615"/>
    </row>
    <row r="3" spans="1:20" x14ac:dyDescent="0.25">
      <c r="A3" s="82" t="s">
        <v>2</v>
      </c>
      <c r="G3" s="1616" t="str">
        <f>+Cover!C19</f>
        <v>Actively searching for a permanent facility with ownership</v>
      </c>
      <c r="H3" s="1616"/>
      <c r="I3" s="1616"/>
      <c r="J3" s="1616"/>
      <c r="K3" s="1616"/>
    </row>
    <row r="4" spans="1:20" x14ac:dyDescent="0.25">
      <c r="A4" s="83" t="str">
        <f ca="1">CELL("filename")</f>
        <v>\\lvraiders\users\sguthrie\Documents\Charter\Change of Sponsorship\[240126-SPCSA-Odyssey Charter School Application Workbook-Modified-Version (1).xlsx]Instructions</v>
      </c>
    </row>
    <row r="5" spans="1:20" ht="15.75" thickBot="1" x14ac:dyDescent="0.3"/>
    <row r="6" spans="1:20" x14ac:dyDescent="0.25">
      <c r="A6" s="38"/>
      <c r="B6" s="742" t="s">
        <v>662</v>
      </c>
      <c r="C6" s="743"/>
      <c r="D6" s="744"/>
      <c r="E6" s="38"/>
      <c r="F6" s="348">
        <f>' Enrol &amp; Rev'!F9</f>
        <v>0</v>
      </c>
      <c r="G6" s="86">
        <f>' Enrol &amp; Rev'!G9</f>
        <v>1</v>
      </c>
      <c r="H6" s="86">
        <f>' Enrol &amp; Rev'!H9</f>
        <v>2</v>
      </c>
      <c r="I6" s="86">
        <f>' Enrol &amp; Rev'!I9</f>
        <v>3</v>
      </c>
      <c r="J6" s="86">
        <f>' Enrol &amp; Rev'!J9</f>
        <v>4</v>
      </c>
      <c r="K6" s="86">
        <f>' Enrol &amp; Rev'!K9</f>
        <v>5</v>
      </c>
      <c r="L6" s="87">
        <f>' Enrol &amp; Rev'!L9</f>
        <v>6</v>
      </c>
      <c r="M6" s="38"/>
      <c r="N6" s="50" t="s">
        <v>103</v>
      </c>
      <c r="O6" s="38"/>
      <c r="P6" s="38"/>
      <c r="Q6" s="38"/>
      <c r="R6" s="38"/>
      <c r="S6" s="38"/>
      <c r="T6" s="38"/>
    </row>
    <row r="7" spans="1:20" ht="15.75" thickBot="1" x14ac:dyDescent="0.3">
      <c r="B7" s="745" t="s">
        <v>663</v>
      </c>
      <c r="C7" s="746" t="s">
        <v>664</v>
      </c>
      <c r="D7" s="747"/>
      <c r="F7" s="171">
        <f>+G7-1</f>
        <v>2024</v>
      </c>
      <c r="G7" s="90">
        <f>' Enrol &amp; Rev'!G10</f>
        <v>2025</v>
      </c>
      <c r="H7" s="90">
        <f>' Enrol &amp; Rev'!H10</f>
        <v>2026</v>
      </c>
      <c r="I7" s="90">
        <f>' Enrol &amp; Rev'!I10</f>
        <v>2027</v>
      </c>
      <c r="J7" s="90">
        <f>' Enrol &amp; Rev'!J10</f>
        <v>2028</v>
      </c>
      <c r="K7" s="90">
        <f>' Enrol &amp; Rev'!K10</f>
        <v>2029</v>
      </c>
      <c r="L7" s="91">
        <f>' Enrol &amp; Rev'!L10</f>
        <v>2030</v>
      </c>
      <c r="M7" s="266"/>
      <c r="N7" s="101"/>
    </row>
    <row r="8" spans="1:20" x14ac:dyDescent="0.25">
      <c r="C8" s="38"/>
      <c r="F8" s="173">
        <f>+G8-1</f>
        <v>2025</v>
      </c>
      <c r="G8" s="93">
        <f>' Enrol &amp; Rev'!G11</f>
        <v>2026</v>
      </c>
      <c r="H8" s="93">
        <f>' Enrol &amp; Rev'!H11</f>
        <v>2027</v>
      </c>
      <c r="I8" s="93">
        <f>' Enrol &amp; Rev'!I11</f>
        <v>2028</v>
      </c>
      <c r="J8" s="93">
        <f>' Enrol &amp; Rev'!J11</f>
        <v>2029</v>
      </c>
      <c r="K8" s="93">
        <f>' Enrol &amp; Rev'!K11</f>
        <v>2030</v>
      </c>
      <c r="L8" s="94">
        <f>' Enrol &amp; Rev'!L11</f>
        <v>2031</v>
      </c>
      <c r="M8" s="266"/>
      <c r="N8" s="104"/>
    </row>
    <row r="9" spans="1:20" x14ac:dyDescent="0.25">
      <c r="A9" s="96">
        <f>ROW()</f>
        <v>9</v>
      </c>
      <c r="B9" s="748" t="s">
        <v>665</v>
      </c>
      <c r="C9" s="749"/>
      <c r="D9" s="749"/>
      <c r="E9" s="29"/>
      <c r="F9" s="750" t="s">
        <v>457</v>
      </c>
      <c r="G9" s="751">
        <f>' Enrol &amp; Rev'!G36</f>
        <v>2320.02</v>
      </c>
      <c r="H9" s="751">
        <f>' Enrol &amp; Rev'!H36</f>
        <v>2320.02</v>
      </c>
      <c r="I9" s="751">
        <f>' Enrol &amp; Rev'!I36</f>
        <v>2320.02</v>
      </c>
      <c r="J9" s="751">
        <f>' Enrol &amp; Rev'!J36</f>
        <v>2320.02</v>
      </c>
      <c r="K9" s="751">
        <f>' Enrol &amp; Rev'!K36</f>
        <v>2320.02</v>
      </c>
      <c r="L9" s="752">
        <f>' Enrol &amp; Rev'!L36</f>
        <v>2320.02</v>
      </c>
      <c r="M9" s="266"/>
      <c r="N9" s="104"/>
    </row>
    <row r="10" spans="1:20" x14ac:dyDescent="0.25">
      <c r="A10" s="96">
        <f>ROW()</f>
        <v>10</v>
      </c>
      <c r="B10" s="42" t="s">
        <v>666</v>
      </c>
      <c r="C10" s="38"/>
      <c r="G10" s="753">
        <f>IFERROR(+G11/' Enrol &amp; Rev'!G36,0)</f>
        <v>20.441203093076783</v>
      </c>
      <c r="H10" s="753">
        <f>IFERROR(+H11/' Enrol &amp; Rev'!H36,0)</f>
        <v>20.441203093076783</v>
      </c>
      <c r="I10" s="753">
        <f>IFERROR(+I11/' Enrol &amp; Rev'!I36,0)</f>
        <v>20.441203093076783</v>
      </c>
      <c r="J10" s="753">
        <f>IFERROR(+J11/' Enrol &amp; Rev'!J36,0)</f>
        <v>20.441203093076783</v>
      </c>
      <c r="K10" s="753">
        <f>IFERROR(+K11/' Enrol &amp; Rev'!K36,0)</f>
        <v>20.441203093076783</v>
      </c>
      <c r="L10" s="753">
        <f>IFERROR(+L11/' Enrol &amp; Rev'!L36,0)</f>
        <v>20.441203093076783</v>
      </c>
      <c r="M10" s="266"/>
      <c r="N10" s="104"/>
    </row>
    <row r="11" spans="1:20" x14ac:dyDescent="0.25">
      <c r="A11" s="96">
        <f>ROW()</f>
        <v>11</v>
      </c>
      <c r="B11" s="42" t="s">
        <v>667</v>
      </c>
      <c r="F11" s="754">
        <v>47424</v>
      </c>
      <c r="G11" s="754">
        <v>47424</v>
      </c>
      <c r="H11" s="754">
        <v>47424</v>
      </c>
      <c r="I11" s="754">
        <v>47424</v>
      </c>
      <c r="J11" s="754">
        <v>47424</v>
      </c>
      <c r="K11" s="754">
        <v>47424</v>
      </c>
      <c r="L11" s="754">
        <v>47424</v>
      </c>
      <c r="M11" s="266"/>
      <c r="N11" s="104" t="s">
        <v>668</v>
      </c>
    </row>
    <row r="12" spans="1:20" x14ac:dyDescent="0.25">
      <c r="A12" s="96"/>
      <c r="M12" s="266"/>
      <c r="N12" s="104"/>
    </row>
    <row r="13" spans="1:20" x14ac:dyDescent="0.25">
      <c r="A13" s="96">
        <f>ROW()</f>
        <v>13</v>
      </c>
      <c r="B13" s="42" t="s">
        <v>669</v>
      </c>
      <c r="F13" s="755">
        <v>2.0074645748987856</v>
      </c>
      <c r="G13" s="755">
        <f>F13</f>
        <v>2.0074645748987856</v>
      </c>
      <c r="H13" s="755">
        <f t="shared" ref="H13:L13" si="0">G13</f>
        <v>2.0074645748987856</v>
      </c>
      <c r="I13" s="755">
        <f t="shared" si="0"/>
        <v>2.0074645748987856</v>
      </c>
      <c r="J13" s="755">
        <f t="shared" si="0"/>
        <v>2.0074645748987856</v>
      </c>
      <c r="K13" s="755">
        <f t="shared" si="0"/>
        <v>2.0074645748987856</v>
      </c>
      <c r="L13" s="755">
        <f t="shared" si="0"/>
        <v>2.0074645748987856</v>
      </c>
      <c r="M13" s="266"/>
      <c r="N13" s="104" t="s">
        <v>670</v>
      </c>
    </row>
    <row r="14" spans="1:20" x14ac:dyDescent="0.25">
      <c r="A14" s="96">
        <f>ROW()</f>
        <v>14</v>
      </c>
      <c r="B14" s="42" t="s">
        <v>671</v>
      </c>
      <c r="F14" s="756">
        <f>+F13*12</f>
        <v>24.089574898785429</v>
      </c>
      <c r="G14" s="756">
        <f>+G13*12</f>
        <v>24.089574898785429</v>
      </c>
      <c r="H14" s="756">
        <f t="shared" ref="H14:L17" si="1">+H13*12</f>
        <v>24.089574898785429</v>
      </c>
      <c r="I14" s="756">
        <f t="shared" si="1"/>
        <v>24.089574898785429</v>
      </c>
      <c r="J14" s="756">
        <f t="shared" si="1"/>
        <v>24.089574898785429</v>
      </c>
      <c r="K14" s="756">
        <f t="shared" si="1"/>
        <v>24.089574898785429</v>
      </c>
      <c r="L14" s="756">
        <f t="shared" si="1"/>
        <v>24.089574898785429</v>
      </c>
      <c r="M14" s="266"/>
      <c r="N14" s="104"/>
    </row>
    <row r="15" spans="1:20" x14ac:dyDescent="0.25">
      <c r="A15" s="96"/>
      <c r="F15" s="757"/>
      <c r="G15" s="757"/>
      <c r="H15" s="757"/>
      <c r="I15" s="757"/>
      <c r="J15" s="757"/>
      <c r="K15" s="757"/>
      <c r="L15" s="757"/>
      <c r="M15" s="266"/>
      <c r="N15" s="104"/>
    </row>
    <row r="16" spans="1:20" x14ac:dyDescent="0.25">
      <c r="A16" s="96">
        <f>ROW()</f>
        <v>16</v>
      </c>
      <c r="B16" s="42" t="s">
        <v>672</v>
      </c>
      <c r="C16" s="84"/>
      <c r="F16" s="755">
        <v>2.0074645748987856</v>
      </c>
      <c r="G16" s="755">
        <f>F16</f>
        <v>2.0074645748987856</v>
      </c>
      <c r="H16" s="755">
        <f t="shared" ref="H16:L16" si="2">G16</f>
        <v>2.0074645748987856</v>
      </c>
      <c r="I16" s="755">
        <f t="shared" si="2"/>
        <v>2.0074645748987856</v>
      </c>
      <c r="J16" s="755">
        <f t="shared" si="2"/>
        <v>2.0074645748987856</v>
      </c>
      <c r="K16" s="755">
        <f t="shared" si="2"/>
        <v>2.0074645748987856</v>
      </c>
      <c r="L16" s="755">
        <f t="shared" si="2"/>
        <v>2.0074645748987856</v>
      </c>
      <c r="M16" s="266"/>
      <c r="N16" s="104"/>
    </row>
    <row r="17" spans="1:14" x14ac:dyDescent="0.25">
      <c r="A17" s="96">
        <f>ROW()</f>
        <v>17</v>
      </c>
      <c r="B17" s="42" t="s">
        <v>673</v>
      </c>
      <c r="C17" s="84"/>
      <c r="F17" s="756">
        <f>+F16*12</f>
        <v>24.089574898785429</v>
      </c>
      <c r="G17" s="756">
        <f>+G16*12</f>
        <v>24.089574898785429</v>
      </c>
      <c r="H17" s="756">
        <f t="shared" si="1"/>
        <v>24.089574898785429</v>
      </c>
      <c r="I17" s="756">
        <f t="shared" si="1"/>
        <v>24.089574898785429</v>
      </c>
      <c r="J17" s="756">
        <f t="shared" si="1"/>
        <v>24.089574898785429</v>
      </c>
      <c r="K17" s="756">
        <f t="shared" si="1"/>
        <v>24.089574898785429</v>
      </c>
      <c r="L17" s="756">
        <f t="shared" si="1"/>
        <v>24.089574898785429</v>
      </c>
      <c r="M17" s="266"/>
      <c r="N17" s="104"/>
    </row>
    <row r="18" spans="1:14" x14ac:dyDescent="0.25">
      <c r="A18" s="96">
        <f>ROW()</f>
        <v>18</v>
      </c>
      <c r="F18" s="757"/>
      <c r="G18" s="757"/>
      <c r="H18" s="757"/>
      <c r="I18" s="757"/>
      <c r="J18" s="757"/>
      <c r="K18" s="757"/>
      <c r="L18" s="757"/>
      <c r="M18" s="266"/>
      <c r="N18" s="104"/>
    </row>
    <row r="19" spans="1:14" x14ac:dyDescent="0.25">
      <c r="A19" s="96">
        <f>ROW()</f>
        <v>19</v>
      </c>
      <c r="B19" s="503" t="s">
        <v>674</v>
      </c>
      <c r="F19" s="758"/>
      <c r="G19" s="758"/>
      <c r="H19" s="759">
        <v>0.03</v>
      </c>
      <c r="I19" s="759">
        <v>0.03</v>
      </c>
      <c r="J19" s="759">
        <v>0.03</v>
      </c>
      <c r="K19" s="759">
        <v>0.03</v>
      </c>
      <c r="L19" s="759">
        <v>0.03</v>
      </c>
      <c r="M19" s="266"/>
      <c r="N19" s="104"/>
    </row>
    <row r="20" spans="1:14" x14ac:dyDescent="0.25">
      <c r="A20" s="96">
        <f>ROW()</f>
        <v>20</v>
      </c>
      <c r="B20" s="503" t="s">
        <v>675</v>
      </c>
      <c r="F20" s="760">
        <f t="shared" ref="F20:L20" si="3">+F21/12</f>
        <v>2.0074645748987856</v>
      </c>
      <c r="G20" s="760">
        <f t="shared" si="3"/>
        <v>2.0074645748987856</v>
      </c>
      <c r="H20" s="760">
        <f t="shared" si="3"/>
        <v>2.0676885121457493</v>
      </c>
      <c r="I20" s="760">
        <f t="shared" si="3"/>
        <v>2.1297191675101219</v>
      </c>
      <c r="J20" s="760">
        <f t="shared" si="3"/>
        <v>2.1936107425354257</v>
      </c>
      <c r="K20" s="760">
        <f t="shared" si="3"/>
        <v>2.2594190648114885</v>
      </c>
      <c r="L20" s="760">
        <f t="shared" si="3"/>
        <v>2.3272016367558335</v>
      </c>
      <c r="M20" s="266"/>
      <c r="N20" s="104"/>
    </row>
    <row r="21" spans="1:14" x14ac:dyDescent="0.25">
      <c r="A21" s="96">
        <f>ROW()</f>
        <v>21</v>
      </c>
      <c r="B21" s="503" t="s">
        <v>676</v>
      </c>
      <c r="F21" s="757">
        <f>+F17*(1+F19)</f>
        <v>24.089574898785429</v>
      </c>
      <c r="G21" s="757">
        <f>+G17*(1+G19)</f>
        <v>24.089574898785429</v>
      </c>
      <c r="H21" s="757">
        <f>+G21*(1+H19)</f>
        <v>24.812262145748992</v>
      </c>
      <c r="I21" s="757">
        <f>+H21*(1+I19)</f>
        <v>25.556630010121463</v>
      </c>
      <c r="J21" s="757">
        <f>+I21*(1+J19)</f>
        <v>26.323328910425108</v>
      </c>
      <c r="K21" s="757">
        <f>+J21*(1+K19)</f>
        <v>27.113028777737863</v>
      </c>
      <c r="L21" s="757">
        <f>+K21*(1+L19)</f>
        <v>27.926419641070002</v>
      </c>
      <c r="M21" s="266"/>
      <c r="N21" s="104"/>
    </row>
    <row r="22" spans="1:14" x14ac:dyDescent="0.25">
      <c r="A22" s="96">
        <f>ROW()</f>
        <v>22</v>
      </c>
      <c r="B22" s="38"/>
      <c r="G22" s="161"/>
      <c r="H22" s="161"/>
      <c r="I22" s="161"/>
      <c r="J22" s="161"/>
      <c r="K22" s="161"/>
      <c r="L22" s="161"/>
      <c r="M22" s="266"/>
      <c r="N22" s="104"/>
    </row>
    <row r="23" spans="1:14" x14ac:dyDescent="0.25">
      <c r="A23" s="96">
        <f>ROW()</f>
        <v>23</v>
      </c>
      <c r="B23" s="761" t="s">
        <v>677</v>
      </c>
      <c r="C23" s="762"/>
      <c r="D23" s="180"/>
      <c r="E23" s="763">
        <f t="shared" ref="E23:E41" si="4">SUM(F23:L23)</f>
        <v>8753780.6944713928</v>
      </c>
      <c r="F23" s="1533">
        <f t="shared" ref="F23" si="5">F11*(F21)</f>
        <v>1142424.0000000002</v>
      </c>
      <c r="G23" s="1534">
        <f>1.03*F23</f>
        <v>1176696.7200000002</v>
      </c>
      <c r="H23" s="1534">
        <f t="shared" ref="H23:L23" si="6">1.03*G23</f>
        <v>1211997.6216000002</v>
      </c>
      <c r="I23" s="1534">
        <f t="shared" si="6"/>
        <v>1248357.5502480003</v>
      </c>
      <c r="J23" s="1534">
        <f t="shared" si="6"/>
        <v>1285808.2767554403</v>
      </c>
      <c r="K23" s="1534">
        <f t="shared" si="6"/>
        <v>1324382.5250581035</v>
      </c>
      <c r="L23" s="1534">
        <f t="shared" si="6"/>
        <v>1364114.0008098467</v>
      </c>
      <c r="M23" s="266"/>
      <c r="N23" s="104" t="s">
        <v>1393</v>
      </c>
    </row>
    <row r="24" spans="1:14" x14ac:dyDescent="0.25">
      <c r="A24" s="96">
        <f>ROW()</f>
        <v>24</v>
      </c>
      <c r="B24" s="764"/>
      <c r="C24" s="84" t="s">
        <v>678</v>
      </c>
      <c r="E24" s="765"/>
      <c r="F24" s="765"/>
      <c r="G24" s="126"/>
      <c r="H24" s="100"/>
      <c r="I24" s="100"/>
      <c r="J24" s="100"/>
      <c r="K24" s="100"/>
      <c r="L24" s="100"/>
      <c r="M24" s="266"/>
      <c r="N24" s="104"/>
    </row>
    <row r="25" spans="1:14" x14ac:dyDescent="0.25">
      <c r="A25" s="96">
        <f>ROW()</f>
        <v>25</v>
      </c>
      <c r="B25" s="42" t="s">
        <v>679</v>
      </c>
      <c r="C25" s="766"/>
      <c r="D25" s="767" t="s">
        <v>680</v>
      </c>
      <c r="E25" s="768">
        <f t="shared" si="4"/>
        <v>875000</v>
      </c>
      <c r="F25" s="769">
        <v>125000</v>
      </c>
      <c r="G25" s="769">
        <v>125000</v>
      </c>
      <c r="H25" s="769">
        <v>125000</v>
      </c>
      <c r="I25" s="769">
        <v>125000</v>
      </c>
      <c r="J25" s="769">
        <v>125000</v>
      </c>
      <c r="K25" s="769">
        <v>125000</v>
      </c>
      <c r="L25" s="769">
        <v>125000</v>
      </c>
      <c r="M25" s="266"/>
      <c r="N25" s="104"/>
    </row>
    <row r="26" spans="1:14" x14ac:dyDescent="0.25">
      <c r="A26" s="96">
        <f>ROW()</f>
        <v>26</v>
      </c>
      <c r="B26" s="42" t="s">
        <v>681</v>
      </c>
      <c r="C26" s="770"/>
      <c r="D26" s="767" t="s">
        <v>680</v>
      </c>
      <c r="E26" s="768">
        <f t="shared" si="4"/>
        <v>630000</v>
      </c>
      <c r="F26" s="769">
        <v>90000</v>
      </c>
      <c r="G26" s="674">
        <v>90000</v>
      </c>
      <c r="H26" s="674">
        <v>90000</v>
      </c>
      <c r="I26" s="674">
        <v>90000</v>
      </c>
      <c r="J26" s="674">
        <v>90000</v>
      </c>
      <c r="K26" s="674">
        <v>90000</v>
      </c>
      <c r="L26" s="674">
        <v>90000</v>
      </c>
      <c r="M26" s="771"/>
      <c r="N26" s="104"/>
    </row>
    <row r="27" spans="1:14" x14ac:dyDescent="0.25">
      <c r="A27" s="96">
        <f>ROW()</f>
        <v>27</v>
      </c>
      <c r="B27" s="42" t="s">
        <v>682</v>
      </c>
      <c r="C27" s="766">
        <f>12*0.160425101214575</f>
        <v>1.9251012145749002</v>
      </c>
      <c r="D27" s="767" t="s">
        <v>680</v>
      </c>
      <c r="E27" s="768">
        <f t="shared" si="4"/>
        <v>547776.00000000047</v>
      </c>
      <c r="F27" s="769"/>
      <c r="G27" s="674">
        <f t="shared" ref="G27:L27" si="7">G11*$C27</f>
        <v>91296.000000000073</v>
      </c>
      <c r="H27" s="674">
        <f t="shared" si="7"/>
        <v>91296.000000000073</v>
      </c>
      <c r="I27" s="674">
        <f t="shared" si="7"/>
        <v>91296.000000000073</v>
      </c>
      <c r="J27" s="674">
        <f t="shared" si="7"/>
        <v>91296.000000000073</v>
      </c>
      <c r="K27" s="674">
        <f t="shared" si="7"/>
        <v>91296.000000000073</v>
      </c>
      <c r="L27" s="674">
        <f t="shared" si="7"/>
        <v>91296.000000000073</v>
      </c>
      <c r="M27" s="266"/>
      <c r="N27" s="104" t="s">
        <v>670</v>
      </c>
    </row>
    <row r="28" spans="1:14" x14ac:dyDescent="0.25">
      <c r="A28" s="96">
        <f>ROW()</f>
        <v>28</v>
      </c>
      <c r="B28" s="42" t="s">
        <v>683</v>
      </c>
      <c r="C28" s="766"/>
      <c r="D28" s="767" t="s">
        <v>684</v>
      </c>
      <c r="E28" s="768">
        <f t="shared" si="4"/>
        <v>425112.08600000001</v>
      </c>
      <c r="F28" s="769">
        <v>60730.298000000003</v>
      </c>
      <c r="G28" s="674">
        <v>60730.298000000003</v>
      </c>
      <c r="H28" s="674">
        <v>60730.298000000003</v>
      </c>
      <c r="I28" s="674">
        <v>60730.298000000003</v>
      </c>
      <c r="J28" s="674">
        <v>60730.298000000003</v>
      </c>
      <c r="K28" s="674">
        <v>60730.298000000003</v>
      </c>
      <c r="L28" s="674">
        <v>60730.298000000003</v>
      </c>
      <c r="M28" s="266"/>
      <c r="N28" s="104"/>
    </row>
    <row r="29" spans="1:14" x14ac:dyDescent="0.25">
      <c r="A29" s="96">
        <f>ROW()</f>
        <v>29</v>
      </c>
      <c r="B29" s="42" t="s">
        <v>685</v>
      </c>
      <c r="C29" s="766"/>
      <c r="D29" s="767" t="s">
        <v>684</v>
      </c>
      <c r="E29" s="768">
        <f t="shared" si="4"/>
        <v>0</v>
      </c>
      <c r="F29" s="769"/>
      <c r="G29" s="674">
        <f t="shared" ref="G29" si="8">+C29</f>
        <v>0</v>
      </c>
      <c r="H29" s="674">
        <f t="shared" ref="H29:L29" si="9">+G29</f>
        <v>0</v>
      </c>
      <c r="I29" s="674">
        <f t="shared" si="9"/>
        <v>0</v>
      </c>
      <c r="J29" s="674">
        <f t="shared" si="9"/>
        <v>0</v>
      </c>
      <c r="K29" s="674">
        <f t="shared" si="9"/>
        <v>0</v>
      </c>
      <c r="L29" s="674">
        <f t="shared" si="9"/>
        <v>0</v>
      </c>
      <c r="M29" s="266"/>
      <c r="N29" s="104"/>
    </row>
    <row r="30" spans="1:14" x14ac:dyDescent="0.25">
      <c r="A30" s="96">
        <f>ROW()</f>
        <v>30</v>
      </c>
      <c r="B30" s="42" t="s">
        <v>686</v>
      </c>
      <c r="C30" s="766"/>
      <c r="D30" s="767" t="s">
        <v>680</v>
      </c>
      <c r="E30" s="768">
        <f t="shared" ref="E30:E32" si="10">SUM(F30:L30)</f>
        <v>0</v>
      </c>
      <c r="F30" s="769"/>
      <c r="G30" s="674">
        <f>G$11*$C30</f>
        <v>0</v>
      </c>
      <c r="H30" s="674">
        <f t="shared" ref="H30:L32" si="11">H$11*$C30</f>
        <v>0</v>
      </c>
      <c r="I30" s="674">
        <f t="shared" si="11"/>
        <v>0</v>
      </c>
      <c r="J30" s="674">
        <f t="shared" si="11"/>
        <v>0</v>
      </c>
      <c r="K30" s="674">
        <f t="shared" si="11"/>
        <v>0</v>
      </c>
      <c r="L30" s="674">
        <f t="shared" si="11"/>
        <v>0</v>
      </c>
      <c r="M30" s="266"/>
      <c r="N30" s="104"/>
    </row>
    <row r="31" spans="1:14" x14ac:dyDescent="0.25">
      <c r="A31" s="96">
        <f>ROW()</f>
        <v>31</v>
      </c>
      <c r="B31" s="42" t="s">
        <v>687</v>
      </c>
      <c r="C31" s="766"/>
      <c r="D31" s="767" t="s">
        <v>680</v>
      </c>
      <c r="E31" s="768">
        <f t="shared" si="10"/>
        <v>810028.10000000009</v>
      </c>
      <c r="F31" s="769">
        <v>115718.3</v>
      </c>
      <c r="G31" s="674">
        <v>115718.3</v>
      </c>
      <c r="H31" s="674">
        <v>115718.3</v>
      </c>
      <c r="I31" s="674">
        <v>115718.3</v>
      </c>
      <c r="J31" s="674">
        <v>115718.3</v>
      </c>
      <c r="K31" s="674">
        <v>115718.3</v>
      </c>
      <c r="L31" s="674">
        <v>115718.3</v>
      </c>
      <c r="M31" s="266"/>
      <c r="N31" s="104"/>
    </row>
    <row r="32" spans="1:14" x14ac:dyDescent="0.25">
      <c r="A32" s="96">
        <f>ROW()</f>
        <v>32</v>
      </c>
      <c r="B32" s="42" t="s">
        <v>688</v>
      </c>
      <c r="C32" s="766"/>
      <c r="D32" s="767" t="s">
        <v>680</v>
      </c>
      <c r="E32" s="768">
        <f t="shared" si="10"/>
        <v>0</v>
      </c>
      <c r="F32" s="772"/>
      <c r="G32" s="677">
        <f>G$11*$C32</f>
        <v>0</v>
      </c>
      <c r="H32" s="677">
        <f t="shared" si="11"/>
        <v>0</v>
      </c>
      <c r="I32" s="677">
        <f t="shared" si="11"/>
        <v>0</v>
      </c>
      <c r="J32" s="677">
        <f t="shared" si="11"/>
        <v>0</v>
      </c>
      <c r="K32" s="677">
        <f t="shared" si="11"/>
        <v>0</v>
      </c>
      <c r="L32" s="677">
        <f t="shared" si="11"/>
        <v>0</v>
      </c>
      <c r="M32" s="266"/>
      <c r="N32" s="104"/>
    </row>
    <row r="33" spans="1:20" x14ac:dyDescent="0.25">
      <c r="A33" s="96">
        <f>ROW()</f>
        <v>33</v>
      </c>
      <c r="B33" s="180" t="s">
        <v>689</v>
      </c>
      <c r="C33" s="773">
        <v>0</v>
      </c>
      <c r="D33" s="774" t="s">
        <v>690</v>
      </c>
      <c r="E33" s="775">
        <f t="shared" si="4"/>
        <v>0</v>
      </c>
      <c r="F33" s="776"/>
      <c r="G33" s="777"/>
      <c r="H33" s="778"/>
      <c r="I33" s="778"/>
      <c r="J33" s="778"/>
      <c r="K33" s="778"/>
      <c r="L33" s="778"/>
      <c r="M33" s="266"/>
      <c r="N33" s="104"/>
    </row>
    <row r="34" spans="1:20" x14ac:dyDescent="0.25">
      <c r="A34" s="96">
        <f>ROW()</f>
        <v>34</v>
      </c>
      <c r="B34" s="38" t="s">
        <v>691</v>
      </c>
      <c r="C34" s="766">
        <v>0</v>
      </c>
      <c r="D34" s="78" t="s">
        <v>692</v>
      </c>
      <c r="E34" s="768">
        <f t="shared" si="4"/>
        <v>0</v>
      </c>
      <c r="F34" s="769">
        <v>0</v>
      </c>
      <c r="G34" s="769">
        <f>+C34</f>
        <v>0</v>
      </c>
      <c r="H34" s="674"/>
      <c r="I34" s="674"/>
      <c r="J34" s="674"/>
      <c r="K34" s="674"/>
      <c r="L34" s="674"/>
      <c r="M34" s="266"/>
      <c r="N34" s="104"/>
    </row>
    <row r="35" spans="1:20" x14ac:dyDescent="0.25">
      <c r="A35" s="96">
        <f>ROW()</f>
        <v>35</v>
      </c>
      <c r="B35" s="779" t="s">
        <v>693</v>
      </c>
      <c r="C35" s="780"/>
      <c r="D35" s="78"/>
      <c r="E35" s="768">
        <f t="shared" si="4"/>
        <v>0</v>
      </c>
      <c r="F35" s="781"/>
      <c r="G35" s="781"/>
      <c r="H35" s="782"/>
      <c r="I35" s="782"/>
      <c r="J35" s="782"/>
      <c r="K35" s="782"/>
      <c r="L35" s="782"/>
      <c r="M35" s="266"/>
      <c r="N35" s="104"/>
    </row>
    <row r="36" spans="1:20" x14ac:dyDescent="0.25">
      <c r="A36" s="96">
        <f>ROW()</f>
        <v>36</v>
      </c>
      <c r="B36" s="40" t="s">
        <v>694</v>
      </c>
      <c r="C36" s="780"/>
      <c r="D36" s="78"/>
      <c r="E36" s="768"/>
      <c r="F36" s="769"/>
      <c r="G36" s="769"/>
      <c r="H36" s="674"/>
      <c r="I36" s="674"/>
      <c r="J36" s="674"/>
      <c r="K36" s="674"/>
      <c r="L36" s="674"/>
      <c r="M36" s="266"/>
      <c r="N36" s="104"/>
    </row>
    <row r="37" spans="1:20" x14ac:dyDescent="0.25">
      <c r="A37" s="96">
        <f>ROW()</f>
        <v>37</v>
      </c>
      <c r="B37" s="40" t="s">
        <v>695</v>
      </c>
      <c r="C37" s="780"/>
      <c r="D37" s="78"/>
      <c r="E37" s="768"/>
      <c r="F37" s="769"/>
      <c r="G37" s="769"/>
      <c r="H37" s="674"/>
      <c r="I37" s="674"/>
      <c r="J37" s="674"/>
      <c r="K37" s="674"/>
      <c r="L37" s="674"/>
      <c r="M37" s="266"/>
      <c r="N37" s="104"/>
    </row>
    <row r="38" spans="1:20" x14ac:dyDescent="0.25">
      <c r="A38" s="96">
        <f>ROW()</f>
        <v>38</v>
      </c>
      <c r="B38" s="40"/>
      <c r="C38" s="780"/>
      <c r="D38" s="78"/>
      <c r="E38" s="768"/>
      <c r="F38" s="769"/>
      <c r="G38" s="769"/>
      <c r="H38" s="674"/>
      <c r="I38" s="674"/>
      <c r="J38" s="674"/>
      <c r="K38" s="674"/>
      <c r="L38" s="674"/>
      <c r="M38" s="266"/>
      <c r="N38" s="104"/>
    </row>
    <row r="39" spans="1:20" x14ac:dyDescent="0.25">
      <c r="A39" s="96">
        <f>ROW()</f>
        <v>39</v>
      </c>
      <c r="B39" s="40" t="s">
        <v>696</v>
      </c>
      <c r="C39" s="780"/>
      <c r="D39" s="78"/>
      <c r="E39" s="768"/>
      <c r="F39" s="769"/>
      <c r="G39" s="769"/>
      <c r="H39" s="674"/>
      <c r="I39" s="674"/>
      <c r="J39" s="674"/>
      <c r="K39" s="674"/>
      <c r="L39" s="674"/>
      <c r="M39" s="266"/>
      <c r="N39" s="104"/>
    </row>
    <row r="40" spans="1:20" x14ac:dyDescent="0.25">
      <c r="A40" s="96">
        <f>ROW()</f>
        <v>40</v>
      </c>
      <c r="B40" s="40" t="s">
        <v>697</v>
      </c>
      <c r="C40" s="78"/>
      <c r="D40" s="78"/>
      <c r="E40" s="768">
        <f t="shared" si="4"/>
        <v>0</v>
      </c>
      <c r="F40" s="783">
        <f>F35/15</f>
        <v>0</v>
      </c>
      <c r="G40" s="783">
        <f t="shared" ref="G40:L40" si="12">F40+(G35/15)</f>
        <v>0</v>
      </c>
      <c r="H40" s="155">
        <f t="shared" si="12"/>
        <v>0</v>
      </c>
      <c r="I40" s="155">
        <f t="shared" si="12"/>
        <v>0</v>
      </c>
      <c r="J40" s="155">
        <f t="shared" si="12"/>
        <v>0</v>
      </c>
      <c r="K40" s="155">
        <f t="shared" si="12"/>
        <v>0</v>
      </c>
      <c r="L40" s="155">
        <f t="shared" si="12"/>
        <v>0</v>
      </c>
      <c r="M40" s="266"/>
      <c r="N40" s="104"/>
    </row>
    <row r="41" spans="1:20" x14ac:dyDescent="0.25">
      <c r="A41" s="96">
        <f>ROW()</f>
        <v>41</v>
      </c>
      <c r="B41" s="491" t="s">
        <v>698</v>
      </c>
      <c r="C41" s="180"/>
      <c r="D41" s="180"/>
      <c r="E41" s="163">
        <f t="shared" si="4"/>
        <v>8753780.6944713928</v>
      </c>
      <c r="F41" s="784">
        <f>SUM(F23,F33,F34,F35:F39)</f>
        <v>1142424.0000000002</v>
      </c>
      <c r="G41" s="784">
        <f>SUM(G23,G33,G34,G35:G39)</f>
        <v>1176696.7200000002</v>
      </c>
      <c r="H41" s="784">
        <f t="shared" ref="H41:L41" si="13">SUM(H23,H33,H34,H35:H39)</f>
        <v>1211997.6216000002</v>
      </c>
      <c r="I41" s="784">
        <f t="shared" si="13"/>
        <v>1248357.5502480003</v>
      </c>
      <c r="J41" s="784">
        <f t="shared" si="13"/>
        <v>1285808.2767554403</v>
      </c>
      <c r="K41" s="784">
        <f t="shared" si="13"/>
        <v>1324382.5250581035</v>
      </c>
      <c r="L41" s="784">
        <f t="shared" si="13"/>
        <v>1364114.0008098467</v>
      </c>
      <c r="M41" s="266"/>
      <c r="N41" s="104"/>
    </row>
    <row r="42" spans="1:20" x14ac:dyDescent="0.25">
      <c r="A42" s="96">
        <f>ROW()</f>
        <v>42</v>
      </c>
      <c r="B42" s="38" t="s">
        <v>699</v>
      </c>
      <c r="E42" s="38"/>
      <c r="F42" s="785">
        <f t="shared" ref="F42" si="14">SUM(F23,F33)+F40</f>
        <v>1142424.0000000002</v>
      </c>
      <c r="G42" s="785">
        <f>SUM(G23,G33)+G40</f>
        <v>1176696.7200000002</v>
      </c>
      <c r="H42" s="785">
        <f t="shared" ref="H42:L42" si="15">SUM(H23,H33)+H40</f>
        <v>1211997.6216000002</v>
      </c>
      <c r="I42" s="785">
        <f t="shared" si="15"/>
        <v>1248357.5502480003</v>
      </c>
      <c r="J42" s="785">
        <f t="shared" si="15"/>
        <v>1285808.2767554403</v>
      </c>
      <c r="K42" s="785">
        <f t="shared" si="15"/>
        <v>1324382.5250581035</v>
      </c>
      <c r="L42" s="785">
        <f t="shared" si="15"/>
        <v>1364114.0008098467</v>
      </c>
      <c r="M42" s="266"/>
      <c r="N42" s="104"/>
    </row>
    <row r="43" spans="1:20" x14ac:dyDescent="0.25">
      <c r="A43" s="96">
        <f>ROW()</f>
        <v>43</v>
      </c>
      <c r="B43" s="141" t="s">
        <v>700</v>
      </c>
      <c r="C43" s="38"/>
      <c r="D43" s="38"/>
      <c r="E43" s="38"/>
      <c r="F43" s="126">
        <f>+F42-F41</f>
        <v>0</v>
      </c>
      <c r="G43" s="126">
        <f>+G42-G41</f>
        <v>0</v>
      </c>
      <c r="H43" s="126">
        <f t="shared" ref="H43:L43" si="16">+H42-H41</f>
        <v>0</v>
      </c>
      <c r="I43" s="126">
        <f t="shared" si="16"/>
        <v>0</v>
      </c>
      <c r="J43" s="126">
        <f t="shared" si="16"/>
        <v>0</v>
      </c>
      <c r="K43" s="126">
        <f t="shared" si="16"/>
        <v>0</v>
      </c>
      <c r="L43" s="126">
        <f t="shared" si="16"/>
        <v>0</v>
      </c>
      <c r="M43" s="284"/>
      <c r="N43" s="104"/>
      <c r="O43" s="38"/>
      <c r="P43" s="38"/>
      <c r="Q43" s="38"/>
      <c r="R43" s="38"/>
      <c r="S43" s="38"/>
      <c r="T43" s="38"/>
    </row>
    <row r="44" spans="1:20" x14ac:dyDescent="0.25">
      <c r="A44" s="96">
        <f>ROW()</f>
        <v>44</v>
      </c>
      <c r="B44" s="38"/>
      <c r="C44" s="38"/>
      <c r="D44" s="38"/>
      <c r="E44" s="38"/>
      <c r="F44" s="126"/>
      <c r="G44" s="126"/>
      <c r="H44" s="126"/>
      <c r="I44" s="126"/>
      <c r="J44" s="126"/>
      <c r="K44" s="126"/>
      <c r="L44" s="126"/>
      <c r="M44" s="284"/>
      <c r="N44" s="104"/>
      <c r="O44" s="38"/>
      <c r="P44" s="38"/>
      <c r="Q44" s="38"/>
      <c r="R44" s="38"/>
      <c r="S44" s="38"/>
      <c r="T44" s="38"/>
    </row>
    <row r="45" spans="1:20" x14ac:dyDescent="0.25">
      <c r="A45" s="96">
        <f>ROW()</f>
        <v>45</v>
      </c>
      <c r="B45" s="786" t="s">
        <v>701</v>
      </c>
      <c r="F45" s="124">
        <f t="shared" ref="F45" si="17">+F23/12</f>
        <v>95202.000000000015</v>
      </c>
      <c r="G45" s="124">
        <f t="shared" ref="G45:L45" si="18">+G23/12</f>
        <v>98058.060000000012</v>
      </c>
      <c r="H45" s="124">
        <f t="shared" si="18"/>
        <v>100999.80180000002</v>
      </c>
      <c r="I45" s="124">
        <f t="shared" si="18"/>
        <v>104029.79585400003</v>
      </c>
      <c r="J45" s="124">
        <f t="shared" si="18"/>
        <v>107150.68972962002</v>
      </c>
      <c r="K45" s="124">
        <f t="shared" si="18"/>
        <v>110365.21042150863</v>
      </c>
      <c r="L45" s="124">
        <f t="shared" si="18"/>
        <v>113676.16673415389</v>
      </c>
      <c r="M45" s="284"/>
      <c r="N45" s="104"/>
      <c r="O45" s="38"/>
      <c r="P45" s="38"/>
      <c r="Q45" s="38"/>
      <c r="R45" s="38"/>
      <c r="S45" s="38"/>
      <c r="T45" s="38"/>
    </row>
    <row r="46" spans="1:20" x14ac:dyDescent="0.25">
      <c r="A46" s="96">
        <f>ROW()</f>
        <v>46</v>
      </c>
      <c r="B46" s="764" t="s">
        <v>702</v>
      </c>
      <c r="F46" s="332">
        <f t="shared" ref="F46" si="19">+F25/12</f>
        <v>10416.666666666666</v>
      </c>
      <c r="G46" s="332">
        <f t="shared" ref="G46:L48" si="20">+G25/12</f>
        <v>10416.666666666666</v>
      </c>
      <c r="H46" s="332">
        <f t="shared" si="20"/>
        <v>10416.666666666666</v>
      </c>
      <c r="I46" s="332">
        <f t="shared" si="20"/>
        <v>10416.666666666666</v>
      </c>
      <c r="J46" s="332">
        <f t="shared" si="20"/>
        <v>10416.666666666666</v>
      </c>
      <c r="K46" s="332">
        <f t="shared" si="20"/>
        <v>10416.666666666666</v>
      </c>
      <c r="L46" s="332">
        <f t="shared" si="20"/>
        <v>10416.666666666666</v>
      </c>
      <c r="M46" s="284"/>
      <c r="N46" s="104"/>
      <c r="O46" s="38"/>
      <c r="P46" s="38"/>
      <c r="Q46" s="38"/>
      <c r="R46" s="38"/>
      <c r="S46" s="38"/>
      <c r="T46" s="38"/>
    </row>
    <row r="47" spans="1:20" x14ac:dyDescent="0.25">
      <c r="A47" s="96">
        <f>ROW()</f>
        <v>47</v>
      </c>
      <c r="B47" s="764" t="s">
        <v>703</v>
      </c>
      <c r="F47" s="332">
        <f t="shared" ref="F47" si="21">+F26/12</f>
        <v>7500</v>
      </c>
      <c r="G47" s="332">
        <f t="shared" si="20"/>
        <v>7500</v>
      </c>
      <c r="H47" s="332">
        <f t="shared" si="20"/>
        <v>7500</v>
      </c>
      <c r="I47" s="332">
        <f t="shared" si="20"/>
        <v>7500</v>
      </c>
      <c r="J47" s="332">
        <f t="shared" si="20"/>
        <v>7500</v>
      </c>
      <c r="K47" s="332">
        <f t="shared" si="20"/>
        <v>7500</v>
      </c>
      <c r="L47" s="332">
        <f t="shared" si="20"/>
        <v>7500</v>
      </c>
      <c r="M47" s="284"/>
      <c r="N47" s="104"/>
      <c r="O47" s="38"/>
      <c r="P47" s="38"/>
      <c r="Q47" s="38"/>
      <c r="R47" s="38"/>
      <c r="S47" s="38"/>
      <c r="T47" s="38"/>
    </row>
    <row r="48" spans="1:20" x14ac:dyDescent="0.25">
      <c r="A48" s="96">
        <f>ROW()</f>
        <v>48</v>
      </c>
      <c r="B48" s="764" t="s">
        <v>704</v>
      </c>
      <c r="F48" s="332">
        <f t="shared" ref="F48" si="22">+F27/12</f>
        <v>0</v>
      </c>
      <c r="G48" s="332">
        <f t="shared" si="20"/>
        <v>7608.0000000000064</v>
      </c>
      <c r="H48" s="332">
        <f t="shared" si="20"/>
        <v>7608.0000000000064</v>
      </c>
      <c r="I48" s="332">
        <f t="shared" si="20"/>
        <v>7608.0000000000064</v>
      </c>
      <c r="J48" s="332">
        <f t="shared" si="20"/>
        <v>7608.0000000000064</v>
      </c>
      <c r="K48" s="332">
        <f t="shared" si="20"/>
        <v>7608.0000000000064</v>
      </c>
      <c r="L48" s="332">
        <f t="shared" si="20"/>
        <v>7608.0000000000064</v>
      </c>
      <c r="M48" s="284"/>
      <c r="N48" s="104"/>
      <c r="O48" s="38"/>
      <c r="P48" s="38"/>
      <c r="Q48" s="38"/>
      <c r="R48" s="38"/>
      <c r="S48" s="38"/>
      <c r="T48" s="38"/>
    </row>
    <row r="49" spans="1:20" x14ac:dyDescent="0.25">
      <c r="A49" s="96">
        <f>ROW()</f>
        <v>49</v>
      </c>
      <c r="B49" s="764" t="s">
        <v>683</v>
      </c>
      <c r="G49" s="332">
        <f t="shared" ref="G49:L49" si="23">+G29/12</f>
        <v>0</v>
      </c>
      <c r="H49" s="332">
        <f t="shared" si="23"/>
        <v>0</v>
      </c>
      <c r="I49" s="332">
        <f t="shared" si="23"/>
        <v>0</v>
      </c>
      <c r="J49" s="332">
        <f t="shared" si="23"/>
        <v>0</v>
      </c>
      <c r="K49" s="332">
        <f t="shared" si="23"/>
        <v>0</v>
      </c>
      <c r="L49" s="332">
        <f t="shared" si="23"/>
        <v>0</v>
      </c>
      <c r="M49" s="284"/>
      <c r="N49" s="104" t="s">
        <v>705</v>
      </c>
      <c r="O49" s="38"/>
      <c r="P49" s="38"/>
      <c r="Q49" s="38"/>
      <c r="R49" s="38"/>
      <c r="S49" s="38"/>
      <c r="T49" s="38"/>
    </row>
    <row r="50" spans="1:20" x14ac:dyDescent="0.25">
      <c r="A50" s="96">
        <f>ROW()</f>
        <v>50</v>
      </c>
      <c r="B50" s="38"/>
      <c r="C50" s="38"/>
      <c r="D50" s="38"/>
      <c r="E50" s="38"/>
      <c r="F50" s="38"/>
      <c r="G50" s="38"/>
      <c r="H50" s="38"/>
      <c r="I50" s="38"/>
      <c r="J50" s="38"/>
      <c r="K50" s="38"/>
      <c r="L50" s="38"/>
      <c r="M50" s="284"/>
      <c r="N50" s="104"/>
      <c r="O50" s="38"/>
      <c r="P50" s="38"/>
      <c r="Q50" s="38"/>
      <c r="R50" s="38"/>
      <c r="S50" s="38"/>
      <c r="T50" s="38"/>
    </row>
    <row r="51" spans="1:20" x14ac:dyDescent="0.25">
      <c r="A51" s="96">
        <f>ROW()</f>
        <v>51</v>
      </c>
      <c r="B51" s="42" t="s">
        <v>706</v>
      </c>
      <c r="C51" s="38" t="s">
        <v>707</v>
      </c>
      <c r="D51" s="38"/>
      <c r="E51" s="38"/>
      <c r="F51" s="38"/>
      <c r="G51" s="787"/>
      <c r="H51" s="787"/>
      <c r="I51" s="787"/>
      <c r="J51" s="787"/>
      <c r="K51" s="787"/>
      <c r="L51" s="787"/>
      <c r="M51" s="284"/>
      <c r="N51" s="104"/>
      <c r="O51" s="38"/>
      <c r="P51" s="38"/>
      <c r="Q51" s="38"/>
      <c r="R51" s="38"/>
      <c r="S51" s="38"/>
      <c r="T51" s="38"/>
    </row>
    <row r="52" spans="1:20" x14ac:dyDescent="0.25">
      <c r="A52" s="96">
        <f>ROW()</f>
        <v>52</v>
      </c>
      <c r="B52" s="38" t="s">
        <v>708</v>
      </c>
      <c r="C52" s="38"/>
      <c r="D52" s="38"/>
      <c r="E52" s="38"/>
      <c r="F52" s="38"/>
      <c r="G52" s="787"/>
      <c r="H52" s="787"/>
      <c r="I52" s="787"/>
      <c r="J52" s="787"/>
      <c r="K52" s="787"/>
      <c r="L52" s="787"/>
      <c r="M52" s="284"/>
      <c r="N52" s="104"/>
      <c r="O52" s="38"/>
      <c r="P52" s="38"/>
      <c r="Q52" s="38"/>
      <c r="R52" s="38"/>
      <c r="S52" s="38"/>
      <c r="T52" s="38"/>
    </row>
    <row r="53" spans="1:20" x14ac:dyDescent="0.25">
      <c r="A53" s="96">
        <f>ROW()</f>
        <v>53</v>
      </c>
      <c r="B53" s="38"/>
      <c r="C53" s="38"/>
      <c r="D53" s="38"/>
      <c r="E53" s="38"/>
      <c r="F53" s="38"/>
      <c r="G53" s="787"/>
      <c r="H53" s="787"/>
      <c r="I53" s="787"/>
      <c r="J53" s="787"/>
      <c r="K53" s="787"/>
      <c r="L53" s="787"/>
      <c r="M53" s="284"/>
      <c r="N53" s="104"/>
      <c r="O53" s="38"/>
      <c r="P53" s="38"/>
      <c r="Q53" s="38"/>
      <c r="R53" s="38"/>
      <c r="S53" s="38"/>
      <c r="T53" s="38"/>
    </row>
    <row r="54" spans="1:20" x14ac:dyDescent="0.25">
      <c r="A54" s="96">
        <f>ROW()</f>
        <v>54</v>
      </c>
      <c r="B54" s="748" t="s">
        <v>709</v>
      </c>
      <c r="C54" s="788"/>
      <c r="D54" s="749"/>
      <c r="E54" s="38"/>
      <c r="G54" s="294"/>
      <c r="H54" s="84"/>
      <c r="I54" s="84"/>
      <c r="J54" s="84"/>
      <c r="K54" s="84"/>
      <c r="L54" s="84"/>
      <c r="M54" s="266"/>
      <c r="N54" s="104"/>
    </row>
    <row r="55" spans="1:20" x14ac:dyDescent="0.25">
      <c r="A55" s="96">
        <f>ROW()</f>
        <v>55</v>
      </c>
      <c r="B55" s="42" t="s">
        <v>710</v>
      </c>
      <c r="C55" s="789">
        <v>2.5</v>
      </c>
      <c r="D55" s="78"/>
      <c r="E55" s="78" t="s">
        <v>711</v>
      </c>
      <c r="F55" s="78"/>
      <c r="G55" s="790">
        <v>0</v>
      </c>
      <c r="H55" s="42" t="s">
        <v>712</v>
      </c>
      <c r="M55" s="266"/>
      <c r="N55" s="104"/>
    </row>
    <row r="56" spans="1:20" x14ac:dyDescent="0.25">
      <c r="A56" s="96">
        <f>ROW()</f>
        <v>56</v>
      </c>
      <c r="B56" s="42" t="s">
        <v>713</v>
      </c>
      <c r="C56" s="766">
        <v>0</v>
      </c>
      <c r="D56" s="78" t="s">
        <v>678</v>
      </c>
      <c r="E56" s="78" t="s">
        <v>714</v>
      </c>
      <c r="F56" s="78"/>
      <c r="G56" s="791">
        <f>C60*(1-G55)</f>
        <v>0</v>
      </c>
      <c r="I56" s="792"/>
      <c r="J56" s="792"/>
      <c r="K56" s="792"/>
      <c r="L56" s="792"/>
      <c r="M56" s="266"/>
      <c r="N56" s="104"/>
    </row>
    <row r="57" spans="1:20" x14ac:dyDescent="0.25">
      <c r="A57" s="96">
        <f>ROW()</f>
        <v>57</v>
      </c>
      <c r="B57" s="42" t="s">
        <v>715</v>
      </c>
      <c r="C57" s="793">
        <f>C55*C56</f>
        <v>0</v>
      </c>
      <c r="D57" s="78"/>
      <c r="E57" s="78" t="s">
        <v>716</v>
      </c>
      <c r="F57" s="78"/>
      <c r="G57" s="794">
        <v>0</v>
      </c>
      <c r="H57" s="41"/>
      <c r="M57" s="266"/>
      <c r="N57" s="104"/>
    </row>
    <row r="58" spans="1:20" x14ac:dyDescent="0.25">
      <c r="A58" s="96">
        <f>ROW()</f>
        <v>58</v>
      </c>
      <c r="B58" s="42" t="s">
        <v>717</v>
      </c>
      <c r="C58" s="766">
        <v>0</v>
      </c>
      <c r="D58" s="78" t="s">
        <v>678</v>
      </c>
      <c r="E58" s="78" t="s">
        <v>718</v>
      </c>
      <c r="F58" s="78"/>
      <c r="G58" s="794">
        <v>0</v>
      </c>
      <c r="H58" s="41"/>
      <c r="M58" s="266"/>
      <c r="N58" s="104"/>
    </row>
    <row r="59" spans="1:20" x14ac:dyDescent="0.25">
      <c r="A59" s="96">
        <f>ROW()</f>
        <v>59</v>
      </c>
      <c r="B59" s="42" t="s">
        <v>719</v>
      </c>
      <c r="C59" s="795">
        <f>C55*C58</f>
        <v>0</v>
      </c>
      <c r="D59" s="78"/>
      <c r="E59" s="78" t="s">
        <v>720</v>
      </c>
      <c r="F59" s="78"/>
      <c r="G59" s="796">
        <v>0</v>
      </c>
      <c r="M59" s="266"/>
      <c r="N59" s="104"/>
    </row>
    <row r="60" spans="1:20" x14ac:dyDescent="0.25">
      <c r="A60" s="96">
        <f>ROW()</f>
        <v>60</v>
      </c>
      <c r="B60" s="38" t="s">
        <v>721</v>
      </c>
      <c r="C60" s="791">
        <f>C57+C59</f>
        <v>0</v>
      </c>
      <c r="D60" s="78"/>
      <c r="E60" s="78"/>
      <c r="F60" s="78"/>
      <c r="G60" s="78"/>
      <c r="M60" s="266"/>
      <c r="N60" s="104"/>
    </row>
    <row r="61" spans="1:20" x14ac:dyDescent="0.25">
      <c r="A61" s="96">
        <f>ROW()</f>
        <v>61</v>
      </c>
      <c r="B61" s="42" t="s">
        <v>722</v>
      </c>
      <c r="C61" s="78"/>
      <c r="D61" s="797">
        <f>IFERROR(-PMT(G59/12,G57*12,G56,0,1),0)</f>
        <v>0</v>
      </c>
      <c r="E61" s="78"/>
      <c r="F61" s="78"/>
      <c r="G61" s="78"/>
      <c r="H61" s="41"/>
      <c r="I61" s="41"/>
      <c r="J61" s="41"/>
      <c r="K61" s="41"/>
      <c r="L61" s="41"/>
      <c r="M61" s="266"/>
      <c r="N61" s="104"/>
    </row>
    <row r="62" spans="1:20" x14ac:dyDescent="0.25">
      <c r="A62" s="96">
        <f>ROW()</f>
        <v>62</v>
      </c>
      <c r="B62" s="42" t="s">
        <v>723</v>
      </c>
      <c r="C62" s="78"/>
      <c r="D62" s="791">
        <f>D61*12</f>
        <v>0</v>
      </c>
      <c r="E62" s="798"/>
      <c r="F62" s="798"/>
      <c r="G62" s="799">
        <f>+D62</f>
        <v>0</v>
      </c>
      <c r="H62" s="800">
        <f>IF(H7-$G$7&lt;$G$57,$D$62,0)</f>
        <v>0</v>
      </c>
      <c r="I62" s="800">
        <f>IF(I7-$G$7&lt;$G$57,$D$62,0)</f>
        <v>0</v>
      </c>
      <c r="J62" s="800">
        <f>IF(J7-$G$7&lt;$G$57,$D$62,0)</f>
        <v>0</v>
      </c>
      <c r="K62" s="800">
        <f>IF(K7-$G$7&lt;$G$57,$D$62,0)</f>
        <v>0</v>
      </c>
      <c r="L62" s="800">
        <f>IF(L7-$G$7&lt;$G$57,$D$62,0)</f>
        <v>0</v>
      </c>
      <c r="M62" s="266"/>
      <c r="N62" s="104"/>
    </row>
    <row r="63" spans="1:20" x14ac:dyDescent="0.25">
      <c r="A63" s="96">
        <f>ROW()</f>
        <v>63</v>
      </c>
      <c r="B63" s="42" t="s">
        <v>724</v>
      </c>
      <c r="C63" s="78"/>
      <c r="D63" s="791">
        <f>IFERROR((-PV(0.02,G57,0,((D62*G57)-G56),0))/G57,0)</f>
        <v>0</v>
      </c>
      <c r="E63" s="798"/>
      <c r="F63" s="798"/>
      <c r="G63" s="801">
        <f>$D$63</f>
        <v>0</v>
      </c>
      <c r="H63" s="802">
        <f>IF(H7-$G$7&lt;$G$57,$D$63,0)</f>
        <v>0</v>
      </c>
      <c r="I63" s="802">
        <f>IF(I7-$G$7&lt;$G$57,$D$63,0)</f>
        <v>0</v>
      </c>
      <c r="J63" s="802">
        <f>IF(J7-$G$7&lt;$G$57,$D$63,0)</f>
        <v>0</v>
      </c>
      <c r="K63" s="802">
        <f>IF(K7-$G$7&lt;$G$57,$D$63,0)</f>
        <v>0</v>
      </c>
      <c r="L63" s="802">
        <f>IF(L7-$G$7&lt;$G$57,$D$63,0)</f>
        <v>0</v>
      </c>
      <c r="M63" s="266"/>
      <c r="N63" s="104"/>
    </row>
    <row r="64" spans="1:20" x14ac:dyDescent="0.25">
      <c r="A64" s="96">
        <f>ROW()</f>
        <v>64</v>
      </c>
      <c r="B64" s="42" t="s">
        <v>725</v>
      </c>
      <c r="C64" s="78"/>
      <c r="D64" s="78"/>
      <c r="E64" s="78"/>
      <c r="F64" s="78"/>
      <c r="G64" s="329"/>
      <c r="H64" s="196"/>
      <c r="I64" s="196"/>
      <c r="J64" s="196"/>
      <c r="K64" s="196"/>
      <c r="L64" s="196"/>
      <c r="M64" s="266"/>
      <c r="N64" s="104"/>
    </row>
    <row r="65" spans="1:14" x14ac:dyDescent="0.25">
      <c r="A65" s="96">
        <f>ROW()</f>
        <v>65</v>
      </c>
      <c r="B65" s="42" t="s">
        <v>726</v>
      </c>
      <c r="C65" s="766">
        <v>0</v>
      </c>
      <c r="D65" s="78" t="s">
        <v>678</v>
      </c>
      <c r="E65" s="78"/>
      <c r="F65" s="78"/>
      <c r="G65" s="803">
        <f t="shared" ref="G65:L65" si="24">$C$65*$C$55</f>
        <v>0</v>
      </c>
      <c r="H65" s="100">
        <f t="shared" si="24"/>
        <v>0</v>
      </c>
      <c r="I65" s="100">
        <f t="shared" si="24"/>
        <v>0</v>
      </c>
      <c r="J65" s="100">
        <f t="shared" si="24"/>
        <v>0</v>
      </c>
      <c r="K65" s="100">
        <f t="shared" si="24"/>
        <v>0</v>
      </c>
      <c r="L65" s="100">
        <f t="shared" si="24"/>
        <v>0</v>
      </c>
      <c r="M65" s="266"/>
      <c r="N65" s="104"/>
    </row>
    <row r="66" spans="1:14" x14ac:dyDescent="0.25">
      <c r="A66" s="96">
        <f>ROW()</f>
        <v>66</v>
      </c>
      <c r="B66" s="42" t="s">
        <v>435</v>
      </c>
      <c r="C66" s="766">
        <v>0</v>
      </c>
      <c r="D66" s="78" t="s">
        <v>678</v>
      </c>
      <c r="E66" s="78"/>
      <c r="F66" s="78"/>
      <c r="G66" s="803">
        <f t="shared" ref="G66:L66" si="25">$C$66*$C$55</f>
        <v>0</v>
      </c>
      <c r="H66" s="100">
        <f t="shared" si="25"/>
        <v>0</v>
      </c>
      <c r="I66" s="100">
        <f t="shared" si="25"/>
        <v>0</v>
      </c>
      <c r="J66" s="100">
        <f t="shared" si="25"/>
        <v>0</v>
      </c>
      <c r="K66" s="100">
        <f t="shared" si="25"/>
        <v>0</v>
      </c>
      <c r="L66" s="100">
        <f t="shared" si="25"/>
        <v>0</v>
      </c>
      <c r="M66" s="266"/>
      <c r="N66" s="104"/>
    </row>
    <row r="67" spans="1:14" x14ac:dyDescent="0.25">
      <c r="A67" s="96">
        <f>ROW()</f>
        <v>67</v>
      </c>
      <c r="B67" s="42" t="s">
        <v>687</v>
      </c>
      <c r="C67" s="766">
        <v>0</v>
      </c>
      <c r="D67" s="78" t="s">
        <v>678</v>
      </c>
      <c r="E67" s="78"/>
      <c r="F67" s="78"/>
      <c r="G67" s="803">
        <f t="shared" ref="G67:L67" si="26">$C$67*$C$55</f>
        <v>0</v>
      </c>
      <c r="H67" s="100">
        <f t="shared" si="26"/>
        <v>0</v>
      </c>
      <c r="I67" s="100">
        <f t="shared" si="26"/>
        <v>0</v>
      </c>
      <c r="J67" s="100">
        <f t="shared" si="26"/>
        <v>0</v>
      </c>
      <c r="K67" s="100">
        <f t="shared" si="26"/>
        <v>0</v>
      </c>
      <c r="L67" s="100">
        <f t="shared" si="26"/>
        <v>0</v>
      </c>
      <c r="M67" s="266"/>
      <c r="N67" s="104"/>
    </row>
    <row r="68" spans="1:14" x14ac:dyDescent="0.25">
      <c r="A68" s="96">
        <f>ROW()</f>
        <v>68</v>
      </c>
      <c r="B68" s="42" t="s">
        <v>683</v>
      </c>
      <c r="C68" s="766">
        <v>0</v>
      </c>
      <c r="D68" s="78" t="s">
        <v>478</v>
      </c>
      <c r="E68" s="78"/>
      <c r="F68" s="78"/>
      <c r="G68" s="803">
        <f t="shared" ref="G68:L68" si="27">$C$68</f>
        <v>0</v>
      </c>
      <c r="H68" s="100">
        <f t="shared" si="27"/>
        <v>0</v>
      </c>
      <c r="I68" s="100">
        <f t="shared" si="27"/>
        <v>0</v>
      </c>
      <c r="J68" s="100">
        <f t="shared" si="27"/>
        <v>0</v>
      </c>
      <c r="K68" s="100">
        <f t="shared" si="27"/>
        <v>0</v>
      </c>
      <c r="L68" s="100">
        <f t="shared" si="27"/>
        <v>0</v>
      </c>
      <c r="M68" s="266"/>
      <c r="N68" s="104"/>
    </row>
    <row r="69" spans="1:14" x14ac:dyDescent="0.25">
      <c r="A69" s="96">
        <f>ROW()</f>
        <v>69</v>
      </c>
      <c r="B69" s="42" t="s">
        <v>727</v>
      </c>
      <c r="G69" s="100">
        <f>C57*G55</f>
        <v>0</v>
      </c>
      <c r="H69" s="100"/>
      <c r="I69" s="100"/>
      <c r="J69" s="100"/>
      <c r="K69" s="100"/>
      <c r="L69" s="100"/>
      <c r="M69" s="266"/>
      <c r="N69" s="104"/>
    </row>
    <row r="70" spans="1:14" x14ac:dyDescent="0.25">
      <c r="A70" s="96">
        <f>ROW()</f>
        <v>70</v>
      </c>
      <c r="B70" s="42" t="s">
        <v>728</v>
      </c>
      <c r="G70" s="100"/>
      <c r="H70" s="100"/>
      <c r="I70" s="100"/>
      <c r="J70" s="100"/>
      <c r="K70" s="100"/>
      <c r="L70" s="100"/>
      <c r="M70" s="266"/>
      <c r="N70" s="104"/>
    </row>
    <row r="71" spans="1:14" x14ac:dyDescent="0.25">
      <c r="A71" s="96">
        <f>ROW()</f>
        <v>71</v>
      </c>
      <c r="B71" s="491" t="s">
        <v>729</v>
      </c>
      <c r="C71" s="491"/>
      <c r="D71" s="491"/>
      <c r="E71" s="491"/>
      <c r="F71" s="804"/>
      <c r="G71" s="181">
        <f t="shared" ref="G71:L71" si="28">SUM(G62:G70)-G63</f>
        <v>0</v>
      </c>
      <c r="H71" s="181">
        <f t="shared" si="28"/>
        <v>0</v>
      </c>
      <c r="I71" s="181">
        <f t="shared" si="28"/>
        <v>0</v>
      </c>
      <c r="J71" s="181">
        <f t="shared" si="28"/>
        <v>0</v>
      </c>
      <c r="K71" s="181">
        <f t="shared" si="28"/>
        <v>0</v>
      </c>
      <c r="L71" s="181">
        <f t="shared" si="28"/>
        <v>0</v>
      </c>
      <c r="M71" s="266"/>
      <c r="N71" s="104"/>
    </row>
    <row r="72" spans="1:14" x14ac:dyDescent="0.25">
      <c r="A72" s="96">
        <f>ROW()</f>
        <v>72</v>
      </c>
      <c r="B72" s="38" t="s">
        <v>730</v>
      </c>
      <c r="C72" s="38"/>
      <c r="D72" s="38"/>
      <c r="E72" s="38"/>
      <c r="F72" s="805"/>
      <c r="G72" s="203">
        <f t="shared" ref="G72:L72" si="29">(($C$57+$C$59)/50)+G65+G66+G67+G68</f>
        <v>0</v>
      </c>
      <c r="H72" s="203">
        <f t="shared" si="29"/>
        <v>0</v>
      </c>
      <c r="I72" s="203">
        <f t="shared" si="29"/>
        <v>0</v>
      </c>
      <c r="J72" s="203">
        <f t="shared" si="29"/>
        <v>0</v>
      </c>
      <c r="K72" s="203">
        <f t="shared" si="29"/>
        <v>0</v>
      </c>
      <c r="L72" s="203">
        <f t="shared" si="29"/>
        <v>0</v>
      </c>
      <c r="M72" s="266"/>
      <c r="N72" s="104"/>
    </row>
    <row r="73" spans="1:14" x14ac:dyDescent="0.25">
      <c r="A73" s="96">
        <f>ROW()</f>
        <v>73</v>
      </c>
      <c r="G73" s="161"/>
      <c r="H73" s="127"/>
      <c r="I73" s="127"/>
      <c r="J73" s="127"/>
      <c r="K73" s="127"/>
      <c r="L73" s="127"/>
      <c r="M73" s="266"/>
      <c r="N73" s="104"/>
    </row>
    <row r="74" spans="1:14" x14ac:dyDescent="0.25">
      <c r="A74" s="96">
        <f>ROW()</f>
        <v>74</v>
      </c>
      <c r="B74" s="806" t="s">
        <v>731</v>
      </c>
      <c r="C74" s="367"/>
      <c r="D74" s="367"/>
      <c r="E74" s="807">
        <f>SUM(F74:L74)</f>
        <v>8753780.6944713928</v>
      </c>
      <c r="F74" s="808">
        <f t="shared" ref="F74:L75" si="30">IF($C$7="Lease",F41,F71)</f>
        <v>1142424.0000000002</v>
      </c>
      <c r="G74" s="808">
        <f t="shared" si="30"/>
        <v>1176696.7200000002</v>
      </c>
      <c r="H74" s="808">
        <f t="shared" si="30"/>
        <v>1211997.6216000002</v>
      </c>
      <c r="I74" s="808">
        <f t="shared" si="30"/>
        <v>1248357.5502480003</v>
      </c>
      <c r="J74" s="808">
        <f t="shared" si="30"/>
        <v>1285808.2767554403</v>
      </c>
      <c r="K74" s="808">
        <f t="shared" si="30"/>
        <v>1324382.5250581035</v>
      </c>
      <c r="L74" s="808">
        <f t="shared" si="30"/>
        <v>1364114.0008098467</v>
      </c>
      <c r="M74" s="266"/>
      <c r="N74" s="104"/>
    </row>
    <row r="75" spans="1:14" x14ac:dyDescent="0.25">
      <c r="A75" s="96">
        <f>ROW()</f>
        <v>75</v>
      </c>
      <c r="B75" s="809" t="s">
        <v>732</v>
      </c>
      <c r="C75" s="374"/>
      <c r="D75" s="374"/>
      <c r="E75" s="810">
        <f>SUM(F75:L75)</f>
        <v>8753780.6944713928</v>
      </c>
      <c r="F75" s="811">
        <f t="shared" si="30"/>
        <v>1142424.0000000002</v>
      </c>
      <c r="G75" s="811">
        <f t="shared" si="30"/>
        <v>1176696.7200000002</v>
      </c>
      <c r="H75" s="812">
        <f t="shared" si="30"/>
        <v>1211997.6216000002</v>
      </c>
      <c r="I75" s="812">
        <f t="shared" si="30"/>
        <v>1248357.5502480003</v>
      </c>
      <c r="J75" s="812">
        <f t="shared" si="30"/>
        <v>1285808.2767554403</v>
      </c>
      <c r="K75" s="812">
        <f t="shared" si="30"/>
        <v>1324382.5250581035</v>
      </c>
      <c r="L75" s="812">
        <f t="shared" si="30"/>
        <v>1364114.0008098467</v>
      </c>
      <c r="M75" s="266"/>
      <c r="N75" s="104"/>
    </row>
    <row r="76" spans="1:14" x14ac:dyDescent="0.25">
      <c r="A76" s="96">
        <f>ROW()</f>
        <v>76</v>
      </c>
      <c r="B76" s="806" t="str">
        <f>IF(C7="Lease",$B$42,B75)</f>
        <v>Total lease book expense (shown on Summary tab)</v>
      </c>
      <c r="C76" s="367"/>
      <c r="D76" s="367"/>
      <c r="E76" s="813">
        <f>SUM(F76:L76)</f>
        <v>8753780.6944713928</v>
      </c>
      <c r="F76" s="808">
        <f t="shared" ref="F76:L76" si="31">IF($C$7="Lease",F42,F72)</f>
        <v>1142424.0000000002</v>
      </c>
      <c r="G76" s="808">
        <f t="shared" si="31"/>
        <v>1176696.7200000002</v>
      </c>
      <c r="H76" s="808">
        <f t="shared" si="31"/>
        <v>1211997.6216000002</v>
      </c>
      <c r="I76" s="808">
        <f t="shared" si="31"/>
        <v>1248357.5502480003</v>
      </c>
      <c r="J76" s="808">
        <f t="shared" si="31"/>
        <v>1285808.2767554403</v>
      </c>
      <c r="K76" s="808">
        <f t="shared" si="31"/>
        <v>1324382.5250581035</v>
      </c>
      <c r="L76" s="808">
        <f t="shared" si="31"/>
        <v>1364114.0008098467</v>
      </c>
      <c r="M76" s="266"/>
      <c r="N76" s="104"/>
    </row>
    <row r="77" spans="1:14" x14ac:dyDescent="0.25">
      <c r="A77" s="96">
        <f>ROW()</f>
        <v>77</v>
      </c>
      <c r="B77" s="42" t="s">
        <v>733</v>
      </c>
      <c r="E77" s="161"/>
      <c r="F77" s="814">
        <f t="shared" ref="F77:L77" si="32">+F76-F74</f>
        <v>0</v>
      </c>
      <c r="G77" s="814">
        <f t="shared" si="32"/>
        <v>0</v>
      </c>
      <c r="H77" s="814">
        <f t="shared" si="32"/>
        <v>0</v>
      </c>
      <c r="I77" s="814">
        <f t="shared" si="32"/>
        <v>0</v>
      </c>
      <c r="J77" s="814">
        <f t="shared" si="32"/>
        <v>0</v>
      </c>
      <c r="K77" s="814">
        <f t="shared" si="32"/>
        <v>0</v>
      </c>
      <c r="L77" s="814">
        <f t="shared" si="32"/>
        <v>0</v>
      </c>
      <c r="N77" s="104"/>
    </row>
    <row r="78" spans="1:14" x14ac:dyDescent="0.25">
      <c r="A78" s="96">
        <f>ROW()</f>
        <v>78</v>
      </c>
      <c r="F78" s="815"/>
      <c r="G78" s="815"/>
      <c r="H78" s="815"/>
      <c r="I78" s="815"/>
      <c r="J78" s="815"/>
      <c r="K78" s="815"/>
      <c r="L78" s="815"/>
      <c r="N78" s="104"/>
    </row>
    <row r="79" spans="1:14" x14ac:dyDescent="0.25">
      <c r="A79" s="96">
        <f>ROW()</f>
        <v>79</v>
      </c>
      <c r="F79" s="35">
        <f>Levers!C6</f>
        <v>0</v>
      </c>
      <c r="G79" s="816">
        <f>Levers!D6</f>
        <v>1</v>
      </c>
      <c r="H79" s="816">
        <f>Levers!E6</f>
        <v>2</v>
      </c>
      <c r="I79" s="816">
        <f>Levers!F6</f>
        <v>3</v>
      </c>
      <c r="J79" s="816">
        <f>Levers!G6</f>
        <v>4</v>
      </c>
      <c r="K79" s="816">
        <f>Levers!H6</f>
        <v>5</v>
      </c>
      <c r="L79" s="816">
        <f>Levers!I6</f>
        <v>6</v>
      </c>
      <c r="N79" s="104"/>
    </row>
    <row r="80" spans="1:14" ht="15.75" x14ac:dyDescent="0.25">
      <c r="A80" s="96">
        <f>ROW()</f>
        <v>80</v>
      </c>
      <c r="F80" s="817">
        <f>Levers!C7</f>
        <v>2024</v>
      </c>
      <c r="G80" s="818">
        <f>Levers!D7</f>
        <v>2025</v>
      </c>
      <c r="H80" s="819">
        <f>Levers!E7</f>
        <v>2026</v>
      </c>
      <c r="I80" s="819">
        <f>Levers!F7</f>
        <v>2027</v>
      </c>
      <c r="J80" s="819">
        <f>Levers!G7</f>
        <v>2028</v>
      </c>
      <c r="K80" s="819">
        <f>Levers!H7</f>
        <v>2029</v>
      </c>
      <c r="L80" s="820">
        <f>Levers!I7</f>
        <v>2030</v>
      </c>
      <c r="N80" s="104"/>
    </row>
    <row r="81" spans="1:14" ht="15.75" x14ac:dyDescent="0.25">
      <c r="A81" s="96">
        <f>ROW()</f>
        <v>81</v>
      </c>
      <c r="B81" s="253"/>
      <c r="E81" s="821" t="str">
        <f>Levers!B8</f>
        <v>Totals</v>
      </c>
      <c r="F81" s="822">
        <f>Levers!C8</f>
        <v>2025</v>
      </c>
      <c r="G81" s="823">
        <f>Levers!D8</f>
        <v>2026</v>
      </c>
      <c r="H81" s="824">
        <f>Levers!E8</f>
        <v>2027</v>
      </c>
      <c r="I81" s="824">
        <f>Levers!F8</f>
        <v>2028</v>
      </c>
      <c r="J81" s="824">
        <f>Levers!G8</f>
        <v>2029</v>
      </c>
      <c r="K81" s="824">
        <f>Levers!H8</f>
        <v>2030</v>
      </c>
      <c r="L81" s="825">
        <f>Levers!I8</f>
        <v>2031</v>
      </c>
      <c r="N81" s="104"/>
    </row>
    <row r="82" spans="1:14" ht="15.75" x14ac:dyDescent="0.25">
      <c r="A82" s="96">
        <f>ROW()</f>
        <v>82</v>
      </c>
      <c r="B82" s="826" t="str">
        <f>Levers!A9</f>
        <v>Total Enrollment</v>
      </c>
      <c r="E82" s="827">
        <f>Levers!B9</f>
        <v>16240.140000000001</v>
      </c>
      <c r="F82" s="828">
        <f>Levers!C9</f>
        <v>2320.02</v>
      </c>
      <c r="G82" s="827">
        <f>Levers!D9</f>
        <v>2320.02</v>
      </c>
      <c r="H82" s="827">
        <f>Levers!E9</f>
        <v>2320.02</v>
      </c>
      <c r="I82" s="827">
        <f>Levers!F9</f>
        <v>2320.02</v>
      </c>
      <c r="J82" s="827">
        <f>Levers!G9</f>
        <v>2320.02</v>
      </c>
      <c r="K82" s="827">
        <f>Levers!H9</f>
        <v>2320.02</v>
      </c>
      <c r="L82" s="827">
        <f>Levers!I9</f>
        <v>2320.02</v>
      </c>
      <c r="N82" s="104"/>
    </row>
    <row r="83" spans="1:14" ht="15.75" x14ac:dyDescent="0.25">
      <c r="A83" s="96">
        <f>ROW()</f>
        <v>83</v>
      </c>
      <c r="B83" s="829" t="str">
        <f>Levers!A10</f>
        <v>Total Revenue</v>
      </c>
      <c r="E83" s="830">
        <f>Levers!B10</f>
        <v>191950073.14216259</v>
      </c>
      <c r="F83" s="830">
        <f>Levers!C10</f>
        <v>26990956.81896</v>
      </c>
      <c r="G83" s="830">
        <f>Levers!D10</f>
        <v>27258416.3971496</v>
      </c>
      <c r="H83" s="830">
        <f>Levers!E10</f>
        <v>27535637.026217461</v>
      </c>
      <c r="I83" s="830">
        <f>Levers!F10</f>
        <v>27541181.438798815</v>
      </c>
      <c r="J83" s="830">
        <f>Levers!G10</f>
        <v>27541292.327050444</v>
      </c>
      <c r="K83" s="830">
        <f>Levers!H10</f>
        <v>27541294.544815477</v>
      </c>
      <c r="L83" s="830">
        <f>Levers!I10</f>
        <v>27541294.589170776</v>
      </c>
      <c r="N83" s="104"/>
    </row>
    <row r="84" spans="1:14" ht="15.75" x14ac:dyDescent="0.25">
      <c r="A84" s="96">
        <f>ROW()</f>
        <v>84</v>
      </c>
      <c r="B84" s="829" t="str">
        <f>Levers!A11</f>
        <v>Rev per student</v>
      </c>
      <c r="E84" s="830">
        <f>Levers!B11</f>
        <v>11819.483892513401</v>
      </c>
      <c r="F84" s="830"/>
      <c r="G84" s="830">
        <f>Levers!D11</f>
        <v>11749.216126218567</v>
      </c>
      <c r="H84" s="830">
        <f>Levers!E11</f>
        <v>11868.706746587297</v>
      </c>
      <c r="I84" s="830">
        <f>Levers!F11</f>
        <v>11871.09655899467</v>
      </c>
      <c r="J84" s="830">
        <f>Levers!G11</f>
        <v>11871.144355242819</v>
      </c>
      <c r="K84" s="830">
        <f>Levers!H11</f>
        <v>11871.145311167782</v>
      </c>
      <c r="L84" s="830">
        <f>Levers!I11</f>
        <v>11871.145330286281</v>
      </c>
      <c r="N84" s="104"/>
    </row>
    <row r="85" spans="1:14" ht="15.75" x14ac:dyDescent="0.25">
      <c r="A85" s="96">
        <f>ROW()</f>
        <v>85</v>
      </c>
      <c r="B85" s="829" t="str">
        <f>Levers!A20</f>
        <v>Total Facilities</v>
      </c>
      <c r="E85" s="830">
        <f>Levers!B20</f>
        <v>8753780.6944713928</v>
      </c>
      <c r="F85" s="830">
        <f>Levers!C20</f>
        <v>1142424.0000000002</v>
      </c>
      <c r="G85" s="830">
        <f>Levers!D20</f>
        <v>1176696.7200000002</v>
      </c>
      <c r="H85" s="830">
        <f>Levers!E20</f>
        <v>1211997.6216000002</v>
      </c>
      <c r="I85" s="830">
        <f>Levers!F20</f>
        <v>1248357.5502480003</v>
      </c>
      <c r="J85" s="830">
        <f>Levers!G20</f>
        <v>1285808.2767554403</v>
      </c>
      <c r="K85" s="830">
        <f>Levers!H20</f>
        <v>1324382.5250581035</v>
      </c>
      <c r="L85" s="830">
        <f>Levers!I20</f>
        <v>1364114.0008098467</v>
      </c>
      <c r="N85" s="104"/>
    </row>
    <row r="86" spans="1:14" ht="15.75" x14ac:dyDescent="0.25">
      <c r="A86" s="96">
        <f>ROW()</f>
        <v>86</v>
      </c>
      <c r="B86" s="829" t="str">
        <f>Levers!A21</f>
        <v>Facilities per Student</v>
      </c>
      <c r="E86" s="830">
        <f>Levers!B21</f>
        <v>539.02125809699862</v>
      </c>
      <c r="F86" s="830"/>
      <c r="G86" s="830">
        <f>Levers!D21</f>
        <v>507.1924897199163</v>
      </c>
      <c r="H86" s="830">
        <f>Levers!E21</f>
        <v>522.40826441151376</v>
      </c>
      <c r="I86" s="830">
        <f>Levers!F21</f>
        <v>538.08051234385925</v>
      </c>
      <c r="J86" s="830">
        <f>Levers!G21</f>
        <v>554.22292771417506</v>
      </c>
      <c r="K86" s="830">
        <f>Levers!H21</f>
        <v>570.84961554560027</v>
      </c>
      <c r="L86" s="830">
        <f>Levers!I21</f>
        <v>587.97510401196826</v>
      </c>
      <c r="N86" s="104"/>
    </row>
    <row r="87" spans="1:14" ht="15.75" x14ac:dyDescent="0.25">
      <c r="A87" s="96">
        <f>ROW()</f>
        <v>87</v>
      </c>
      <c r="B87" s="829" t="str">
        <f>Levers!A22</f>
        <v>Net Surplus after Facilities</v>
      </c>
      <c r="E87" s="830">
        <f>Levers!B22</f>
        <v>183196292.4476912</v>
      </c>
      <c r="F87" s="830">
        <f>Levers!C22</f>
        <v>25848532.81896</v>
      </c>
      <c r="G87" s="830">
        <f>Levers!D22</f>
        <v>26081719.677149601</v>
      </c>
      <c r="H87" s="830">
        <f>Levers!E22</f>
        <v>26323639.404617459</v>
      </c>
      <c r="I87" s="830">
        <f>Levers!F22</f>
        <v>26292823.888550814</v>
      </c>
      <c r="J87" s="830">
        <f>Levers!G22</f>
        <v>26255484.050295003</v>
      </c>
      <c r="K87" s="830">
        <f>Levers!H22</f>
        <v>26216912.019757375</v>
      </c>
      <c r="L87" s="830">
        <f>Levers!I22</f>
        <v>26177180.588360928</v>
      </c>
      <c r="N87" s="104"/>
    </row>
    <row r="88" spans="1:14" x14ac:dyDescent="0.25">
      <c r="A88" s="96">
        <f>ROW()</f>
        <v>88</v>
      </c>
      <c r="B88" s="42" t="str">
        <f>Levers!A23</f>
        <v>Net Surplus after Facilities per Student</v>
      </c>
      <c r="E88" s="831">
        <f>Levers!B23</f>
        <v>11280.462634416403</v>
      </c>
      <c r="F88" s="831"/>
      <c r="G88" s="831">
        <f>Levers!D23</f>
        <v>11242.023636498652</v>
      </c>
      <c r="H88" s="831">
        <f>Levers!E23</f>
        <v>11346.298482175782</v>
      </c>
      <c r="I88" s="831">
        <f>Levers!F23</f>
        <v>11333.016046650811</v>
      </c>
      <c r="J88" s="831">
        <f>Levers!G23</f>
        <v>11316.921427528643</v>
      </c>
      <c r="K88" s="831">
        <f>Levers!H23</f>
        <v>11300.295695622182</v>
      </c>
      <c r="L88" s="831">
        <f>Levers!I23</f>
        <v>11283.170226274311</v>
      </c>
      <c r="N88" s="104"/>
    </row>
    <row r="89" spans="1:14" x14ac:dyDescent="0.25">
      <c r="A89" s="96">
        <f>ROW()</f>
        <v>89</v>
      </c>
      <c r="B89" s="42" t="s">
        <v>470</v>
      </c>
      <c r="E89" s="831">
        <f>Levers!B38</f>
        <v>7179252.7686203793</v>
      </c>
      <c r="F89" s="831">
        <f>Levers!C38</f>
        <v>1405170.7871554845</v>
      </c>
      <c r="G89" s="831">
        <f>Levers!D38</f>
        <v>1415564.3257825843</v>
      </c>
      <c r="H89" s="831">
        <f>Levers!E38</f>
        <v>1429084.1525010711</v>
      </c>
      <c r="I89" s="831">
        <f>Levers!F38</f>
        <v>1161972.4834305684</v>
      </c>
      <c r="J89" s="831">
        <f>Levers!G38</f>
        <v>881264.58524414641</v>
      </c>
      <c r="K89" s="831">
        <f>Levers!H38</f>
        <v>592040.77019461396</v>
      </c>
      <c r="L89" s="831">
        <f>Levers!I38</f>
        <v>294155.6643118686</v>
      </c>
      <c r="N89" s="104"/>
    </row>
    <row r="90" spans="1:14" x14ac:dyDescent="0.25">
      <c r="A90" s="96">
        <f>ROW()</f>
        <v>90</v>
      </c>
      <c r="B90" s="503" t="s">
        <v>471</v>
      </c>
      <c r="E90" s="831">
        <f>Levers!B39</f>
        <v>442.06840388200953</v>
      </c>
      <c r="F90" s="831"/>
      <c r="G90" s="831">
        <f>Levers!D39</f>
        <v>610.15177704613939</v>
      </c>
      <c r="H90" s="831">
        <f>Levers!E39</f>
        <v>615.97923832599338</v>
      </c>
      <c r="I90" s="831">
        <f>Levers!F39</f>
        <v>500.84589073825589</v>
      </c>
      <c r="J90" s="831">
        <f>Levers!G39</f>
        <v>379.85215008670031</v>
      </c>
      <c r="K90" s="831">
        <f>Levers!H39</f>
        <v>255.18778725813311</v>
      </c>
      <c r="L90" s="831">
        <f>Levers!I39</f>
        <v>126.79014159872268</v>
      </c>
      <c r="N90" s="104"/>
    </row>
    <row r="91" spans="1:14" x14ac:dyDescent="0.25">
      <c r="A91" s="96">
        <f>ROW()</f>
        <v>91</v>
      </c>
      <c r="N91" s="104"/>
    </row>
    <row r="92" spans="1:14" x14ac:dyDescent="0.25">
      <c r="A92" s="96">
        <f>ROW()</f>
        <v>92</v>
      </c>
      <c r="B92" s="29" t="s">
        <v>734</v>
      </c>
      <c r="C92" s="29"/>
      <c r="D92" s="29"/>
      <c r="E92" s="29"/>
      <c r="F92" s="29" t="s">
        <v>735</v>
      </c>
      <c r="G92" s="832" t="s">
        <v>736</v>
      </c>
      <c r="H92" s="832" t="s">
        <v>737</v>
      </c>
      <c r="I92" s="832" t="s">
        <v>738</v>
      </c>
      <c r="J92" s="832" t="s">
        <v>739</v>
      </c>
      <c r="K92" s="832" t="s">
        <v>740</v>
      </c>
      <c r="L92" s="832" t="s">
        <v>741</v>
      </c>
      <c r="N92" s="104"/>
    </row>
    <row r="93" spans="1:14" x14ac:dyDescent="0.25">
      <c r="A93" s="96">
        <f>ROW()</f>
        <v>93</v>
      </c>
      <c r="B93" s="42" t="s">
        <v>742</v>
      </c>
      <c r="F93" s="42">
        <v>47424</v>
      </c>
      <c r="G93" s="332">
        <f t="shared" ref="G93:L93" si="33">IF($C$7="lease",G11,$C$55)</f>
        <v>47424</v>
      </c>
      <c r="H93" s="332">
        <f t="shared" si="33"/>
        <v>47424</v>
      </c>
      <c r="I93" s="332">
        <f t="shared" si="33"/>
        <v>47424</v>
      </c>
      <c r="J93" s="332">
        <f t="shared" si="33"/>
        <v>47424</v>
      </c>
      <c r="K93" s="332">
        <f t="shared" si="33"/>
        <v>47424</v>
      </c>
      <c r="L93" s="332">
        <f t="shared" si="33"/>
        <v>47424</v>
      </c>
      <c r="N93" s="104"/>
    </row>
    <row r="94" spans="1:14" x14ac:dyDescent="0.25">
      <c r="A94" s="96">
        <f>ROW()</f>
        <v>94</v>
      </c>
      <c r="B94" s="522" t="s">
        <v>433</v>
      </c>
      <c r="F94" s="42">
        <v>1176696.7200000002</v>
      </c>
      <c r="G94" s="332">
        <f t="shared" ref="G94:L94" si="34">IF($C$7="lease",G23,G62)</f>
        <v>1176696.7200000002</v>
      </c>
      <c r="H94" s="332">
        <f t="shared" si="34"/>
        <v>1211997.6216000002</v>
      </c>
      <c r="I94" s="332">
        <f t="shared" si="34"/>
        <v>1248357.5502480003</v>
      </c>
      <c r="J94" s="332">
        <f t="shared" si="34"/>
        <v>1285808.2767554403</v>
      </c>
      <c r="K94" s="332">
        <f t="shared" si="34"/>
        <v>1324382.5250581035</v>
      </c>
      <c r="L94" s="332">
        <f t="shared" si="34"/>
        <v>1364114.0008098467</v>
      </c>
      <c r="N94" s="104"/>
    </row>
    <row r="95" spans="1:14" x14ac:dyDescent="0.25">
      <c r="A95" s="96">
        <f>ROW()</f>
        <v>95</v>
      </c>
      <c r="B95" s="522" t="s">
        <v>434</v>
      </c>
      <c r="F95" s="42">
        <v>125000</v>
      </c>
      <c r="G95" s="332">
        <f t="shared" ref="G95:L97" si="35">IF($C$7="lease",G25,G65)</f>
        <v>125000</v>
      </c>
      <c r="H95" s="332">
        <f t="shared" si="35"/>
        <v>125000</v>
      </c>
      <c r="I95" s="332">
        <f t="shared" si="35"/>
        <v>125000</v>
      </c>
      <c r="J95" s="332">
        <f t="shared" si="35"/>
        <v>125000</v>
      </c>
      <c r="K95" s="332">
        <f t="shared" si="35"/>
        <v>125000</v>
      </c>
      <c r="L95" s="332">
        <f t="shared" si="35"/>
        <v>125000</v>
      </c>
      <c r="N95" s="104"/>
    </row>
    <row r="96" spans="1:14" x14ac:dyDescent="0.25">
      <c r="A96" s="96">
        <f>ROW()</f>
        <v>96</v>
      </c>
      <c r="B96" s="522" t="s">
        <v>435</v>
      </c>
      <c r="F96" s="42">
        <v>90000</v>
      </c>
      <c r="G96" s="332">
        <f t="shared" si="35"/>
        <v>90000</v>
      </c>
      <c r="H96" s="332">
        <f t="shared" si="35"/>
        <v>90000</v>
      </c>
      <c r="I96" s="332">
        <f t="shared" si="35"/>
        <v>90000</v>
      </c>
      <c r="J96" s="332">
        <f t="shared" si="35"/>
        <v>90000</v>
      </c>
      <c r="K96" s="332">
        <f t="shared" si="35"/>
        <v>90000</v>
      </c>
      <c r="L96" s="332">
        <f t="shared" si="35"/>
        <v>90000</v>
      </c>
      <c r="N96" s="104"/>
    </row>
    <row r="97" spans="1:14" x14ac:dyDescent="0.25">
      <c r="A97" s="96">
        <f>ROW()</f>
        <v>97</v>
      </c>
      <c r="B97" s="525" t="s">
        <v>436</v>
      </c>
      <c r="F97" s="42">
        <v>91296.000000000073</v>
      </c>
      <c r="G97" s="332">
        <f t="shared" si="35"/>
        <v>91296.000000000073</v>
      </c>
      <c r="H97" s="332">
        <f t="shared" si="35"/>
        <v>91296.000000000073</v>
      </c>
      <c r="I97" s="332">
        <f t="shared" si="35"/>
        <v>91296.000000000073</v>
      </c>
      <c r="J97" s="332">
        <f t="shared" si="35"/>
        <v>91296.000000000073</v>
      </c>
      <c r="K97" s="332">
        <f t="shared" si="35"/>
        <v>91296.000000000073</v>
      </c>
      <c r="L97" s="332">
        <f t="shared" si="35"/>
        <v>91296.000000000073</v>
      </c>
      <c r="N97" s="104"/>
    </row>
    <row r="98" spans="1:14" x14ac:dyDescent="0.25">
      <c r="A98" s="96">
        <f>ROW()</f>
        <v>98</v>
      </c>
      <c r="B98" s="525" t="s">
        <v>437</v>
      </c>
      <c r="F98" s="42">
        <v>0</v>
      </c>
      <c r="G98" s="332">
        <f t="shared" ref="G98:L98" si="36">IF($C$7="lease",G29,G68)</f>
        <v>0</v>
      </c>
      <c r="H98" s="332">
        <f t="shared" si="36"/>
        <v>0</v>
      </c>
      <c r="I98" s="332">
        <f t="shared" si="36"/>
        <v>0</v>
      </c>
      <c r="J98" s="332">
        <f t="shared" si="36"/>
        <v>0</v>
      </c>
      <c r="K98" s="332">
        <f t="shared" si="36"/>
        <v>0</v>
      </c>
      <c r="L98" s="332">
        <f t="shared" si="36"/>
        <v>0</v>
      </c>
      <c r="N98" s="104"/>
    </row>
    <row r="99" spans="1:14" x14ac:dyDescent="0.25">
      <c r="A99" s="96">
        <f>ROW()</f>
        <v>99</v>
      </c>
      <c r="B99" s="525" t="s">
        <v>438</v>
      </c>
      <c r="F99" s="42">
        <v>0</v>
      </c>
      <c r="G99" s="332">
        <f t="shared" ref="G99:L99" si="37">IF($C$7="lease",G35,0)</f>
        <v>0</v>
      </c>
      <c r="H99" s="332">
        <f t="shared" si="37"/>
        <v>0</v>
      </c>
      <c r="I99" s="332">
        <f t="shared" si="37"/>
        <v>0</v>
      </c>
      <c r="J99" s="332">
        <f t="shared" si="37"/>
        <v>0</v>
      </c>
      <c r="K99" s="332">
        <f t="shared" si="37"/>
        <v>0</v>
      </c>
      <c r="L99" s="332">
        <f t="shared" si="37"/>
        <v>0</v>
      </c>
      <c r="N99" s="104"/>
    </row>
    <row r="100" spans="1:14" x14ac:dyDescent="0.25">
      <c r="A100" s="96">
        <f>ROW()</f>
        <v>100</v>
      </c>
      <c r="B100" s="525" t="s">
        <v>431</v>
      </c>
      <c r="F100" s="42">
        <v>0</v>
      </c>
      <c r="G100" s="332">
        <f t="shared" ref="G100:L100" si="38">IF($C$7="lease",G34,0)</f>
        <v>0</v>
      </c>
      <c r="H100" s="332">
        <f t="shared" si="38"/>
        <v>0</v>
      </c>
      <c r="I100" s="332">
        <f t="shared" si="38"/>
        <v>0</v>
      </c>
      <c r="J100" s="332">
        <f t="shared" si="38"/>
        <v>0</v>
      </c>
      <c r="K100" s="332">
        <f t="shared" si="38"/>
        <v>0</v>
      </c>
      <c r="L100" s="332">
        <f t="shared" si="38"/>
        <v>0</v>
      </c>
      <c r="N100" s="104"/>
    </row>
    <row r="101" spans="1:14" x14ac:dyDescent="0.25">
      <c r="A101" s="96"/>
      <c r="B101" s="525"/>
      <c r="N101" s="104"/>
    </row>
    <row r="103" spans="1:14" x14ac:dyDescent="0.25">
      <c r="M103"/>
    </row>
    <row r="104" spans="1:14" x14ac:dyDescent="0.25">
      <c r="M104" s="11"/>
    </row>
  </sheetData>
  <mergeCells count="2">
    <mergeCell ref="G2:K2"/>
    <mergeCell ref="G3:K3"/>
  </mergeCells>
  <conditionalFormatting sqref="D1">
    <cfRule type="expression" dxfId="25" priority="1" stopIfTrue="1">
      <formula>MOD(ROW(),2)=0</formula>
    </cfRule>
  </conditionalFormatting>
  <conditionalFormatting sqref="F71:F72">
    <cfRule type="cellIs" dxfId="24" priority="4" stopIfTrue="1" operator="equal">
      <formula>0</formula>
    </cfRule>
  </conditionalFormatting>
  <conditionalFormatting sqref="G57">
    <cfRule type="expression" dxfId="23" priority="2">
      <formula>"'=or(&lt;0.95*Facilities!$I$16,&gt;1.05*Facilities!$I$16,&lt;0.95*Facilities!$I$51,&gt;1.05*Facilities!$I$51)"</formula>
    </cfRule>
    <cfRule type="expression" priority="3">
      <formula>"'=or(&lt;.95*Facilities!$I$16,&gt;1.05*Facilities!$I$16,&lt;.95*Facilities!$I$51,&gt;1.05*Facilities!$I$51)"</formula>
    </cfRule>
  </conditionalFormatting>
  <hyperlinks>
    <hyperlink ref="D1" location="HypLink1" display="HypLink1" xr:uid="{3FBEF14C-C877-411E-930E-233DA2E00B09}"/>
  </hyperlinks>
  <pageMargins left="0.7" right="0.7" top="0.75" bottom="0.75" header="0.3" footer="0.3"/>
  <pageSetup paperSize="119" scale="94" fitToHeight="0" orientation="landscape"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D4A3EC0020B44F93019580CF4D642E" ma:contentTypeVersion="27" ma:contentTypeDescription="Create a new document." ma:contentTypeScope="" ma:versionID="a461ea5d2484736acc45bfcb9cf30d18">
  <xsd:schema xmlns:xsd="http://www.w3.org/2001/XMLSchema" xmlns:xs="http://www.w3.org/2001/XMLSchema" xmlns:p="http://schemas.microsoft.com/office/2006/metadata/properties" xmlns:ns1="http://schemas.microsoft.com/sharepoint/v3" xmlns:ns2="edb173ee-3fb8-4f75-bf43-79a22ca96f2e" xmlns:ns3="9224003f-e6e7-470a-941a-44de56618887" targetNamespace="http://schemas.microsoft.com/office/2006/metadata/properties" ma:root="true" ma:fieldsID="8247d748e6d79b0805e49deee670f41f" ns1:_="" ns2:_="" ns3:_="">
    <xsd:import namespace="http://schemas.microsoft.com/sharepoint/v3"/>
    <xsd:import namespace="edb173ee-3fb8-4f75-bf43-79a22ca96f2e"/>
    <xsd:import namespace="9224003f-e6e7-470a-941a-44de5661888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EventHashCode" minOccurs="0"/>
                <xsd:element ref="ns2:MediaServiceGenerationTime" minOccurs="0"/>
                <xsd:element ref="ns2:MediaServiceAutoKeyPoints" minOccurs="0"/>
                <xsd:element ref="ns2:MediaServiceKeyPoints" minOccurs="0"/>
                <xsd:element ref="ns1:_ip_UnifiedCompliancePolicyProperties" minOccurs="0"/>
                <xsd:element ref="ns1:_ip_UnifiedCompliancePolicyUIAction" minOccurs="0"/>
                <xsd:element ref="ns2:MediaServiceOCR" minOccurs="0"/>
                <xsd:element ref="ns2:MediaServiceDateTaken" minOccurs="0"/>
                <xsd:element ref="ns2:MediaServiceLocation" minOccurs="0"/>
                <xsd:element ref="ns2:Dateandtime" minOccurs="0"/>
                <xsd:element ref="ns2:MediaLengthInSeconds" minOccurs="0"/>
                <xsd:element ref="ns3:TaxCatchAll" minOccurs="0"/>
                <xsd:element ref="ns2:lcf76f155ced4ddcb4097134ff3c332f" minOccurs="0"/>
                <xsd:element ref="ns2:MediaServiceObjectDetectorVersions" minOccurs="0"/>
                <xsd:element ref="ns2:MediaServiceSearchProperties" minOccurs="0"/>
                <xsd:element ref="ns2:NOC_x002d_FIP" minOccurs="0"/>
                <xsd:element ref="ns2:DateTimeMo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b173ee-3fb8-4f75-bf43-79a22ca96f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Dateandtime" ma:index="22" nillable="true" ma:displayName="Date and time" ma:format="DateTime" ma:internalName="Dateandtime">
      <xsd:simpleType>
        <xsd:restriction base="dms:DateTime"/>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a13bb73f-e2d2-482b-8e61-3bf6a9fa62f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NOC_x002d_FIP" ma:index="29" nillable="true" ma:displayName="NOC-FIP" ma:description="School received or is continuing under a Notice Of Concern (NOC) or is required to submit a Financial Improvement Plan (FIP)" ma:format="Dropdown" ma:internalName="NOC_x002d_FIP">
      <xsd:simpleType>
        <xsd:restriction base="dms:Text">
          <xsd:maxLength value="255"/>
        </xsd:restriction>
      </xsd:simpleType>
    </xsd:element>
    <xsd:element name="DateTimeMod" ma:index="30" nillable="true" ma:displayName="Date &amp; Time Mod" ma:format="DateTime" ma:internalName="DateTimeMo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224003f-e6e7-470a-941a-44de5661888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51d1bbaf-8935-41e2-b6d1-001bd16c079b}" ma:internalName="TaxCatchAll" ma:showField="CatchAllData" ma:web="9224003f-e6e7-470a-941a-44de566188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edb173ee-3fb8-4f75-bf43-79a22ca96f2e">
      <Terms xmlns="http://schemas.microsoft.com/office/infopath/2007/PartnerControls"/>
    </lcf76f155ced4ddcb4097134ff3c332f>
    <TaxCatchAll xmlns="9224003f-e6e7-470a-941a-44de56618887" xsi:nil="true"/>
    <_ip_UnifiedCompliancePolicyProperties xmlns="http://schemas.microsoft.com/sharepoint/v3" xsi:nil="true"/>
    <DateTimeMod xmlns="edb173ee-3fb8-4f75-bf43-79a22ca96f2e" xsi:nil="true"/>
    <Dateandtime xmlns="edb173ee-3fb8-4f75-bf43-79a22ca96f2e" xsi:nil="true"/>
    <NOC_x002d_FIP xmlns="edb173ee-3fb8-4f75-bf43-79a22ca96f2e" xsi:nil="true"/>
  </documentManagement>
</p:properties>
</file>

<file path=customXml/itemProps1.xml><?xml version="1.0" encoding="utf-8"?>
<ds:datastoreItem xmlns:ds="http://schemas.openxmlformats.org/officeDocument/2006/customXml" ds:itemID="{1D00D865-836F-45A9-A421-B1C6F4BF34EE}"/>
</file>

<file path=customXml/itemProps2.xml><?xml version="1.0" encoding="utf-8"?>
<ds:datastoreItem xmlns:ds="http://schemas.openxmlformats.org/officeDocument/2006/customXml" ds:itemID="{1314D3DA-9D15-454D-ACE5-5AD5815AAEE2}"/>
</file>

<file path=customXml/itemProps3.xml><?xml version="1.0" encoding="utf-8"?>
<ds:datastoreItem xmlns:ds="http://schemas.openxmlformats.org/officeDocument/2006/customXml" ds:itemID="{C558CBE7-5F10-44A4-8783-730E5095DB7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12</vt:i4>
      </vt:variant>
    </vt:vector>
  </HeadingPairs>
  <TitlesOfParts>
    <vt:vector size="31" baseType="lpstr">
      <vt:lpstr>Instructions</vt:lpstr>
      <vt:lpstr>Cover</vt:lpstr>
      <vt:lpstr>Checklist &amp; TOC</vt:lpstr>
      <vt:lpstr>Summary</vt:lpstr>
      <vt:lpstr>Statistics</vt:lpstr>
      <vt:lpstr>Mkt Res</vt:lpstr>
      <vt:lpstr> Enrol &amp; Rev</vt:lpstr>
      <vt:lpstr>Staff</vt:lpstr>
      <vt:lpstr>Facilities</vt:lpstr>
      <vt:lpstr>Gen Optg</vt:lpstr>
      <vt:lpstr>FFE&amp;T</vt:lpstr>
      <vt:lpstr>Ins</vt:lpstr>
      <vt:lpstr>Marketing</vt:lpstr>
      <vt:lpstr>EMO-CMO-BOSP</vt:lpstr>
      <vt:lpstr>Demographics</vt:lpstr>
      <vt:lpstr>PCFP Rates</vt:lpstr>
      <vt:lpstr>Facilities wkst</vt:lpstr>
      <vt:lpstr>Dev Notes</vt:lpstr>
      <vt:lpstr>Levers</vt:lpstr>
      <vt:lpstr>' Enrol &amp; Rev'!Print_Area</vt:lpstr>
      <vt:lpstr>Facilities!Print_Area</vt:lpstr>
      <vt:lpstr>'FFE&amp;T'!Print_Area</vt:lpstr>
      <vt:lpstr>'Gen Optg'!Print_Area</vt:lpstr>
      <vt:lpstr>Ins!Print_Area</vt:lpstr>
      <vt:lpstr>Marketing!Print_Area</vt:lpstr>
      <vt:lpstr>'Mkt Res'!Print_Area</vt:lpstr>
      <vt:lpstr>Staff!Print_Area</vt:lpstr>
      <vt:lpstr>Statistics!Print_Area</vt:lpstr>
      <vt:lpstr>Summary!Print_Area</vt:lpstr>
      <vt:lpstr>Cover!SchoolName</vt:lpstr>
      <vt:lpstr>SchoolName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Handwerker</dc:creator>
  <cp:lastModifiedBy>Shelli Guthrie</cp:lastModifiedBy>
  <cp:lastPrinted>2024-11-20T22:53:14Z</cp:lastPrinted>
  <dcterms:created xsi:type="dcterms:W3CDTF">2024-11-19T14:28:29Z</dcterms:created>
  <dcterms:modified xsi:type="dcterms:W3CDTF">2024-11-20T23:26:55Z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0x01010072D4A3EC0020B44F93019580CF4D642E</vt:lpwstr>
  </property>
</Properties>
</file>